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bitsom-my.sharepoint.com/personal/vedang_poddar2026_bitsom_edu_in/Documents/Master/TresVista/"/>
    </mc:Choice>
  </mc:AlternateContent>
  <xr:revisionPtr revIDLastSave="0" documentId="13_ncr:1_{2F4992C3-0670-488E-B884-F78BFF5978F5}" xr6:coauthVersionLast="47" xr6:coauthVersionMax="47" xr10:uidLastSave="{00000000-0000-0000-0000-000000000000}"/>
  <bookViews>
    <workbookView xWindow="-98" yWindow="-98" windowWidth="19396" windowHeight="11475" tabRatio="867" activeTab="1" xr2:uid="{5DC0B503-884D-4B27-B343-C721EBB7163E}"/>
  </bookViews>
  <sheets>
    <sheet name="SUMMARY" sheetId="34" r:id="rId1"/>
    <sheet name="One Pager - 1" sheetId="13" r:id="rId2"/>
    <sheet name="Cost Breakup" sheetId="7" state="hidden" r:id="rId3"/>
    <sheet name="Rationale - RevVal - 2" sheetId="31" r:id="rId4"/>
    <sheet name="SUPPORT" sheetId="35" r:id="rId5"/>
    <sheet name="Calculation" sheetId="14" r:id="rId6"/>
    <sheet name="Financials" sheetId="3" r:id="rId7"/>
    <sheet name="Segment" sheetId="28" r:id="rId8"/>
    <sheet name="Guidance" sheetId="15" r:id="rId9"/>
    <sheet name="Price" sheetId="29" r:id="rId10"/>
    <sheet name="Debt" sheetId="4" r:id="rId11"/>
    <sheet name="OTHER" sheetId="36" r:id="rId12"/>
    <sheet name="Tactical Trade" sheetId="30" r:id="rId13"/>
    <sheet name="Sheet10" sheetId="26"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123Graph_A" localSheetId="2" hidden="1">[1]P!#REF!</definedName>
    <definedName name="__123Graph_A" localSheetId="10" hidden="1">[2]PRICE_W!#REF!</definedName>
    <definedName name="__123Graph_A" localSheetId="6" hidden="1">[1]P!#REF!</definedName>
    <definedName name="__123Graph_A" localSheetId="8" hidden="1">[1]P!#REF!</definedName>
    <definedName name="__123Graph_A" localSheetId="9" hidden="1">[2]PRICE_W!#REF!</definedName>
    <definedName name="__123Graph_A" localSheetId="3" hidden="1">[2]PRICE_W!#REF!</definedName>
    <definedName name="__123Graph_A" localSheetId="7" hidden="1">[1]P!#REF!</definedName>
    <definedName name="__123Graph_A" localSheetId="12" hidden="1">[2]PRICE_W!#REF!</definedName>
    <definedName name="__123Graph_A" hidden="1">[2]PRICE_W!#REF!</definedName>
    <definedName name="__123Graph_AChart1" localSheetId="2" hidden="1">[1]P!#REF!</definedName>
    <definedName name="__123Graph_AChart1" localSheetId="10" hidden="1">[1]P!#REF!</definedName>
    <definedName name="__123Graph_AChart1" localSheetId="6" hidden="1">[1]P!#REF!</definedName>
    <definedName name="__123Graph_AChart1" localSheetId="8" hidden="1">[1]P!#REF!</definedName>
    <definedName name="__123Graph_AChart1" localSheetId="3" hidden="1">[1]P!#REF!</definedName>
    <definedName name="__123Graph_AChart1" localSheetId="7" hidden="1">[1]P!#REF!</definedName>
    <definedName name="__123Graph_AChart1" hidden="1">[1]P!#REF!</definedName>
    <definedName name="__123Graph_ACurrent" localSheetId="2" hidden="1">[1]P!#REF!</definedName>
    <definedName name="__123Graph_ACurrent" localSheetId="10" hidden="1">[1]P!#REF!</definedName>
    <definedName name="__123Graph_ACurrent" localSheetId="6" hidden="1">[1]P!#REF!</definedName>
    <definedName name="__123Graph_ACurrent" localSheetId="3" hidden="1">[1]P!#REF!</definedName>
    <definedName name="__123Graph_ACurrent" localSheetId="7" hidden="1">[1]P!#REF!</definedName>
    <definedName name="__123Graph_ACurrent" hidden="1">[1]P!#REF!</definedName>
    <definedName name="__123Graph_B" localSheetId="2" hidden="1">[3]XOM!#REF!</definedName>
    <definedName name="__123Graph_B" localSheetId="10" hidden="1">[3]XOM!#REF!</definedName>
    <definedName name="__123Graph_B" localSheetId="6" hidden="1">[3]XOM!#REF!</definedName>
    <definedName name="__123Graph_B" localSheetId="3" hidden="1">[3]XOM!#REF!</definedName>
    <definedName name="__123Graph_B" localSheetId="7" hidden="1">[3]XOM!#REF!</definedName>
    <definedName name="__123Graph_B" hidden="1">[3]XOM!#REF!</definedName>
    <definedName name="__123Graph_X" localSheetId="2" hidden="1">[4]P!$R$29:$AK$29</definedName>
    <definedName name="__123Graph_X" localSheetId="6" hidden="1">[4]P!$R$29:$AK$29</definedName>
    <definedName name="__123Graph_X" localSheetId="8" hidden="1">[4]P!$R$29:$AK$29</definedName>
    <definedName name="__123Graph_X" localSheetId="9" hidden="1">[2]PRICE_W!#REF!</definedName>
    <definedName name="__123Graph_X" localSheetId="3" hidden="1">[2]PRICE_W!#REF!</definedName>
    <definedName name="__123Graph_X" localSheetId="7" hidden="1">[4]P!$R$29:$AK$29</definedName>
    <definedName name="__123Graph_X" hidden="1">[2]PRICE_W!#REF!</definedName>
    <definedName name="__123Graph_XChart1" hidden="1">[4]P!$R$29:$AK$29</definedName>
    <definedName name="__123Graph_XCurrent" hidden="1">[4]P!$R$29:$AK$29</definedName>
    <definedName name="__a1" localSheetId="2" hidden="1">{"comp1",#N/A,FALSE,"COMPS";"footnotes",#N/A,FALSE,"COMPS"}</definedName>
    <definedName name="__a1" localSheetId="10" hidden="1">{"comp1",#N/A,FALSE,"COMPS";"footnotes",#N/A,FALSE,"COMPS"}</definedName>
    <definedName name="__a1" localSheetId="6" hidden="1">{"comp1",#N/A,FALSE,"COMPS";"footnotes",#N/A,FALSE,"COMPS"}</definedName>
    <definedName name="__a1" localSheetId="8" hidden="1">{"comp1",#N/A,FALSE,"COMPS";"footnotes",#N/A,FALSE,"COMPS"}</definedName>
    <definedName name="__a1" localSheetId="9" hidden="1">{"comp1",#N/A,FALSE,"COMPS";"footnotes",#N/A,FALSE,"COMPS"}</definedName>
    <definedName name="__a1" localSheetId="3" hidden="1">{"comp1",#N/A,FALSE,"COMPS";"footnotes",#N/A,FALSE,"COMPS"}</definedName>
    <definedName name="__a1" localSheetId="7" hidden="1">{"comp1",#N/A,FALSE,"COMPS";"footnotes",#N/A,FALSE,"COMPS"}</definedName>
    <definedName name="__a1" localSheetId="12" hidden="1">{"comp1",#N/A,FALSE,"COMPS";"footnotes",#N/A,FALSE,"COMPS"}</definedName>
    <definedName name="__a1" hidden="1">{"comp1",#N/A,FALSE,"COMPS";"footnotes",#N/A,FALSE,"COMPS"}</definedName>
    <definedName name="__aa1" localSheetId="2" hidden="1">{#N/A,#N/A,TRUE,"Pro Forma";#N/A,#N/A,TRUE,"PF_Bal";#N/A,#N/A,TRUE,"PF_INC";#N/A,#N/A,TRUE,"CBE";#N/A,#N/A,TRUE,"SWK"}</definedName>
    <definedName name="__aa1" localSheetId="10" hidden="1">{#N/A,#N/A,TRUE,"Pro Forma";#N/A,#N/A,TRUE,"PF_Bal";#N/A,#N/A,TRUE,"PF_INC";#N/A,#N/A,TRUE,"CBE";#N/A,#N/A,TRUE,"SWK"}</definedName>
    <definedName name="__aa1" localSheetId="6" hidden="1">{#N/A,#N/A,TRUE,"Pro Forma";#N/A,#N/A,TRUE,"PF_Bal";#N/A,#N/A,TRUE,"PF_INC";#N/A,#N/A,TRUE,"CBE";#N/A,#N/A,TRUE,"SWK"}</definedName>
    <definedName name="__aa1" localSheetId="8" hidden="1">{#N/A,#N/A,TRUE,"Pro Forma";#N/A,#N/A,TRUE,"PF_Bal";#N/A,#N/A,TRUE,"PF_INC";#N/A,#N/A,TRUE,"CBE";#N/A,#N/A,TRUE,"SWK"}</definedName>
    <definedName name="__aa1" localSheetId="9" hidden="1">{#N/A,#N/A,TRUE,"Pro Forma";#N/A,#N/A,TRUE,"PF_Bal";#N/A,#N/A,TRUE,"PF_INC";#N/A,#N/A,TRUE,"CBE";#N/A,#N/A,TRUE,"SWK"}</definedName>
    <definedName name="__aa1" localSheetId="3" hidden="1">{#N/A,#N/A,TRUE,"Pro Forma";#N/A,#N/A,TRUE,"PF_Bal";#N/A,#N/A,TRUE,"PF_INC";#N/A,#N/A,TRUE,"CBE";#N/A,#N/A,TRUE,"SWK"}</definedName>
    <definedName name="__aa1" localSheetId="7" hidden="1">{#N/A,#N/A,TRUE,"Pro Forma";#N/A,#N/A,TRUE,"PF_Bal";#N/A,#N/A,TRUE,"PF_INC";#N/A,#N/A,TRUE,"CBE";#N/A,#N/A,TRUE,"SWK"}</definedName>
    <definedName name="__aa1" localSheetId="12" hidden="1">{#N/A,#N/A,TRUE,"Pro Forma";#N/A,#N/A,TRUE,"PF_Bal";#N/A,#N/A,TRUE,"PF_INC";#N/A,#N/A,TRUE,"CBE";#N/A,#N/A,TRUE,"SWK"}</definedName>
    <definedName name="__aa1" hidden="1">{#N/A,#N/A,TRUE,"Pro Forma";#N/A,#N/A,TRUE,"PF_Bal";#N/A,#N/A,TRUE,"PF_INC";#N/A,#N/A,TRUE,"CBE";#N/A,#N/A,TRUE,"SWK"}</definedName>
    <definedName name="__ab1" localSheetId="2" hidden="1">{"comp1",#N/A,FALSE,"COMPS";"footnotes",#N/A,FALSE,"COMPS"}</definedName>
    <definedName name="__ab1" localSheetId="10" hidden="1">{"comp1",#N/A,FALSE,"COMPS";"footnotes",#N/A,FALSE,"COMPS"}</definedName>
    <definedName name="__ab1" localSheetId="6" hidden="1">{"comp1",#N/A,FALSE,"COMPS";"footnotes",#N/A,FALSE,"COMPS"}</definedName>
    <definedName name="__ab1" localSheetId="8" hidden="1">{"comp1",#N/A,FALSE,"COMPS";"footnotes",#N/A,FALSE,"COMPS"}</definedName>
    <definedName name="__ab1" localSheetId="9" hidden="1">{"comp1",#N/A,FALSE,"COMPS";"footnotes",#N/A,FALSE,"COMPS"}</definedName>
    <definedName name="__ab1" localSheetId="3" hidden="1">{"comp1",#N/A,FALSE,"COMPS";"footnotes",#N/A,FALSE,"COMPS"}</definedName>
    <definedName name="__ab1" localSheetId="7" hidden="1">{"comp1",#N/A,FALSE,"COMPS";"footnotes",#N/A,FALSE,"COMPS"}</definedName>
    <definedName name="__ab1" localSheetId="12" hidden="1">{"comp1",#N/A,FALSE,"COMPS";"footnotes",#N/A,FALSE,"COMPS"}</definedName>
    <definedName name="__ab1" hidden="1">{"comp1",#N/A,FALSE,"COMPS";"footnotes",#N/A,FALSE,"COMPS"}</definedName>
    <definedName name="__ae1" localSheetId="2" hidden="1">{#N/A,#N/A,FALSE,"Calc";#N/A,#N/A,FALSE,"Sensitivity";#N/A,#N/A,FALSE,"LT Earn.Dil.";#N/A,#N/A,FALSE,"Dil. AVP"}</definedName>
    <definedName name="__ae1" localSheetId="10" hidden="1">{#N/A,#N/A,FALSE,"Calc";#N/A,#N/A,FALSE,"Sensitivity";#N/A,#N/A,FALSE,"LT Earn.Dil.";#N/A,#N/A,FALSE,"Dil. AVP"}</definedName>
    <definedName name="__ae1" localSheetId="6" hidden="1">{#N/A,#N/A,FALSE,"Calc";#N/A,#N/A,FALSE,"Sensitivity";#N/A,#N/A,FALSE,"LT Earn.Dil.";#N/A,#N/A,FALSE,"Dil. AVP"}</definedName>
    <definedName name="__ae1" localSheetId="8" hidden="1">{#N/A,#N/A,FALSE,"Calc";#N/A,#N/A,FALSE,"Sensitivity";#N/A,#N/A,FALSE,"LT Earn.Dil.";#N/A,#N/A,FALSE,"Dil. AVP"}</definedName>
    <definedName name="__ae1" localSheetId="9" hidden="1">{#N/A,#N/A,FALSE,"Calc";#N/A,#N/A,FALSE,"Sensitivity";#N/A,#N/A,FALSE,"LT Earn.Dil.";#N/A,#N/A,FALSE,"Dil. AVP"}</definedName>
    <definedName name="__ae1" localSheetId="3" hidden="1">{#N/A,#N/A,FALSE,"Calc";#N/A,#N/A,FALSE,"Sensitivity";#N/A,#N/A,FALSE,"LT Earn.Dil.";#N/A,#N/A,FALSE,"Dil. AVP"}</definedName>
    <definedName name="__ae1" localSheetId="7" hidden="1">{#N/A,#N/A,FALSE,"Calc";#N/A,#N/A,FALSE,"Sensitivity";#N/A,#N/A,FALSE,"LT Earn.Dil.";#N/A,#N/A,FALSE,"Dil. AVP"}</definedName>
    <definedName name="__ae1" localSheetId="12" hidden="1">{#N/A,#N/A,FALSE,"Calc";#N/A,#N/A,FALSE,"Sensitivity";#N/A,#N/A,FALSE,"LT Earn.Dil.";#N/A,#N/A,FALSE,"Dil. AVP"}</definedName>
    <definedName name="__ae1" hidden="1">{#N/A,#N/A,FALSE,"Calc";#N/A,#N/A,FALSE,"Sensitivity";#N/A,#N/A,FALSE,"LT Earn.Dil.";#N/A,#N/A,FALSE,"Dil. AVP"}</definedName>
    <definedName name="__am1" localSheetId="2" hidden="1">{#N/A,#N/A,TRUE,"Pro Forma";#N/A,#N/A,TRUE,"PF_Bal";#N/A,#N/A,TRUE,"PF_INC";#N/A,#N/A,TRUE,"CBE";#N/A,#N/A,TRUE,"SWK"}</definedName>
    <definedName name="__am1" localSheetId="10" hidden="1">{#N/A,#N/A,TRUE,"Pro Forma";#N/A,#N/A,TRUE,"PF_Bal";#N/A,#N/A,TRUE,"PF_INC";#N/A,#N/A,TRUE,"CBE";#N/A,#N/A,TRUE,"SWK"}</definedName>
    <definedName name="__am1" localSheetId="6" hidden="1">{#N/A,#N/A,TRUE,"Pro Forma";#N/A,#N/A,TRUE,"PF_Bal";#N/A,#N/A,TRUE,"PF_INC";#N/A,#N/A,TRUE,"CBE";#N/A,#N/A,TRUE,"SWK"}</definedName>
    <definedName name="__am1" localSheetId="8" hidden="1">{#N/A,#N/A,TRUE,"Pro Forma";#N/A,#N/A,TRUE,"PF_Bal";#N/A,#N/A,TRUE,"PF_INC";#N/A,#N/A,TRUE,"CBE";#N/A,#N/A,TRUE,"SWK"}</definedName>
    <definedName name="__am1" localSheetId="9" hidden="1">{#N/A,#N/A,TRUE,"Pro Forma";#N/A,#N/A,TRUE,"PF_Bal";#N/A,#N/A,TRUE,"PF_INC";#N/A,#N/A,TRUE,"CBE";#N/A,#N/A,TRUE,"SWK"}</definedName>
    <definedName name="__am1" localSheetId="3" hidden="1">{#N/A,#N/A,TRUE,"Pro Forma";#N/A,#N/A,TRUE,"PF_Bal";#N/A,#N/A,TRUE,"PF_INC";#N/A,#N/A,TRUE,"CBE";#N/A,#N/A,TRUE,"SWK"}</definedName>
    <definedName name="__am1" localSheetId="7" hidden="1">{#N/A,#N/A,TRUE,"Pro Forma";#N/A,#N/A,TRUE,"PF_Bal";#N/A,#N/A,TRUE,"PF_INC";#N/A,#N/A,TRUE,"CBE";#N/A,#N/A,TRUE,"SWK"}</definedName>
    <definedName name="__am1" localSheetId="12" hidden="1">{#N/A,#N/A,TRUE,"Pro Forma";#N/A,#N/A,TRUE,"PF_Bal";#N/A,#N/A,TRUE,"PF_INC";#N/A,#N/A,TRUE,"CBE";#N/A,#N/A,TRUE,"SWK"}</definedName>
    <definedName name="__am1" hidden="1">{#N/A,#N/A,TRUE,"Pro Forma";#N/A,#N/A,TRUE,"PF_Bal";#N/A,#N/A,TRUE,"PF_INC";#N/A,#N/A,TRUE,"CBE";#N/A,#N/A,TRUE,"SWK"}</definedName>
    <definedName name="__as1" localSheetId="2" hidden="1">{"comp1",#N/A,FALSE,"COMPS";"footnotes",#N/A,FALSE,"COMPS"}</definedName>
    <definedName name="__as1" localSheetId="10" hidden="1">{"comp1",#N/A,FALSE,"COMPS";"footnotes",#N/A,FALSE,"COMPS"}</definedName>
    <definedName name="__as1" localSheetId="6" hidden="1">{"comp1",#N/A,FALSE,"COMPS";"footnotes",#N/A,FALSE,"COMPS"}</definedName>
    <definedName name="__as1" localSheetId="8" hidden="1">{"comp1",#N/A,FALSE,"COMPS";"footnotes",#N/A,FALSE,"COMPS"}</definedName>
    <definedName name="__as1" localSheetId="9" hidden="1">{"comp1",#N/A,FALSE,"COMPS";"footnotes",#N/A,FALSE,"COMPS"}</definedName>
    <definedName name="__as1" localSheetId="3" hidden="1">{"comp1",#N/A,FALSE,"COMPS";"footnotes",#N/A,FALSE,"COMPS"}</definedName>
    <definedName name="__as1" localSheetId="7" hidden="1">{"comp1",#N/A,FALSE,"COMPS";"footnotes",#N/A,FALSE,"COMPS"}</definedName>
    <definedName name="__as1" localSheetId="12" hidden="1">{"comp1",#N/A,FALSE,"COMPS";"footnotes",#N/A,FALSE,"COMPS"}</definedName>
    <definedName name="__as1" hidden="1">{"comp1",#N/A,FALSE,"COMPS";"footnotes",#N/A,FALSE,"COMPS"}</definedName>
    <definedName name="__f1" localSheetId="2" hidden="1">{"assumption cash",#N/A,TRUE,"Merger";"has gets cash",#N/A,TRUE,"Merger";"accretion dilution",#N/A,TRUE,"Merger";"comparison credit stats",#N/A,TRUE,"Merger";"pf credit stats",#N/A,TRUE,"Merger";"pf sheets",#N/A,TRUE,"Merger"}</definedName>
    <definedName name="__f1" localSheetId="10" hidden="1">{"assumption cash",#N/A,TRUE,"Merger";"has gets cash",#N/A,TRUE,"Merger";"accretion dilution",#N/A,TRUE,"Merger";"comparison credit stats",#N/A,TRUE,"Merger";"pf credit stats",#N/A,TRUE,"Merger";"pf sheets",#N/A,TRUE,"Merger"}</definedName>
    <definedName name="__f1" localSheetId="6" hidden="1">{"assumption cash",#N/A,TRUE,"Merger";"has gets cash",#N/A,TRUE,"Merger";"accretion dilution",#N/A,TRUE,"Merger";"comparison credit stats",#N/A,TRUE,"Merger";"pf credit stats",#N/A,TRUE,"Merger";"pf sheets",#N/A,TRUE,"Merger"}</definedName>
    <definedName name="__f1" localSheetId="8" hidden="1">{"assumption cash",#N/A,TRUE,"Merger";"has gets cash",#N/A,TRUE,"Merger";"accretion dilution",#N/A,TRUE,"Merger";"comparison credit stats",#N/A,TRUE,"Merger";"pf credit stats",#N/A,TRUE,"Merger";"pf sheets",#N/A,TRUE,"Merger"}</definedName>
    <definedName name="__f1" localSheetId="9" hidden="1">{"assumption cash",#N/A,TRUE,"Merger";"has gets cash",#N/A,TRUE,"Merger";"accretion dilution",#N/A,TRUE,"Merger";"comparison credit stats",#N/A,TRUE,"Merger";"pf credit stats",#N/A,TRUE,"Merger";"pf sheets",#N/A,TRUE,"Merger"}</definedName>
    <definedName name="__f1" localSheetId="3" hidden="1">{"assumption cash",#N/A,TRUE,"Merger";"has gets cash",#N/A,TRUE,"Merger";"accretion dilution",#N/A,TRUE,"Merger";"comparison credit stats",#N/A,TRUE,"Merger";"pf credit stats",#N/A,TRUE,"Merger";"pf sheets",#N/A,TRUE,"Merger"}</definedName>
    <definedName name="__f1" localSheetId="7" hidden="1">{"assumption cash",#N/A,TRUE,"Merger";"has gets cash",#N/A,TRUE,"Merger";"accretion dilution",#N/A,TRUE,"Merger";"comparison credit stats",#N/A,TRUE,"Merger";"pf credit stats",#N/A,TRUE,"Merger";"pf sheets",#N/A,TRUE,"Merger"}</definedName>
    <definedName name="__f1" localSheetId="12" hidden="1">{"assumption cash",#N/A,TRUE,"Merger";"has gets cash",#N/A,TRUE,"Merger";"accretion dilution",#N/A,TRUE,"Merger";"comparison credit stats",#N/A,TRUE,"Merger";"pf credit stats",#N/A,TRUE,"Merger";"pf sheets",#N/A,TRUE,"Merger"}</definedName>
    <definedName name="__f1" hidden="1">{"assumption cash",#N/A,TRUE,"Merger";"has gets cash",#N/A,TRUE,"Merger";"accretion dilution",#N/A,TRUE,"Merger";"comparison credit stats",#N/A,TRUE,"Merger";"pf credit stats",#N/A,TRUE,"Merger";"pf sheets",#N/A,TRUE,"Merger"}</definedName>
    <definedName name="__FDS_HYPERLINK_TOGGLE_STATE__" hidden="1">"ON"</definedName>
    <definedName name="__FDS_UNIQUE_RANGE_ID_GENERATOR_COUNTER" localSheetId="2" hidden="1">1</definedName>
    <definedName name="__FDS_UNIQUE_RANGE_ID_GENERATOR_COUNTER" localSheetId="6" hidden="1">1</definedName>
    <definedName name="__FDS_UNIQUE_RANGE_ID_GENERATOR_COUNTER" localSheetId="8" hidden="1">1</definedName>
    <definedName name="__FDS_UNIQUE_RANGE_ID_GENERATOR_COUNTER" localSheetId="7" hidden="1">1</definedName>
    <definedName name="__FDS_UNIQUE_RANGE_ID_GENERATOR_COUNTER" hidden="1">416</definedName>
    <definedName name="__FDS_USED_FOR_REUSING_RANGE_IDS_RECYCLE" localSheetId="2"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10"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6"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8"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9"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3"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7"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12"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ik1" localSheetId="2" hidden="1">{"casespecific",#N/A,FALSE,"Assumptions"}</definedName>
    <definedName name="__ik1" localSheetId="10" hidden="1">{"casespecific",#N/A,FALSE,"Assumptions"}</definedName>
    <definedName name="__ik1" localSheetId="6" hidden="1">{"casespecific",#N/A,FALSE,"Assumptions"}</definedName>
    <definedName name="__ik1" localSheetId="8" hidden="1">{"casespecific",#N/A,FALSE,"Assumptions"}</definedName>
    <definedName name="__ik1" localSheetId="9" hidden="1">{"casespecific",#N/A,FALSE,"Assumptions"}</definedName>
    <definedName name="__ik1" localSheetId="3" hidden="1">{"casespecific",#N/A,FALSE,"Assumptions"}</definedName>
    <definedName name="__ik1" localSheetId="7" hidden="1">{"casespecific",#N/A,FALSE,"Assumptions"}</definedName>
    <definedName name="__ik1" localSheetId="12" hidden="1">{"casespecific",#N/A,FALSE,"Assumptions"}</definedName>
    <definedName name="__ik1" hidden="1">{"casespecific",#N/A,FALSE,"Assumptions"}</definedName>
    <definedName name="__xlfn.RTD" hidden="1">#NAME?</definedName>
    <definedName name="_1__123Graph_AADV_GDP" hidden="1">[5]ADVOL!$C$97:$C$128</definedName>
    <definedName name="_1__123Graph_ACHART_1" localSheetId="2" hidden="1">'[6]Edge 10797 Drilling Inventory'!#REF!</definedName>
    <definedName name="_1__123Graph_ACHART_1" localSheetId="6" hidden="1">'[6]Edge 10797 Drilling Inventory'!#REF!</definedName>
    <definedName name="_1__123Graph_ACHART_1" localSheetId="8" hidden="1">'[6]Edge 10797 Drilling Inventory'!#REF!</definedName>
    <definedName name="_1__123Graph_ACHART_1" localSheetId="9" hidden="1">'[6]Edge 10797 Drilling Inventory'!#REF!</definedName>
    <definedName name="_1__123Graph_ACHART_1" localSheetId="3" hidden="1">'[6]Edge 10797 Drilling Inventory'!#REF!</definedName>
    <definedName name="_1__123Graph_ACHART_1" localSheetId="7" hidden="1">'[6]Edge 10797 Drilling Inventory'!#REF!</definedName>
    <definedName name="_1__123Graph_ACHART_1" localSheetId="12" hidden="1">'[6]Edge 10797 Drilling Inventory'!#REF!</definedName>
    <definedName name="_1__123Graph_ACHART_1" hidden="1">'[6]Edge 10797 Drilling Inventory'!#REF!</definedName>
    <definedName name="_1__FDSAUDITLINK__" localSheetId="2"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10"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6"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8"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9"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3"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7"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12"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0IS_synerg">#REF!</definedName>
    <definedName name="_10__123Graph_BADV_GDPR" hidden="1">[5]ADVOL!$A$97:$A$132</definedName>
    <definedName name="_10__123Graph_LBL_ACHART_3" localSheetId="2" hidden="1">'[6]Edge 10797 Drilling Inventory'!#REF!</definedName>
    <definedName name="_10__123Graph_LBL_ACHART_3" localSheetId="6" hidden="1">'[6]Edge 10797 Drilling Inventory'!#REF!</definedName>
    <definedName name="_10__123Graph_LBL_ACHART_3" localSheetId="8" hidden="1">'[6]Edge 10797 Drilling Inventory'!#REF!</definedName>
    <definedName name="_10__123Graph_LBL_ACHART_3" localSheetId="9" hidden="1">'[6]Edge 10797 Drilling Inventory'!#REF!</definedName>
    <definedName name="_10__123Graph_LBL_ACHART_3" localSheetId="3" hidden="1">'[6]Edge 10797 Drilling Inventory'!#REF!</definedName>
    <definedName name="_10__123Graph_LBL_ACHART_3" localSheetId="7" hidden="1">'[6]Edge 10797 Drilling Inventory'!#REF!</definedName>
    <definedName name="_10__123Graph_LBL_ACHART_3" localSheetId="12" hidden="1">'[6]Edge 10797 Drilling Inventory'!#REF!</definedName>
    <definedName name="_10__123Graph_LBL_ACHART_3" hidden="1">'[6]Edge 10797 Drilling Inventory'!#REF!</definedName>
    <definedName name="_10__FDSAUDITLINK__" localSheetId="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10"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6"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8"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9"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3"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1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0__FDSAUDITLINK__" localSheetId="2"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0"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localSheetId="6"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8"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9"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localSheetId="3"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localSheetId="7"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1__FDSAUDITLINK__" localSheetId="2"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0"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localSheetId="6"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8"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9"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localSheetId="3"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localSheetId="7"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2"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2__FDSAUDITLINK__" localSheetId="2"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0"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localSheetId="6"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8"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9"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localSheetId="3"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localSheetId="7"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3__FDSAUDITLINK__" localSheetId="2"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localSheetId="6"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8"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localSheetId="7"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4__FDSAUDITLINK__" localSheetId="2"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0"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localSheetId="6"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8"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localSheetId="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localSheetId="7"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2"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6"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8"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7"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2"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6"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8"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7"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7__FDSAUDITLINK__" localSheetId="2"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0"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localSheetId="6"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8"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9"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localSheetId="3"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localSheetId="7"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2"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2"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0"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6"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8"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7"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2"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0"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6"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8"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9"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3"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7"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2"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1__123Graph_BADV_PCE" hidden="1">[5]ADVOL!$G$170:$G$202</definedName>
    <definedName name="_11__123Graph_LBL_ACHART_4" localSheetId="2" hidden="1">'[6]Edge 10797 Drilling Inventory'!#REF!</definedName>
    <definedName name="_11__123Graph_LBL_ACHART_4" localSheetId="6" hidden="1">'[6]Edge 10797 Drilling Inventory'!#REF!</definedName>
    <definedName name="_11__123Graph_LBL_ACHART_4" localSheetId="8" hidden="1">'[6]Edge 10797 Drilling Inventory'!#REF!</definedName>
    <definedName name="_11__123Graph_LBL_ACHART_4" localSheetId="9" hidden="1">'[6]Edge 10797 Drilling Inventory'!#REF!</definedName>
    <definedName name="_11__123Graph_LBL_ACHART_4" localSheetId="3" hidden="1">'[6]Edge 10797 Drilling Inventory'!#REF!</definedName>
    <definedName name="_11__123Graph_LBL_ACHART_4" localSheetId="7" hidden="1">'[6]Edge 10797 Drilling Inventory'!#REF!</definedName>
    <definedName name="_11__123Graph_LBL_ACHART_4" localSheetId="12" hidden="1">'[6]Edge 10797 Drilling Inventory'!#REF!</definedName>
    <definedName name="_11__123Graph_LBL_ACHART_4" hidden="1">'[6]Edge 10797 Drilling Inventory'!#REF!</definedName>
    <definedName name="_11__FDSAUDITLINK__" localSheetId="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10"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1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0__FDSAUDITLINK__" localSheetId="2"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0"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localSheetId="6"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8"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9"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localSheetId="3"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localSheetId="7"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2"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1__FDSAUDITLINK__" localSheetId="2"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0"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localSheetId="6"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8"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9"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localSheetId="3"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localSheetId="7"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2"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2__FDSAUDITLINK__" localSheetId="2"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0"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localSheetId="6"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8"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9"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localSheetId="3"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localSheetId="7"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2"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2"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0"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6"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8"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9"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3"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7"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2"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2"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0"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6"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8"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9"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3"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7"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5__FDSAUDITLINK__" localSheetId="2"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0"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localSheetId="6"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8"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localSheetId="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localSheetId="7"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6__FDSAUDITLINK__" localSheetId="2"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0"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localSheetId="6"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8"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localSheetId="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localSheetId="7"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2"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0"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6"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8"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7"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2"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6"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8"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7"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2"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0"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6"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8"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9"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3"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7"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2"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2__123Graph_BADV_PCGD" hidden="1">[5]ADVOL!$E$170:$E$202</definedName>
    <definedName name="_12__123Graph_LBL_BCHART_1" localSheetId="2" hidden="1">'[6]Edge 10797 Drilling Inventory'!#REF!</definedName>
    <definedName name="_12__123Graph_LBL_BCHART_1" localSheetId="6" hidden="1">'[6]Edge 10797 Drilling Inventory'!#REF!</definedName>
    <definedName name="_12__123Graph_LBL_BCHART_1" localSheetId="8" hidden="1">'[6]Edge 10797 Drilling Inventory'!#REF!</definedName>
    <definedName name="_12__123Graph_LBL_BCHART_1" localSheetId="9" hidden="1">'[6]Edge 10797 Drilling Inventory'!#REF!</definedName>
    <definedName name="_12__123Graph_LBL_BCHART_1" localSheetId="3" hidden="1">'[6]Edge 10797 Drilling Inventory'!#REF!</definedName>
    <definedName name="_12__123Graph_LBL_BCHART_1" localSheetId="7" hidden="1">'[6]Edge 10797 Drilling Inventory'!#REF!</definedName>
    <definedName name="_12__123Graph_LBL_BCHART_1" localSheetId="12" hidden="1">'[6]Edge 10797 Drilling Inventory'!#REF!</definedName>
    <definedName name="_12__123Graph_LBL_BCHART_1" hidden="1">'[6]Edge 10797 Drilling Inventory'!#REF!</definedName>
    <definedName name="_12__FDSAUDITLINK__" localSheetId="2"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10"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6"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8"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9"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3"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7"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12"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0__FDSAUDITLINK__" localSheetId="2"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0"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localSheetId="6"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8"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9"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localSheetId="3"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localSheetId="7"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2"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1__FDSAUDITLINK__" localSheetId="2"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localSheetId="6"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8"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localSheetId="7"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2__FDSAUDITLINK__" localSheetId="2"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0"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localSheetId="6"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8"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localSheetId="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localSheetId="7"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2"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6"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8"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7"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2"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0"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6"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8"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9"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3"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7"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2"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0"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6"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8"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7"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2"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0"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6"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8"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9"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3"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7"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2"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7__FDSAUDITLINK__" localSheetId="2"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0"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localSheetId="6"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8"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9"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localSheetId="3"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localSheetId="7"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2"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8__FDSAUDITLINK__" localSheetId="2"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0"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localSheetId="6"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8"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9"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localSheetId="3"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localSheetId="7"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2"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2"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6"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8"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7"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3__123Graph_BMAG_PCE" hidden="1">[5]ADVOL!$A$171:$A$204</definedName>
    <definedName name="_13__123Graph_LBL_BCHART_2" localSheetId="2" hidden="1">'[6]Edge 10797 Drilling Inventory'!#REF!</definedName>
    <definedName name="_13__123Graph_LBL_BCHART_2" localSheetId="6" hidden="1">'[6]Edge 10797 Drilling Inventory'!#REF!</definedName>
    <definedName name="_13__123Graph_LBL_BCHART_2" localSheetId="8" hidden="1">'[6]Edge 10797 Drilling Inventory'!#REF!</definedName>
    <definedName name="_13__123Graph_LBL_BCHART_2" localSheetId="9" hidden="1">'[6]Edge 10797 Drilling Inventory'!#REF!</definedName>
    <definedName name="_13__123Graph_LBL_BCHART_2" localSheetId="3" hidden="1">'[6]Edge 10797 Drilling Inventory'!#REF!</definedName>
    <definedName name="_13__123Graph_LBL_BCHART_2" localSheetId="7" hidden="1">'[6]Edge 10797 Drilling Inventory'!#REF!</definedName>
    <definedName name="_13__123Graph_LBL_BCHART_2" localSheetId="12" hidden="1">'[6]Edge 10797 Drilling Inventory'!#REF!</definedName>
    <definedName name="_13__123Graph_LBL_BCHART_2" hidden="1">'[6]Edge 10797 Drilling Inventory'!#REF!</definedName>
    <definedName name="_13__FDSAUDITLINK__" localSheetId="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10"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1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0__FDSAUDITLINK__" localSheetId="2"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0"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localSheetId="6"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8"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localSheetId="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localSheetId="7"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1__FDSAUDITLINK__" localSheetId="2"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0"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localSheetId="6"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8"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9"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localSheetId="3"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localSheetId="7"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2"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0"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6"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8"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7"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2"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6"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8"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7"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4__FDSAUDITLINK__" localSheetId="2"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0"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localSheetId="6"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8"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9"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localSheetId="3"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localSheetId="7"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2"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2"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0"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6"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8"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7"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2"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6"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8"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7"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7__FDSAUDITLINK__" localSheetId="2"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localSheetId="6"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8"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localSheetId="7"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8__FDSAUDITLINK__" localSheetId="2"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0"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localSheetId="6"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8"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9"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localSheetId="3"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localSheetId="7"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9__FDSAUDITLINK__" localSheetId="2"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0"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localSheetId="6"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8"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9"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localSheetId="3"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localSheetId="7"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2"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4__123Graph_BNRET_PCE" hidden="1">[5]ADVOL!$A$171:$A$206</definedName>
    <definedName name="_14__123Graph_LBL_BCHART_3" localSheetId="2" hidden="1">'[6]Edge 10797 Drilling Inventory'!#REF!</definedName>
    <definedName name="_14__123Graph_LBL_BCHART_3" localSheetId="6" hidden="1">'[6]Edge 10797 Drilling Inventory'!#REF!</definedName>
    <definedName name="_14__123Graph_LBL_BCHART_3" localSheetId="8" hidden="1">'[6]Edge 10797 Drilling Inventory'!#REF!</definedName>
    <definedName name="_14__123Graph_LBL_BCHART_3" localSheetId="9" hidden="1">'[6]Edge 10797 Drilling Inventory'!#REF!</definedName>
    <definedName name="_14__123Graph_LBL_BCHART_3" localSheetId="3" hidden="1">'[6]Edge 10797 Drilling Inventory'!#REF!</definedName>
    <definedName name="_14__123Graph_LBL_BCHART_3" localSheetId="7" hidden="1">'[6]Edge 10797 Drilling Inventory'!#REF!</definedName>
    <definedName name="_14__123Graph_LBL_BCHART_3" localSheetId="12" hidden="1">'[6]Edge 10797 Drilling Inventory'!#REF!</definedName>
    <definedName name="_14__123Graph_LBL_BCHART_3" hidden="1">'[6]Edge 10797 Drilling Inventory'!#REF!</definedName>
    <definedName name="_14__FDSAUDITLINK__" localSheetId="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1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0__FDSAUDITLINK__" localSheetId="2"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0"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localSheetId="6"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8"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9"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localSheetId="3"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localSheetId="7"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2"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2"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0"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6"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8"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9"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3"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7"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2"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2__FDSAUDITLINK__" localSheetId="2"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0"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localSheetId="6"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8"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9"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localSheetId="3"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localSheetId="7"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2"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2"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0"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6"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8"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9"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3"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7"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2"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4__FDSAUDITLINK__" localSheetId="2"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0"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localSheetId="6"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8"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9"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localSheetId="3"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localSheetId="7"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2"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5__FDSAUDITLINK__" localSheetId="2"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0"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localSheetId="6"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8"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9"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localSheetId="3"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localSheetId="7"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2"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2"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0"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6"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8"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9"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3"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7"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2"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7__FDSAUDITLINK__" localSheetId="2"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0"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localSheetId="6"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8"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9"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localSheetId="3"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localSheetId="7"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2"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8__FDSAUDITLINK__" localSheetId="2"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10"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6"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8"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9"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3"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7"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12"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9__FDSAUDITLINK__" localSheetId="2"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10"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6"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8"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9"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3"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7"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12"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5__123Graph_BNRT_PCE" hidden="1">[5]ADVOL!$A$171:$A$206</definedName>
    <definedName name="_15__123Graph_XCHART_1" localSheetId="2" hidden="1">'[6]Edge 10797 Drilling Inventory'!#REF!</definedName>
    <definedName name="_15__123Graph_XCHART_1" localSheetId="6" hidden="1">'[6]Edge 10797 Drilling Inventory'!#REF!</definedName>
    <definedName name="_15__123Graph_XCHART_1" localSheetId="8" hidden="1">'[6]Edge 10797 Drilling Inventory'!#REF!</definedName>
    <definedName name="_15__123Graph_XCHART_1" localSheetId="9" hidden="1">'[6]Edge 10797 Drilling Inventory'!#REF!</definedName>
    <definedName name="_15__123Graph_XCHART_1" localSheetId="3" hidden="1">'[6]Edge 10797 Drilling Inventory'!#REF!</definedName>
    <definedName name="_15__123Graph_XCHART_1" localSheetId="7" hidden="1">'[6]Edge 10797 Drilling Inventory'!#REF!</definedName>
    <definedName name="_15__123Graph_XCHART_1" localSheetId="12" hidden="1">'[6]Edge 10797 Drilling Inventory'!#REF!</definedName>
    <definedName name="_15__123Graph_XCHART_1" hidden="1">'[6]Edge 10797 Drilling Inventory'!#REF!</definedName>
    <definedName name="_15__FDSAUDITLINK__" localSheetId="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10"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1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0__FDSAUDITLINK__" localSheetId="2"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10"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6"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8"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9"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3"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7"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12"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0"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6"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8"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9"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3"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7"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2"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0"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6"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8"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9"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3"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7"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2"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0"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6"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8"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9"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3"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7"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2"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4__FDSAUDITLINK__" localSheetId="2"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10"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6"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8"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9"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3"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7"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12"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5__FDSAUDITLINK__" localSheetId="2"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10"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6"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8"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9"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3"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7"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12"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6__FDSAUDITLINK__" localSheetId="2"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10"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6"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8"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9"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3"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7"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12"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7__FDSAUDITLINK__" localSheetId="2"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10"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6"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8"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9"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3"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7"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12"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8__FDSAUDITLINK__" localSheetId="2"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10"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6"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8"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9"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3"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7"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12"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0"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6"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8"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9"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3"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7"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2"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6__123Graph_CADV_PCE" hidden="1">[5]ADVOL!$H$170:$H$202</definedName>
    <definedName name="_16__123Graph_XCHART_2" localSheetId="2" hidden="1">'[6]Edge 10797 Drilling Inventory'!#REF!</definedName>
    <definedName name="_16__123Graph_XCHART_2" localSheetId="6" hidden="1">'[6]Edge 10797 Drilling Inventory'!#REF!</definedName>
    <definedName name="_16__123Graph_XCHART_2" localSheetId="8" hidden="1">'[6]Edge 10797 Drilling Inventory'!#REF!</definedName>
    <definedName name="_16__123Graph_XCHART_2" localSheetId="9" hidden="1">'[6]Edge 10797 Drilling Inventory'!#REF!</definedName>
    <definedName name="_16__123Graph_XCHART_2" localSheetId="3" hidden="1">'[6]Edge 10797 Drilling Inventory'!#REF!</definedName>
    <definedName name="_16__123Graph_XCHART_2" localSheetId="7" hidden="1">'[6]Edge 10797 Drilling Inventory'!#REF!</definedName>
    <definedName name="_16__123Graph_XCHART_2" localSheetId="12" hidden="1">'[6]Edge 10797 Drilling Inventory'!#REF!</definedName>
    <definedName name="_16__123Graph_XCHART_2" hidden="1">'[6]Edge 10797 Drilling Inventory'!#REF!</definedName>
    <definedName name="_16__FDSAUDITLINK__" localSheetId="2"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10"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6"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8"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9"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3"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7"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12"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0__FDSAUDITLINK__" localSheetId="2"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10"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6"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8"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9"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3"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7"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12"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0"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6"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8"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9"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3"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7"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2"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0"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6"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8"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9"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3"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7"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2"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3__FDSAUDITLINK__" localSheetId="2"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10"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6"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8"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9"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3"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7"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12"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4__FDSAUDITLINK__" localSheetId="2"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10"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6"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8"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9"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3"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7"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12"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5__FDSAUDITLINK__" localSheetId="2"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10"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6"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8"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9"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3"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7"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12"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0"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0"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6"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8"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9"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3"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7"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2"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0"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9__FDSAUDITLINK__" localSheetId="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1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7__123Graph_XADV_GDP" hidden="1">[5]ADVOL!$A$23:$A$54</definedName>
    <definedName name="_17__123Graph_XCHART_3" localSheetId="2" hidden="1">'[6]Edge 10797 Drilling Inventory'!#REF!</definedName>
    <definedName name="_17__123Graph_XCHART_3" localSheetId="6" hidden="1">'[6]Edge 10797 Drilling Inventory'!#REF!</definedName>
    <definedName name="_17__123Graph_XCHART_3" localSheetId="8" hidden="1">'[6]Edge 10797 Drilling Inventory'!#REF!</definedName>
    <definedName name="_17__123Graph_XCHART_3" localSheetId="9" hidden="1">'[6]Edge 10797 Drilling Inventory'!#REF!</definedName>
    <definedName name="_17__123Graph_XCHART_3" localSheetId="3" hidden="1">'[6]Edge 10797 Drilling Inventory'!#REF!</definedName>
    <definedName name="_17__123Graph_XCHART_3" localSheetId="7" hidden="1">'[6]Edge 10797 Drilling Inventory'!#REF!</definedName>
    <definedName name="_17__123Graph_XCHART_3" localSheetId="12" hidden="1">'[6]Edge 10797 Drilling Inventory'!#REF!</definedName>
    <definedName name="_17__123Graph_XCHART_3" hidden="1">'[6]Edge 10797 Drilling Inventory'!#REF!</definedName>
    <definedName name="_17__FDSAUDITLINK__" localSheetId="2"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10"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6"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8"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9"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3"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7"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12"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0__FDSAUDITLINK__" localSheetId="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1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1__FDSAUDITLINK__" localSheetId="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10"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1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2__FDSAUDITLINK__" localSheetId="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10"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1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3__FDSAUDITLINK__" localSheetId="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10"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1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0"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0"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6"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8"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9"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3"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7"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2"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0"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6"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8"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9"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3"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7"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2"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0"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6"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8"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9"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3"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7"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2"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9__FDSAUDITLINK__" localSheetId="2"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10"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6"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8"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9"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3"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7"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12"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8__123Graph_XADV_GDPR" hidden="1">[5]ADVOL!$A$23:$A$58</definedName>
    <definedName name="_18__123Graph_XCHART_4" localSheetId="2" hidden="1">'[6]Edge 10797 Drilling Inventory'!#REF!</definedName>
    <definedName name="_18__123Graph_XCHART_4" localSheetId="6" hidden="1">'[6]Edge 10797 Drilling Inventory'!#REF!</definedName>
    <definedName name="_18__123Graph_XCHART_4" localSheetId="8" hidden="1">'[6]Edge 10797 Drilling Inventory'!#REF!</definedName>
    <definedName name="_18__123Graph_XCHART_4" localSheetId="9" hidden="1">'[6]Edge 10797 Drilling Inventory'!#REF!</definedName>
    <definedName name="_18__123Graph_XCHART_4" localSheetId="3" hidden="1">'[6]Edge 10797 Drilling Inventory'!#REF!</definedName>
    <definedName name="_18__123Graph_XCHART_4" localSheetId="7" hidden="1">'[6]Edge 10797 Drilling Inventory'!#REF!</definedName>
    <definedName name="_18__123Graph_XCHART_4" localSheetId="12" hidden="1">'[6]Edge 10797 Drilling Inventory'!#REF!</definedName>
    <definedName name="_18__123Graph_XCHART_4" hidden="1">'[6]Edge 10797 Drilling Inventory'!#REF!</definedName>
    <definedName name="_18__FDSAUDITLINK__" localSheetId="2"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10"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6"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8"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9"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3"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7"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12"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0__FDSAUDITLINK__" localSheetId="2"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10"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6"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8"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9"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3"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7"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12"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0"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0"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6"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8"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9"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3"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7"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2"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0"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6"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8"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9"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3"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7"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2"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4__FDSAUDITLINK__" localSheetId="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1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5__FDSAUDITLINK__" localSheetId="2"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10"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6"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8"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9"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3"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7"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12"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6__FDSAUDITLINK__" localSheetId="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10"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1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0"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0"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9__FDSAUDITLINK__" localSheetId="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10"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6"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8"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9"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3"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1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9__123Graph_XADV_PCE" hidden="1">[5]ADVOL!$A$22:$A$54</definedName>
    <definedName name="_19__FDSAUDITLINK__" localSheetId="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1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0__FDSAUDITLINK__" localSheetId="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10"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1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1__FDSAUDITLINK__" localSheetId="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10"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1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2__FDSAUDITLINK__" localSheetId="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1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0"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4__FDSAUDITLINK__" localSheetId="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10"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6"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8"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9"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3"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1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5__FDSAUDITLINK__" localSheetId="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1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6__FDSAUDITLINK__" localSheetId="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1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0"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8__FDSAUDITLINK__" localSheetId="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1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9__FDSAUDITLINK__" localSheetId="2"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10"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6"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8"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9"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3"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7"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12"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4">#REF!</definedName>
    <definedName name="_1995">#REF!</definedName>
    <definedName name="_1996">#REF!</definedName>
    <definedName name="_1997">#REF!</definedName>
    <definedName name="_1998">#REF!</definedName>
    <definedName name="_1999">#REF!</definedName>
    <definedName name="_1IS_synerg">#REF!</definedName>
    <definedName name="_1Q94">#REF!</definedName>
    <definedName name="_1Q95">#REF!</definedName>
    <definedName name="_2__123Graph_AADV_GDPR" hidden="1">[5]ADVOL!$C$97:$C$131</definedName>
    <definedName name="_2__123Graph_ACHART_2" localSheetId="2" hidden="1">'[6]Edge 10797 Drilling Inventory'!#REF!</definedName>
    <definedName name="_2__123Graph_ACHART_2" localSheetId="6" hidden="1">'[6]Edge 10797 Drilling Inventory'!#REF!</definedName>
    <definedName name="_2__123Graph_ACHART_2" localSheetId="8" hidden="1">'[6]Edge 10797 Drilling Inventory'!#REF!</definedName>
    <definedName name="_2__123Graph_ACHART_2" localSheetId="9" hidden="1">'[6]Edge 10797 Drilling Inventory'!#REF!</definedName>
    <definedName name="_2__123Graph_ACHART_2" localSheetId="3" hidden="1">'[6]Edge 10797 Drilling Inventory'!#REF!</definedName>
    <definedName name="_2__123Graph_ACHART_2" localSheetId="7" hidden="1">'[6]Edge 10797 Drilling Inventory'!#REF!</definedName>
    <definedName name="_2__123Graph_ACHART_2" localSheetId="12" hidden="1">'[6]Edge 10797 Drilling Inventory'!#REF!</definedName>
    <definedName name="_2__123Graph_ACHART_2" hidden="1">'[6]Edge 10797 Drilling Inventory'!#REF!</definedName>
    <definedName name="_2__FDSAUDITLINK__" localSheetId="2"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10"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6"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8"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9"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3"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7"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12"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0__123Graph_XADV_PCGD" hidden="1">[5]ADVOL!$A$22:$A$54</definedName>
    <definedName name="_20__FDSAUDITLINK__" localSheetId="2"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10"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6"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8"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9"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3"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7"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12"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0__FDSAUDITLINK__" localSheetId="2"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10"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6"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8"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9"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3"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7"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12"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7">#REF!</definedName>
    <definedName name="_2008">#REF!</definedName>
    <definedName name="_201__FDSAUDITLINK__" localSheetId="2"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0"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6"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8"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9"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3"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7"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2"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2__FDSAUDITLINK__" localSheetId="2"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10"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6"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8"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9"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3"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7"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12"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0"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6"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8"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9"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3"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7"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2"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4__FDSAUDITLINK__" localSheetId="2"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10"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6"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8"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9"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3"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7"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12"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0"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6"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8"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9"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3"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7"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2"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0"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6"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8"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9"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3"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7"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2"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0"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6"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8"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9"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3"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7"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2"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0"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6"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8"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9"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3"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7"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2"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0"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6"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8"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9"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3"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7"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2"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1__123Graph_XMAG_PCE" hidden="1">[5]ADVOL!$A$23:$A$56</definedName>
    <definedName name="_21__FDSAUDITLINK__" localSheetId="2"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10"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6"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8"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9"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3"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7"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12"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0__FDSAUDITLINK__" localSheetId="2"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10"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6"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8"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9"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3"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7"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12"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1__FDSAUDITLINK__" localSheetId="2"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10"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6"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8"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9"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3"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7"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12"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2__FDSAUDITLINK__" localSheetId="2"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10"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6"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8"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9"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3"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7"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12"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0"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6"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8"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9"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3"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7"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2"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0"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5__FDSAUDITLINK__" localSheetId="2"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10"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6"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8"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9"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3"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7"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12"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6__FDSAUDITLINK__" localSheetId="2"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10"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6"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8"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9"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3"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7"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12"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7__FDSAUDITLINK__" localSheetId="2"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10"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6"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8"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9"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3"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7"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12"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0"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6"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8"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9"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3"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7"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2"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0"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2__123Graph_XNRET_PCE" hidden="1">[5]ADVOL!$A$23:$A$58</definedName>
    <definedName name="_22__FDSAUDITLINK__" localSheetId="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10"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1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0__FDSAUDITLINK__" localSheetId="2"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10"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6"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8"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9"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3"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7"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12"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0"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6"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8"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9"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3"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7"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2"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2__FDSAUDITLINK__" localSheetId="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10"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6"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8"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9"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3"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1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0"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6"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8"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9"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3"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7"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2"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0"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6"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8"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9"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3"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7"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2"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5__FDSAUDITLINK__" localSheetId="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1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6__FDSAUDITLINK__" localSheetId="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1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0"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8__FDSAUDITLINK__" localSheetId="2"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10"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6"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8"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9"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3"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7"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12"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3__123Graph_XNRET_RS" hidden="1">[5]ADVOL!$A$30:$A$58</definedName>
    <definedName name="_23__FDSAUDITLINK__" localSheetId="2"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10"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6"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8"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9"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3"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7"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12"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0"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6"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8"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9"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3"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7"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2"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0"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6"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8"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9"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3"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7"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2"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0"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6"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8"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9"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3"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7"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2"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3__FDSAUDITLINK__" localSheetId="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10"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1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4__FDSAUDITLINK__" localSheetId="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1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5__FDSAUDITLINK__" localSheetId="2"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10"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6"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8"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9"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3"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7"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12"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0"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6"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8"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9"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3"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7"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2"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0"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6"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8"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9"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3"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7"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2"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0"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6"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8"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9"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3"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7"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2"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9__FDSAUDITLINK__" localSheetId="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1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4__123Graph_XNRT_PCE" hidden="1">[5]ADVOL!$A$23:$A$58</definedName>
    <definedName name="_24__FDSAUDITLINK__" localSheetId="2"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10"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6"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8"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9"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3"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7"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12"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0__FDSAUDITLINK__" localSheetId="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1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0"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4__FDSAUDITLINK__" localSheetId="2"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10"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6"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8"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9"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3"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7"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12"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5__FDSAUDITLINK__" localSheetId="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1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6__FDSAUDITLINK__" localSheetId="2"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10"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6"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8"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9"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3"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7"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12"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0"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9__FDSAUDITLINK__" localSheetId="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1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5__FDSAUDITLINK__" localSheetId="2"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10"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6"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8"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9"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3"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7"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12"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0__FDSAUDITLINK__" localSheetId="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10"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1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1__FDSAUDITLINK__" localSheetId="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1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4__FDSAUDITLINK__" localSheetId="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10"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6"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8"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9"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3"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1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5__FDSAUDITLINK__" localSheetId="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10"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1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0"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6"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8"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9"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3"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0"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6"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8"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9"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3"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7"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2"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8__FDSAUDITLINK__" localSheetId="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1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9__FDSAUDITLINK__" localSheetId="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10"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1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6__FDSAUDITLINK__" localSheetId="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10"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1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0__FDSAUDITLINK__" localSheetId="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10"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1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0"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6"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8"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9"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3"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7"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2"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0"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6"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8"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9"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3"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7"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2"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0"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6"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8"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9"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3"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7"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2"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5__FDSAUDITLINK__" localSheetId="2"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10"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6"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8"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9"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3"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7"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12"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6__FDSAUDITLINK__" localSheetId="2"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10"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6"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8"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9"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3"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7"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12"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0"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6"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8"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9"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3"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7"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2"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8__FDSAUDITLINK__" localSheetId="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1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9__FDSAUDITLINK__" localSheetId="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1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7__FDSAUDITLINK__" localSheetId="2"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10"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6"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8"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9"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3"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7"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12"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0__FDSAUDITLINK__" localSheetId="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1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0"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3__FDSAUDITLINK__" localSheetId="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1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4__FDSAUDITLINK__" localSheetId="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1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5__FDSAUDITLINK__" localSheetId="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10"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1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6__FDSAUDITLINK__" localSheetId="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10"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6"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8"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9"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3"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1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0"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0"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6"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8"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9"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3"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7"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2"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9__FDSAUDITLINK__" localSheetId="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1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8__FDSAUDITLINK__" localSheetId="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10"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1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0__FDSAUDITLINK__" localSheetId="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10"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6"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8"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9"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3"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1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1__FDSAUDITLINK__" localSheetId="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1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2__FDSAUDITLINK__" localSheetId="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1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3__FDSAUDITLINK__" localSheetId="2"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10"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6"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8"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9"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3"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7"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12"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0"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6"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8"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9"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3"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7"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2"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0"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6"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8"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9"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3"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7"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2"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0"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6"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8"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9"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3"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7"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2"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7__FDSAUDITLINK__" localSheetId="2"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10"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6"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8"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9"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3"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7"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12"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8__FDSAUDITLINK__" localSheetId="2"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10"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6"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8"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9"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3"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7"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12"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9__FDSAUDITLINK__" localSheetId="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10"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1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9__FDSAUDITLINK__" localSheetId="2"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0"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localSheetId="6"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8"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9"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localSheetId="3"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localSheetId="7"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2"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0__FDSAUDITLINK__" localSheetId="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10"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1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0"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2__FDSAUDITLINK__" localSheetId="2"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10"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6"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8"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9"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3"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7"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12"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0"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0"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6"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8"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9"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3"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7"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2"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5__FDSAUDITLINK__" localSheetId="2"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10"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6"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8"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9"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3"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7"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12"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6__FDSAUDITLINK__" localSheetId="2"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10"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6"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8"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9"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3"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7"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12"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7__FDSAUDITLINK__" localSheetId="2"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10"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6"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8"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9"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3"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7"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12"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0"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6"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8"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9"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3"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7"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2"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9__FDSAUDITLINK__" localSheetId="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10"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1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Q94">#REF!</definedName>
    <definedName name="_2Q95">#REF!</definedName>
    <definedName name="_3__123Graph_AADV_PCE" hidden="1">[5]ADVOL!$F$170:$F$202</definedName>
    <definedName name="_3__123Graph_ACHART_3" localSheetId="2" hidden="1">'[6]Edge 10797 Drilling Inventory'!#REF!</definedName>
    <definedName name="_3__123Graph_ACHART_3" localSheetId="6" hidden="1">'[6]Edge 10797 Drilling Inventory'!#REF!</definedName>
    <definedName name="_3__123Graph_ACHART_3" localSheetId="8" hidden="1">'[6]Edge 10797 Drilling Inventory'!#REF!</definedName>
    <definedName name="_3__123Graph_ACHART_3" localSheetId="9" hidden="1">'[6]Edge 10797 Drilling Inventory'!#REF!</definedName>
    <definedName name="_3__123Graph_ACHART_3" localSheetId="3" hidden="1">'[6]Edge 10797 Drilling Inventory'!#REF!</definedName>
    <definedName name="_3__123Graph_ACHART_3" localSheetId="7" hidden="1">'[6]Edge 10797 Drilling Inventory'!#REF!</definedName>
    <definedName name="_3__123Graph_ACHART_3" localSheetId="12" hidden="1">'[6]Edge 10797 Drilling Inventory'!#REF!</definedName>
    <definedName name="_3__123Graph_ACHART_3" hidden="1">'[6]Edge 10797 Drilling Inventory'!#REF!</definedName>
    <definedName name="_3__123Graph_ALIQUIDS" hidden="1">[4]P!$S$78:$AL$78</definedName>
    <definedName name="_3__FDSAUDITLINK__" localSheetId="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10"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1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0__FDSAUDITLINK__" localSheetId="2"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0"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localSheetId="6"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8"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9"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localSheetId="3"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localSheetId="7"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2"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0__FDSAUDITLINK__" localSheetId="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10"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6"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8"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9"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3"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1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0"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6"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8"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9"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3"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7"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2"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0"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6"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8"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9"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3"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7"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2"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0"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6"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8"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9"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3"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7"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2"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0"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6"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8"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9"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3"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7"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2"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5__FDSAUDITLINK__" localSheetId="2"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10"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6"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8"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9"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3"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7"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12"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6__FDSAUDITLINK__" localSheetId="2"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10"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6"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8"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9"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3"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7"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12"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7__FDSAUDITLINK__" localSheetId="2"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10"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6"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8"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9"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3"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7"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12"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8__FDSAUDITLINK__" localSheetId="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1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9__FDSAUDITLINK__" localSheetId="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10"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1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1__FDSAUDITLINK__" localSheetId="2"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10"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6"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8"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9"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3"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7"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12"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0__FDSAUDITLINK__" localSheetId="2"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10"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6"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8"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9"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3"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7"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12"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0"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6"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8"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9"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3"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7"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2"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2__FDSAUDITLINK__" localSheetId="2"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10"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6"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8"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9"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3"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7"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12"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3__FDSAUDITLINK__" localSheetId="2"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10"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6"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8"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9"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3"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7"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12"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4__FDSAUDITLINK__" localSheetId="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1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5__FDSAUDITLINK__" localSheetId="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1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0"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7__FDSAUDITLINK__" localSheetId="2"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10"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6"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8"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9"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3"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7"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12"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0"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6"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8"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9"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3"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7"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2"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2__FDSAUDITLINK__" localSheetId="2"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10"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6"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8"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9"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3"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7"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12"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0__FDSAUDITLINK__" localSheetId="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10"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1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1__FDSAUDITLINK__" localSheetId="2"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10"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6"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8"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9"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3"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7"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12"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2__FDSAUDITLINK__" localSheetId="2"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10"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6"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8"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9"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3"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7"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12"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0"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6"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8"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9"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3"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7"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2"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4__FDSAUDITLINK__" localSheetId="2"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10"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6"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8"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9"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3"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7"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12"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5__FDSAUDITLINK__" localSheetId="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1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0"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6"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8"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9"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3"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7"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2"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0"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6"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8"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9"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3"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7"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2"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0"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6"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8"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9"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3"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7"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2"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0"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6"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8"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9"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3"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7"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2"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0"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0__FDSAUDITLINK__" localSheetId="2"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10"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6"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8"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9"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3"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7"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12"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1__FDSAUDITLINK__" localSheetId="2"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10"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6"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8"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9"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3"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7"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12"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2__FDSAUDITLINK__" localSheetId="2"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10"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6"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8"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9"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3"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7"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12"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3__FDSAUDITLINK__" localSheetId="2"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10"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6"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8"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9"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3"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7"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12"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4__FDSAUDITLINK__" localSheetId="2"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10"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6"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8"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9"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3"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7"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12"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0"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6"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8"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9"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3"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7"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2"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0"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0"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6"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8"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9"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3"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0"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9__FDSAUDITLINK__" localSheetId="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10"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1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4__FDSAUDITLINK__" localSheetId="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10"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1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0__FDSAUDITLINK__" localSheetId="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1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0"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6"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8"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9"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3"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7"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2"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0"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6"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8"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9"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3"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7"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2"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0"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6"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8"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9"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3"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7"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2"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0"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6"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8"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9"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3"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7"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2"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0"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6"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8"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9"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3"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7"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2"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0"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6"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8"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9"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3"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7"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2"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0"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6"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8"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9"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3"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7"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2"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9__FDSAUDITLINK__" localSheetId="2"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10"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6"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8"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9"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3"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7"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12"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5__FDSAUDITLINK__" localSheetId="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1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0__FDSAUDITLINK__" localSheetId="2"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10"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6"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8"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9"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3"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7"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12"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0"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6"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8"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9"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3"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7"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2"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2__FDSAUDITLINK__" localSheetId="2"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10"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6"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8"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9"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3"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7"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12"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3__FDSAUDITLINK__" localSheetId="2"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10"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6"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8"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9"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3"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7"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12"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4__FDSAUDITLINK__" localSheetId="2"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10"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6"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8"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9"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3"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7"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12"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5__FDSAUDITLINK__" localSheetId="2"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10"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6"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8"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9"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3"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7"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12"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0"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6"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8"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9"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3"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7"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2"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0"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6__FDSAUDITLINK__" localSheetId="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1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0__FDSAUDITLINK__" localSheetId="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10"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1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1__FDSAUDITLINK__" localSheetId="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1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0"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6"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8"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9"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3"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7"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2"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0"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6"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8"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9"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3"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7"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2"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0"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6"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8"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9"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3"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7"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2"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6__FDSAUDITLINK__" localSheetId="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10"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1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7__FDSAUDITLINK__" localSheetId="2"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10"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6"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8"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9"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3"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7"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12"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0"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0"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6"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8"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9"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3"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7"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2"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7__FDSAUDITLINK__" localSheetId="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1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0__FDSAUDITLINK__" localSheetId="2"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10"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6"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8"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9"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3"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7"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12"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1__FDSAUDITLINK__" localSheetId="2"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10"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6"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8"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9"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3"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7"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12"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2__FDSAUDITLINK__" localSheetId="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10"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1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3__FDSAUDITLINK__" localSheetId="2"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10"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6"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8"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9"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3"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7"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12"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4__FDSAUDITLINK__" localSheetId="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10"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1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0"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0"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8__FDSAUDITLINK__" localSheetId="2"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10"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6"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8"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9"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3"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7"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12"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9__FDSAUDITLINK__" localSheetId="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10"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1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2"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6"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8"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7"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0__FDSAUDITLINK__" localSheetId="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10"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1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1__FDSAUDITLINK__" localSheetId="2"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10"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6"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8"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9"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3"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7"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12"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2__FDSAUDITLINK__" localSheetId="2"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10"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6"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8"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9"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3"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7"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12"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3__FDSAUDITLINK__" localSheetId="2"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10"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6"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8"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9"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3"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7"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12"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0"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6"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8"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9"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3"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7"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2"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0"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6"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8"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9"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3"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7"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2"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0"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6"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8"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9"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3"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7"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2"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7__FDSAUDITLINK__" localSheetId="2"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10"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6"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8"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9"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3"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7"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12"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8__FDSAUDITLINK__" localSheetId="2"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10"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6"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8"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9"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3"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7"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12"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0"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6"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8"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9"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3"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7"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2"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9__FDSAUDITLINK__" localSheetId="2"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0"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localSheetId="6"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8"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9"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localSheetId="3"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localSheetId="7"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2"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0__FDSAUDITLINK__" localSheetId="2"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10"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6"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8"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9"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3"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7"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12"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0"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6"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8"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9"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3"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7"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2"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0"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6"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8"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9"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3"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7"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2"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0"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6"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8"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9"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3"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7"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2"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4__FDSAUDITLINK__" localSheetId="2"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10"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6"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8"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9"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3"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7"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12"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5__FDSAUDITLINK__" localSheetId="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10"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1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0"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6"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8"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9"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3"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9__FDSAUDITLINK__" localSheetId="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10"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1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Q94">#REF!</definedName>
    <definedName name="_3Q95">#REF!</definedName>
    <definedName name="_4__123Graph_AADV_PCGD" hidden="1">[5]ADVOL!$F$170:$F$202</definedName>
    <definedName name="_4__123Graph_ACHART_4" localSheetId="2" hidden="1">'[6]Edge 10797 Drilling Inventory'!#REF!</definedName>
    <definedName name="_4__123Graph_ACHART_4" localSheetId="6" hidden="1">'[6]Edge 10797 Drilling Inventory'!#REF!</definedName>
    <definedName name="_4__123Graph_ACHART_4" localSheetId="8" hidden="1">'[6]Edge 10797 Drilling Inventory'!#REF!</definedName>
    <definedName name="_4__123Graph_ACHART_4" localSheetId="9" hidden="1">'[6]Edge 10797 Drilling Inventory'!#REF!</definedName>
    <definedName name="_4__123Graph_ACHART_4" localSheetId="3" hidden="1">'[6]Edge 10797 Drilling Inventory'!#REF!</definedName>
    <definedName name="_4__123Graph_ACHART_4" localSheetId="7" hidden="1">'[6]Edge 10797 Drilling Inventory'!#REF!</definedName>
    <definedName name="_4__123Graph_ACHART_4" localSheetId="12" hidden="1">'[6]Edge 10797 Drilling Inventory'!#REF!</definedName>
    <definedName name="_4__123Graph_ACHART_4" hidden="1">'[6]Edge 10797 Drilling Inventory'!#REF!</definedName>
    <definedName name="_4__123Graph_AR_M_MARG" localSheetId="2" hidden="1">[1]P!#REF!</definedName>
    <definedName name="_4__123Graph_AR_M_MARG" localSheetId="6" hidden="1">[1]P!#REF!</definedName>
    <definedName name="_4__123Graph_AR_M_MARG" localSheetId="8" hidden="1">[1]P!#REF!</definedName>
    <definedName name="_4__123Graph_AR_M_MARG" localSheetId="9" hidden="1">[1]P!#REF!</definedName>
    <definedName name="_4__123Graph_AR_M_MARG" localSheetId="3" hidden="1">[1]P!#REF!</definedName>
    <definedName name="_4__123Graph_AR_M_MARG" localSheetId="7" hidden="1">[1]P!#REF!</definedName>
    <definedName name="_4__123Graph_AR_M_MARG" localSheetId="12" hidden="1">[1]P!#REF!</definedName>
    <definedName name="_4__123Graph_AR_M_MARG" hidden="1">[1]P!#REF!</definedName>
    <definedName name="_4__FDSAUDITLINK__" localSheetId="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10"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1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__FDSAUDITLINK__" localSheetId="2"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0"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localSheetId="6"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8"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9"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localSheetId="3"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localSheetId="7"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2"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0__FDSAUDITLINK__" localSheetId="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10"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1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1__FDSAUDITLINK__" localSheetId="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10"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1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2__FDSAUDITLINK__" localSheetId="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10"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1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3__FDSAUDITLINK__" localSheetId="2"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10"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6"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8"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9"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3"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7"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12"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4__FDSAUDITLINK__" localSheetId="2"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10"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6"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8"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9"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3"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7"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12"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0"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6"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8"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9"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3"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7"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2"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0"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6"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8"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9"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3"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7"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2"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0"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6"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8"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9"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3"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7"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2"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8__FDSAUDITLINK__" localSheetId="2"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10"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6"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8"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9"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3"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7"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12"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9__FDSAUDITLINK__" localSheetId="2"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10"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6"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8"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9"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3"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7"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12"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1__FDSAUDITLINK__" localSheetId="2"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localSheetId="6"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8"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localSheetId="7"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0__FDSAUDITLINK__" localSheetId="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10"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1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0"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0"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6"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8"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9"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3"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7"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2"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0"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6"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8"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9"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3"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7"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2"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0"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5__FDSAUDITLINK__" localSheetId="2"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10"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6"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8"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9"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3"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7"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12"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2__FDSAUDITLINK__" localSheetId="2"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localSheetId="6"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8"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localSheetId="7"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2"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0"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6"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8"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9"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3"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7"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4__FDSAUDITLINK__" localSheetId="2"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localSheetId="6"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8"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localSheetId="7"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5__FDSAUDITLINK__" localSheetId="2"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0"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localSheetId="6"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8"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localSheetId="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localSheetId="7"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0__FDSAUDITLINK__" localSheetId="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1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0"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6"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8"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9"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3"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7"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2"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0"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3__FDSAUDITLINK__" localSheetId="2"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10"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6"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8"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9"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3"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7"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12"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4__FDSAUDITLINK__" localSheetId="2"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10"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6"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8"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9"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3"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7"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12"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0"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6"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8"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9"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3"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7"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2"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0"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6"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8"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9"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3"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7"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2"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7__FDSAUDITLINK__" localSheetId="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1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8__FDSAUDITLINK__" localSheetId="2"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10"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6"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8"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9"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3"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7"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12"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9__FDSAUDITLINK__" localSheetId="2"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10"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6"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8"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9"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3"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7"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12"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6__FDSAUDITLINK__" localSheetId="2"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0"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localSheetId="6"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8"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9"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localSheetId="3"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localSheetId="7"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2"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0__FDSAUDITLINK__" localSheetId="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1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2__FDSAUDITLINK__" localSheetId="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1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0"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5__FDSAUDITLINK__" localSheetId="2"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10"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6"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8"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9"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3"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7"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12"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6__FDSAUDITLINK__" localSheetId="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10"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1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0"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6"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8"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9"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3"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7"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2"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7__FDSAUDITLINK__" localSheetId="2"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0"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localSheetId="6"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8"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9"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localSheetId="3"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localSheetId="7"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2"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0__FDSAUDITLINK__" localSheetId="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1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1__FDSAUDITLINK__" localSheetId="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1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2__FDSAUDITLINK__" localSheetId="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10"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1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3__FDSAUDITLINK__" localSheetId="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10"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1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5__FDSAUDITLINK__" localSheetId="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10"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1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0"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8__FDSAUDITLINK__" localSheetId="2"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0"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localSheetId="6"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8"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9"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localSheetId="3"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localSheetId="7"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2"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0__FDSAUDITLINK__" localSheetId="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1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2__FDSAUDITLINK__" localSheetId="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10"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1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3__FDSAUDITLINK__" localSheetId="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10"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1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5__FDSAUDITLINK__" localSheetId="2"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10"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6"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8"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9"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3"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7"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12"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6__FDSAUDITLINK__" localSheetId="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10"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6"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8"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9"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3"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1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8__FDSAUDITLINK__" localSheetId="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10"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1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9__FDSAUDITLINK__" localSheetId="2"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10"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6"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8"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9"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3"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7"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12"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9__FDSAUDITLINK__" localSheetId="2"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0"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localSheetId="6"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8"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9"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localSheetId="3"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localSheetId="7"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2"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0__FDSAUDITLINK__" localSheetId="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10"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1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1__FDSAUDITLINK__" localSheetId="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1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2__FDSAUDITLINK__" localSheetId="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1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0"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5__FDSAUDITLINK__" localSheetId="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1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0"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8__FDSAUDITLINK__" localSheetId="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1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9__FDSAUDITLINK__" localSheetId="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1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Q94">#REF!</definedName>
    <definedName name="_4Q95">#REF!</definedName>
    <definedName name="_5__123Graph_AMAG_PCE" hidden="1">[5]ADVOL!$S$23:$S$54</definedName>
    <definedName name="_5__123Graph_BCHART_1" localSheetId="2" hidden="1">'[6]Edge 10797 Drilling Inventory'!#REF!</definedName>
    <definedName name="_5__123Graph_BCHART_1" localSheetId="6" hidden="1">'[6]Edge 10797 Drilling Inventory'!#REF!</definedName>
    <definedName name="_5__123Graph_BCHART_1" localSheetId="8" hidden="1">'[6]Edge 10797 Drilling Inventory'!#REF!</definedName>
    <definedName name="_5__123Graph_BCHART_1" localSheetId="9" hidden="1">'[6]Edge 10797 Drilling Inventory'!#REF!</definedName>
    <definedName name="_5__123Graph_BCHART_1" localSheetId="3" hidden="1">'[6]Edge 10797 Drilling Inventory'!#REF!</definedName>
    <definedName name="_5__123Graph_BCHART_1" localSheetId="7" hidden="1">'[6]Edge 10797 Drilling Inventory'!#REF!</definedName>
    <definedName name="_5__123Graph_BCHART_1" localSheetId="12" hidden="1">'[6]Edge 10797 Drilling Inventory'!#REF!</definedName>
    <definedName name="_5__123Graph_BCHART_1" hidden="1">'[6]Edge 10797 Drilling Inventory'!#REF!</definedName>
    <definedName name="_5__123Graph_XLIQUIDS" hidden="1">[4]P!$R$29:$AK$29</definedName>
    <definedName name="_5__FDSAUDITLINK__" localSheetId="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10"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1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2"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0"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6"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8"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9"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3"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7"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2"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0"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6"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1__FDSAUDITLINK__" localSheetId="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1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2__FDSAUDITLINK__" localSheetId="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1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0"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0"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7__FDSAUDITLINK__" localSheetId="2"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10"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6"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8"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9"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3"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7"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12"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8__FDSAUDITLINK__" localSheetId="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1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9__FDSAUDITLINK__" localSheetId="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1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1__FDSAUDITLINK__" localSheetId="2"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0"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localSheetId="6"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8"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9"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localSheetId="3"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localSheetId="7"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2"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0__FDSAUDITLINK__" localSheetId="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10"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6"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1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3__FDSAUDITLINK__" localSheetId="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1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0"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6__FDSAUDITLINK__" localSheetId="2"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10"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6"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8"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9"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3"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7"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12"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7__FDSAUDITLINK__" localSheetId="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10"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1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2"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0"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6"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8"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9"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3"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7"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0__FDSAUDITLINK__" localSheetId="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1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1__FDSAUDITLINK__" localSheetId="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10"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1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5__FDSAUDITLINK__" localSheetId="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1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6__FDSAUDITLINK__" localSheetId="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1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8__FDSAUDITLINK__" localSheetId="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1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9__FDSAUDITLINK__" localSheetId="2"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10"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6"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8"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9"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3"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7"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12"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3__FDSAUDITLINK__" localSheetId="2"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0"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localSheetId="6"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8"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9"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localSheetId="3"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localSheetId="7"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2"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0__FDSAUDITLINK__" localSheetId="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1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1__FDSAUDITLINK__" localSheetId="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10"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1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0"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6"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8"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9"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3"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0"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4__FDSAUDITLINK__" localSheetId="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10"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1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5__FDSAUDITLINK__" localSheetId="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10"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6"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8"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9"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3"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1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8__FDSAUDITLINK__" localSheetId="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10"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6"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8"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9"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3"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1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9__FDSAUDITLINK__" localSheetId="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1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4__FDSAUDITLINK__" localSheetId="2"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0"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localSheetId="6"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8"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9"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localSheetId="3"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localSheetId="7"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2"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0__FDSAUDITLINK__" localSheetId="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10"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6"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1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0"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6"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8"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9"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3"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0"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6"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8"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9"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3"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3__FDSAUDITLINK__" localSheetId="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1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4__FDSAUDITLINK__" localSheetId="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1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5__FDSAUDITLINK__" localSheetId="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1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6__FDSAUDITLINK__" localSheetId="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1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7__FDSAUDITLINK__" localSheetId="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1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2"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0"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6"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8"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9"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3"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7"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0"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6"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8"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9"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3"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1__FDSAUDITLINK__" localSheetId="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1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2__FDSAUDITLINK__" localSheetId="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10"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6"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1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0"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0"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5__FDSAUDITLINK__" localSheetId="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10"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1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6__FDSAUDITLINK__" localSheetId="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10"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1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0"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8__FDSAUDITLINK__" localSheetId="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10"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1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9__FDSAUDITLINK__" localSheetId="2"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10"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6"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8"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9"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3"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7"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12"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6__FDSAUDITLINK__" localSheetId="2"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localSheetId="6"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8"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localSheetId="7"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0__FDSAUDITLINK__" localSheetId="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1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1__FDSAUDITLINK__" localSheetId="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10"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1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0"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6"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8"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9"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3"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7"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2"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0"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6"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8"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9"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3"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7"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2"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0"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6"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8"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9"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3"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2"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0"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6"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8"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9"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3"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7"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0__FDSAUDITLINK__" localSheetId="2"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10"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6"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8"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9"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3"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7"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12"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1__FDSAUDITLINK__" localSheetId="2"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10"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6"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8"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9"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3"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7"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12"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0"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6"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8"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9"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3"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7"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2"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3__FDSAUDITLINK__" localSheetId="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1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5__FDSAUDITLINK__" localSheetId="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1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6__FDSAUDITLINK__" localSheetId="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1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8__FDSAUDITLINK__" localSheetId="2"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10"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6"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8"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9"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3"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7"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12"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9__FDSAUDITLINK__" localSheetId="2"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10"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6"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8"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9"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3"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7"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12"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8__FDSAUDITLINK__" localSheetId="2"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0"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localSheetId="6"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8"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localSheetId="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localSheetId="7"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0"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1__FDSAUDITLINK__" localSheetId="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10"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1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2__FDSAUDITLINK__" localSheetId="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10"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1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3__FDSAUDITLINK__" localSheetId="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10"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1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4__FDSAUDITLINK__" localSheetId="2"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10"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6"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8"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9"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3"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7"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12"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0"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6"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8"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9"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3"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7"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2"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0"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6"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8"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9"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3"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7"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2"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0"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6"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8"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9"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3"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7"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2"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8__FDSAUDITLINK__" localSheetId="2"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10"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6"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8"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9"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3"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7"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12"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0"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2"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0"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6"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8"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9"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3"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7"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0"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0"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6"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8"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9"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3"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7"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2"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2__FDSAUDITLINK__" localSheetId="2"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10"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6"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8"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9"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3"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7"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12"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3__FDSAUDITLINK__" localSheetId="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1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4__FDSAUDITLINK__" localSheetId="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10"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1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5__FDSAUDITLINK__" localSheetId="2"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10"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6"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8"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9"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3"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7"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12"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6__FDSAUDITLINK__" localSheetId="2"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10"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6"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8"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9"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3"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7"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12"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7__FDSAUDITLINK__" localSheetId="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1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0"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6"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8"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9"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3"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7"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2"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9__FDSAUDITLINK__" localSheetId="2"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10"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6"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8"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9"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3"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7"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12"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6__123Graph_ANRET_PCE" hidden="1">[5]ADVOL!$AD$23:$AD$57</definedName>
    <definedName name="_6__123Graph_BCHART_2" localSheetId="2" hidden="1">'[6]Edge 10797 Drilling Inventory'!#REF!</definedName>
    <definedName name="_6__123Graph_BCHART_2" localSheetId="6" hidden="1">'[6]Edge 10797 Drilling Inventory'!#REF!</definedName>
    <definedName name="_6__123Graph_BCHART_2" localSheetId="8" hidden="1">'[6]Edge 10797 Drilling Inventory'!#REF!</definedName>
    <definedName name="_6__123Graph_BCHART_2" localSheetId="9" hidden="1">'[6]Edge 10797 Drilling Inventory'!#REF!</definedName>
    <definedName name="_6__123Graph_BCHART_2" localSheetId="3" hidden="1">'[6]Edge 10797 Drilling Inventory'!#REF!</definedName>
    <definedName name="_6__123Graph_BCHART_2" localSheetId="7" hidden="1">'[6]Edge 10797 Drilling Inventory'!#REF!</definedName>
    <definedName name="_6__123Graph_BCHART_2" localSheetId="12" hidden="1">'[6]Edge 10797 Drilling Inventory'!#REF!</definedName>
    <definedName name="_6__123Graph_BCHART_2" hidden="1">'[6]Edge 10797 Drilling Inventory'!#REF!</definedName>
    <definedName name="_6__123Graph_XR_M_MARG" hidden="1">[4]P!$R$29:$AK$29</definedName>
    <definedName name="_6__FDSAUDITLINK__" localSheetId="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10"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1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2"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6"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8"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7"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0__FDSAUDITLINK__" localSheetId="2"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10"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6"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8"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9"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3"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7"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12"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1__FDSAUDITLINK__" localSheetId="2"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10"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6"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8"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9"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3"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7"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12"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0"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6"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8"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9"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3"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7"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2"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0"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4__FDSAUDITLINK__" localSheetId="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10"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1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5__FDSAUDITLINK__" localSheetId="2"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10"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6"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8"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9"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3"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7"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12"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6__FDSAUDITLINK__" localSheetId="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10"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1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0"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0"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1__FDSAUDITLINK__" localSheetId="2"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localSheetId="6"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8"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localSheetId="7"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0__FDSAUDITLINK__" localSheetId="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1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0"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6"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8"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9"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3"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3__FDSAUDITLINK__" localSheetId="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10"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1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4__FDSAUDITLINK__" localSheetId="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10"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1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5__FDSAUDITLINK__" localSheetId="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10"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1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6__FDSAUDITLINK__" localSheetId="2"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10"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6"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8"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9"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3"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7"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12"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7__FDSAUDITLINK__" localSheetId="2"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10"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6"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8"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9"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3"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7"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12"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0"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6"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8"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9"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3"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7"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2"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0"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6"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8"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9"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3"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7"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2"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2__FDSAUDITLINK__" localSheetId="2"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localSheetId="6"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8"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localSheetId="7"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0__FDSAUDITLINK__" localSheetId="2"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10"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6"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8"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9"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3"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7"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12"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1__FDSAUDITLINK__" localSheetId="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10"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1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0"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0"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6"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8"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9"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3"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7"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2"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0"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6"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8"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9"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3"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7"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2"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0"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6__FDSAUDITLINK__" localSheetId="2"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10"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6"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8"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9"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3"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7"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12"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3__FDSAUDITLINK__" localSheetId="2"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localSheetId="6"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8"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localSheetId="7"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4__FDSAUDITLINK__" localSheetId="2"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0"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localSheetId="6"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8"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9"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localSheetId="3"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localSheetId="7"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2"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2"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0"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6"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8"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7"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6__FDSAUDITLINK__" localSheetId="2"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0"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localSheetId="6"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8"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9"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localSheetId="3"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localSheetId="7"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2"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7__FDSAUDITLINK__" localSheetId="2"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0"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localSheetId="6"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8"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localSheetId="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localSheetId="7"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8__FDSAUDITLINK__" localSheetId="2"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0"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localSheetId="6"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8"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9"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localSheetId="3"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localSheetId="7"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2"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9__FDSAUDITLINK__" localSheetId="2"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0"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localSheetId="6"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8"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9"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localSheetId="3"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localSheetId="7"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2"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7__123Graph_ANRET_RS" hidden="1">[5]ADVOL!$AG$30:$AG$56</definedName>
    <definedName name="_7__123Graph_BCHART_3" localSheetId="2" hidden="1">'[6]Edge 10797 Drilling Inventory'!#REF!</definedName>
    <definedName name="_7__123Graph_BCHART_3" localSheetId="6" hidden="1">'[6]Edge 10797 Drilling Inventory'!#REF!</definedName>
    <definedName name="_7__123Graph_BCHART_3" localSheetId="8" hidden="1">'[6]Edge 10797 Drilling Inventory'!#REF!</definedName>
    <definedName name="_7__123Graph_BCHART_3" localSheetId="9" hidden="1">'[6]Edge 10797 Drilling Inventory'!#REF!</definedName>
    <definedName name="_7__123Graph_BCHART_3" localSheetId="3" hidden="1">'[6]Edge 10797 Drilling Inventory'!#REF!</definedName>
    <definedName name="_7__123Graph_BCHART_3" localSheetId="7" hidden="1">'[6]Edge 10797 Drilling Inventory'!#REF!</definedName>
    <definedName name="_7__123Graph_BCHART_3" localSheetId="12" hidden="1">'[6]Edge 10797 Drilling Inventory'!#REF!</definedName>
    <definedName name="_7__123Graph_BCHART_3" hidden="1">'[6]Edge 10797 Drilling Inventory'!#REF!</definedName>
    <definedName name="_7__FDSAUDITLINK__" localSheetId="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10"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1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0__FDSAUDITLINK__" localSheetId="2"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0"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localSheetId="6"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8"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9"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localSheetId="3"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localSheetId="7"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2"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2"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0"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6"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8"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9"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3"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7"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2"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2"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0"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6"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8"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9"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3"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7"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2"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2"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0"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6"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8"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9"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3"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7"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2"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2"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0"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6"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8"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9"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3"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7"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2"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2"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0"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6"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8"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9"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3"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7"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2"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6__FDSAUDITLINK__" localSheetId="2"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0"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localSheetId="6"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8"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9"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localSheetId="3"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localSheetId="7"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2"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7__FDSAUDITLINK__" localSheetId="2"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0"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localSheetId="6"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8"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9"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localSheetId="3"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localSheetId="7"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2"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8__FDSAUDITLINK__" localSheetId="2"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0"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localSheetId="6"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8"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9"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localSheetId="3"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localSheetId="7"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2"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2"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0"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6"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8"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9"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3"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7"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2"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8__123Graph_ANRT_PCE" hidden="1">[5]ADVOL!$AD$97:$AD$131</definedName>
    <definedName name="_8__123Graph_LBL_ACHART_1" localSheetId="2" hidden="1">'[6]Edge 10797 Drilling Inventory'!#REF!</definedName>
    <definedName name="_8__123Graph_LBL_ACHART_1" localSheetId="6" hidden="1">'[6]Edge 10797 Drilling Inventory'!#REF!</definedName>
    <definedName name="_8__123Graph_LBL_ACHART_1" localSheetId="8" hidden="1">'[6]Edge 10797 Drilling Inventory'!#REF!</definedName>
    <definedName name="_8__123Graph_LBL_ACHART_1" localSheetId="9" hidden="1">'[6]Edge 10797 Drilling Inventory'!#REF!</definedName>
    <definedName name="_8__123Graph_LBL_ACHART_1" localSheetId="3" hidden="1">'[6]Edge 10797 Drilling Inventory'!#REF!</definedName>
    <definedName name="_8__123Graph_LBL_ACHART_1" localSheetId="7" hidden="1">'[6]Edge 10797 Drilling Inventory'!#REF!</definedName>
    <definedName name="_8__123Graph_LBL_ACHART_1" localSheetId="12" hidden="1">'[6]Edge 10797 Drilling Inventory'!#REF!</definedName>
    <definedName name="_8__123Graph_LBL_ACHART_1" hidden="1">'[6]Edge 10797 Drilling Inventory'!#REF!</definedName>
    <definedName name="_8__FDSAUDITLINK__" localSheetId="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10"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1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0__FDSAUDITLINK__" localSheetId="2"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0"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localSheetId="6"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8"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9"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localSheetId="3"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localSheetId="7"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2"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1__FDSAUDITLINK__" localSheetId="2"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localSheetId="6"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8"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localSheetId="7"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2"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0"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6"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8"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7"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3__FDSAUDITLINK__" localSheetId="2"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localSheetId="6"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8"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localSheetId="7"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4__FDSAUDITLINK__" localSheetId="2"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0"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localSheetId="6"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8"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localSheetId="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localSheetId="7"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2"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0"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6"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8"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9"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3"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7"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2"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0"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6"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8"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7"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7__FDSAUDITLINK__" localSheetId="2"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0"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localSheetId="6"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8"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9"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localSheetId="3"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localSheetId="7"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8__FDSAUDITLINK__" localSheetId="2"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0"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localSheetId="6"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8"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localSheetId="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localSheetId="7"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9__FDSAUDITLINK__" localSheetId="2"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localSheetId="6"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8"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localSheetId="7"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9__123Graph_BADV_GDP" hidden="1">[5]ADVOL!$F$97:$F$128</definedName>
    <definedName name="_9__123Graph_LBL_ACHART_2" localSheetId="2" hidden="1">'[6]Edge 10797 Drilling Inventory'!#REF!</definedName>
    <definedName name="_9__123Graph_LBL_ACHART_2" localSheetId="6" hidden="1">'[6]Edge 10797 Drilling Inventory'!#REF!</definedName>
    <definedName name="_9__123Graph_LBL_ACHART_2" localSheetId="8" hidden="1">'[6]Edge 10797 Drilling Inventory'!#REF!</definedName>
    <definedName name="_9__123Graph_LBL_ACHART_2" localSheetId="9" hidden="1">'[6]Edge 10797 Drilling Inventory'!#REF!</definedName>
    <definedName name="_9__123Graph_LBL_ACHART_2" localSheetId="3" hidden="1">'[6]Edge 10797 Drilling Inventory'!#REF!</definedName>
    <definedName name="_9__123Graph_LBL_ACHART_2" localSheetId="7" hidden="1">'[6]Edge 10797 Drilling Inventory'!#REF!</definedName>
    <definedName name="_9__123Graph_LBL_ACHART_2" localSheetId="12" hidden="1">'[6]Edge 10797 Drilling Inventory'!#REF!</definedName>
    <definedName name="_9__123Graph_LBL_ACHART_2" hidden="1">'[6]Edge 10797 Drilling Inventory'!#REF!</definedName>
    <definedName name="_9__FDSAUDITLINK__" localSheetId="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10"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1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0__FDSAUDITLINK__" localSheetId="2"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0"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localSheetId="6"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8"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9"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localSheetId="3"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localSheetId="7"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2"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1__FDSAUDITLINK__" localSheetId="2"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0"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localSheetId="6"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8"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9"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localSheetId="3"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localSheetId="7"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2"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2__FDSAUDITLINK__" localSheetId="2"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0"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localSheetId="6"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8"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9"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localSheetId="3"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localSheetId="7"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2"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2"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0"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6"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8"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9"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3"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7"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2"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4__FDSAUDITLINK__" localSheetId="2"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localSheetId="6"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8"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localSheetId="7"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5__FDSAUDITLINK__" localSheetId="2"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localSheetId="6"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8"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localSheetId="7"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6__FDSAUDITLINK__" localSheetId="2"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localSheetId="6"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8"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localSheetId="7"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2"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0"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6"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8"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7"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2"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6"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8"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7"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2"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6"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8"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7"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bdm.02E29E7B1053433EA3CCCBE4E5141596.edm" hidden="1">[7]Sheet1!$1:$1048576</definedName>
    <definedName name="_bdm.0465D0F8BD2C4E888AB9C11EA0CBE52C.edm" hidden="1">'[8]rev change analysis'!$1:$1048576</definedName>
    <definedName name="_bdm.05014202F2F74FEBA82C7ECB9BD89D08.edm" hidden="1">'[9]Ace-Out'!$1:$1048576</definedName>
    <definedName name="_bdm.07B5818A383F4DC2A6BFA30C130CBB78.edm" hidden="1">'[9]AFFILIATES (2)'!$1:$1048576</definedName>
    <definedName name="_bdm.0B341BE4D8094DE588E2D5F8CE090BA0.edm" localSheetId="2" hidden="1">#REF!</definedName>
    <definedName name="_bdm.0B341BE4D8094DE588E2D5F8CE090BA0.edm" localSheetId="10" hidden="1">#REF!</definedName>
    <definedName name="_bdm.0B341BE4D8094DE588E2D5F8CE090BA0.edm" localSheetId="6" hidden="1">#REF!</definedName>
    <definedName name="_bdm.0B341BE4D8094DE588E2D5F8CE090BA0.edm" localSheetId="8" hidden="1">#REF!</definedName>
    <definedName name="_bdm.0B341BE4D8094DE588E2D5F8CE090BA0.edm" localSheetId="9" hidden="1">#REF!</definedName>
    <definedName name="_bdm.0B341BE4D8094DE588E2D5F8CE090BA0.edm" localSheetId="3" hidden="1">#REF!</definedName>
    <definedName name="_bdm.0B341BE4D8094DE588E2D5F8CE090BA0.edm" localSheetId="7" hidden="1">#REF!</definedName>
    <definedName name="_bdm.0B341BE4D8094DE588E2D5F8CE090BA0.edm" localSheetId="12" hidden="1">#REF!</definedName>
    <definedName name="_bdm.0B341BE4D8094DE588E2D5F8CE090BA0.edm" hidden="1">#REF!</definedName>
    <definedName name="_bdm.14D1A22932234486A69AAF8B879B86C4.edm" hidden="1">'[10]Ace-Out'!$1:$1048576</definedName>
    <definedName name="_bdm.1BB247BF873F4738A7B222A36B9E0B0F.edm" hidden="1">[8]DCF!$1:$1048576</definedName>
    <definedName name="_bdm.2DD2C96D34A94119897BA9F9064DA371.edm" hidden="1">'[11]rev change analysis'!$1:$1048576</definedName>
    <definedName name="_bdm.312C5E895E1543D19C7EFF6DFE3C9678.edm" hidden="1">[12]Performance!$1:$1048576</definedName>
    <definedName name="_bdm.31B38A4456914D13B036C519BB497D92.edm" hidden="1">'[13]rev change analysis'!$1:$1048576</definedName>
    <definedName name="_bdm.32D7B9D24AF64DA9AE0D64C1FEF4C1CC.edm" localSheetId="2" hidden="1">#REF!</definedName>
    <definedName name="_bdm.32D7B9D24AF64DA9AE0D64C1FEF4C1CC.edm" localSheetId="10" hidden="1">#REF!</definedName>
    <definedName name="_bdm.32D7B9D24AF64DA9AE0D64C1FEF4C1CC.edm" localSheetId="6" hidden="1">#REF!</definedName>
    <definedName name="_bdm.32D7B9D24AF64DA9AE0D64C1FEF4C1CC.edm" localSheetId="8" hidden="1">#REF!</definedName>
    <definedName name="_bdm.32D7B9D24AF64DA9AE0D64C1FEF4C1CC.edm" localSheetId="9" hidden="1">#REF!</definedName>
    <definedName name="_bdm.32D7B9D24AF64DA9AE0D64C1FEF4C1CC.edm" localSheetId="3" hidden="1">#REF!</definedName>
    <definedName name="_bdm.32D7B9D24AF64DA9AE0D64C1FEF4C1CC.edm" localSheetId="7" hidden="1">#REF!</definedName>
    <definedName name="_bdm.32D7B9D24AF64DA9AE0D64C1FEF4C1CC.edm" localSheetId="12" hidden="1">#REF!</definedName>
    <definedName name="_bdm.32D7B9D24AF64DA9AE0D64C1FEF4C1CC.edm" hidden="1">#REF!</definedName>
    <definedName name="_bdm.384BFCED33ED4B149016C877E23F998D.edm" hidden="1">'[13]short IS'!$1:$1048576</definedName>
    <definedName name="_bdm.42F67CCC3C1C45638B5EC98256E90947.edm" hidden="1">'[14]Good 12-00 (2)'!$1:$1048576</definedName>
    <definedName name="_bdm.46D56600DB7840728F138544F8E425DB.edm" hidden="1">'[14]Good 11-36'!$1:$1048576</definedName>
    <definedName name="_bdm.47A9582B933E4E72A394E87C9154471A.edm" hidden="1">'[12]PE FY1'!$1:$1048576</definedName>
    <definedName name="_bdm.47EB3A8D6EB649F8A5D7883E75A2EDC8.edm" localSheetId="8" hidden="1">#REF!</definedName>
    <definedName name="_bdm.47EB3A8D6EB649F8A5D7883E75A2EDC8.edm" localSheetId="9" hidden="1">#REF!</definedName>
    <definedName name="_bdm.47EB3A8D6EB649F8A5D7883E75A2EDC8.edm" localSheetId="3" hidden="1">#REF!</definedName>
    <definedName name="_bdm.47EB3A8D6EB649F8A5D7883E75A2EDC8.edm" localSheetId="7" hidden="1">#REF!</definedName>
    <definedName name="_bdm.47EB3A8D6EB649F8A5D7883E75A2EDC8.edm" localSheetId="12" hidden="1">#REF!</definedName>
    <definedName name="_bdm.47EB3A8D6EB649F8A5D7883E75A2EDC8.edm" hidden="1">#REF!</definedName>
    <definedName name="_bdm.4B0C5E9A7A304C39AE91E40CECBE19EC.edm" hidden="1">'[15]Vs Global'!$1:$1048576</definedName>
    <definedName name="_bdm.5DABC0184DB54AB5A1B2CA684F814CAA.edm" localSheetId="2" hidden="1">#REF!</definedName>
    <definedName name="_bdm.5DABC0184DB54AB5A1B2CA684F814CAA.edm" localSheetId="10" hidden="1">#REF!</definedName>
    <definedName name="_bdm.5DABC0184DB54AB5A1B2CA684F814CAA.edm" localSheetId="6" hidden="1">#REF!</definedName>
    <definedName name="_bdm.5DABC0184DB54AB5A1B2CA684F814CAA.edm" localSheetId="8" hidden="1">#REF!</definedName>
    <definedName name="_bdm.5DABC0184DB54AB5A1B2CA684F814CAA.edm" localSheetId="9" hidden="1">#REF!</definedName>
    <definedName name="_bdm.5DABC0184DB54AB5A1B2CA684F814CAA.edm" localSheetId="3" hidden="1">#REF!</definedName>
    <definedName name="_bdm.5DABC0184DB54AB5A1B2CA684F814CAA.edm" localSheetId="7" hidden="1">#REF!</definedName>
    <definedName name="_bdm.5DABC0184DB54AB5A1B2CA684F814CAA.edm" localSheetId="12" hidden="1">#REF!</definedName>
    <definedName name="_bdm.5DABC0184DB54AB5A1B2CA684F814CAA.edm" hidden="1">#REF!</definedName>
    <definedName name="_bdm.60A1016E4A5045B0B4BE42FB21AAF6D6.edm" hidden="1">'[14]Good 11-50'!$1:$1048576</definedName>
    <definedName name="_bdm.616E44005FE6405981F35900D6DC2E1A.edm" hidden="1">'[16]SLC USD'!$1:$1048576</definedName>
    <definedName name="_bdm.72DEA641117C458FB001A8023143E740.edm" hidden="1">'[17]pipeline-handout'!$1:$1048576</definedName>
    <definedName name="_bdm.7317521E367C4A50896524C70180A68C.edm" hidden="1">'[13]2015 rev change'!$1:$1048576</definedName>
    <definedName name="_bdm.76074D17ADD044A287D271B1AAFC4036.edm" hidden="1">'[13]Product Mix 100%'!$1:$1048576</definedName>
    <definedName name="_bdm.77192A69936D48368D0A13E908672759.edm" hidden="1">'[13]cost savings'!$1:$1048576</definedName>
    <definedName name="_bdm.7AD0907D10F74471B9EAB1D380B65FFA.edm" localSheetId="8" hidden="1">#REF!</definedName>
    <definedName name="_bdm.7AD0907D10F74471B9EAB1D380B65FFA.edm" localSheetId="9" hidden="1">#REF!</definedName>
    <definedName name="_bdm.7AD0907D10F74471B9EAB1D380B65FFA.edm" localSheetId="3" hidden="1">#REF!</definedName>
    <definedName name="_bdm.7AD0907D10F74471B9EAB1D380B65FFA.edm" localSheetId="7" hidden="1">#REF!</definedName>
    <definedName name="_bdm.7AD0907D10F74471B9EAB1D380B65FFA.edm" localSheetId="12" hidden="1">#REF!</definedName>
    <definedName name="_bdm.7AD0907D10F74471B9EAB1D380B65FFA.edm" hidden="1">#REF!</definedName>
    <definedName name="_bdm.7BD26B3608B542F58E240F2B55D81C5F.edm" hidden="1">[12]Results!$1:$1048576</definedName>
    <definedName name="_bdm.803A27019B5442DB920C7AA8DB319C37.edm" localSheetId="2" hidden="1">#REF!</definedName>
    <definedName name="_bdm.803A27019B5442DB920C7AA8DB319C37.edm" localSheetId="10" hidden="1">#REF!</definedName>
    <definedName name="_bdm.803A27019B5442DB920C7AA8DB319C37.edm" localSheetId="6" hidden="1">#REF!</definedName>
    <definedName name="_bdm.803A27019B5442DB920C7AA8DB319C37.edm" localSheetId="8" hidden="1">#REF!</definedName>
    <definedName name="_bdm.803A27019B5442DB920C7AA8DB319C37.edm" localSheetId="9" hidden="1">#REF!</definedName>
    <definedName name="_bdm.803A27019B5442DB920C7AA8DB319C37.edm" localSheetId="3" hidden="1">#REF!</definedName>
    <definedName name="_bdm.803A27019B5442DB920C7AA8DB319C37.edm" localSheetId="7" hidden="1">#REF!</definedName>
    <definedName name="_bdm.803A27019B5442DB920C7AA8DB319C37.edm" localSheetId="12" hidden="1">#REF!</definedName>
    <definedName name="_bdm.803A27019B5442DB920C7AA8DB319C37.edm" hidden="1">#REF!</definedName>
    <definedName name="_bdm.84F38A9759994A80A6CF34B5BBEB633C.edm" hidden="1">'[18]rev change analysis'!$1:$1048576</definedName>
    <definedName name="_bdm.879B950EBBAB4597B88189350706EC93.edm" hidden="1">'[19]Ace-Out'!$1:$1048576</definedName>
    <definedName name="_bdm.9301DDFC67D846248C16E96B86458D94.edm" hidden="1">'[8]rev contribution analysis'!$1:$1048576</definedName>
    <definedName name="_bdm.94C3FC3AA30F4A2A98F01CBD81AF3400.edm" localSheetId="2" hidden="1">#REF!</definedName>
    <definedName name="_bdm.94C3FC3AA30F4A2A98F01CBD81AF3400.edm" localSheetId="10" hidden="1">#REF!</definedName>
    <definedName name="_bdm.94C3FC3AA30F4A2A98F01CBD81AF3400.edm" localSheetId="6" hidden="1">#REF!</definedName>
    <definedName name="_bdm.94C3FC3AA30F4A2A98F01CBD81AF3400.edm" localSheetId="8" hidden="1">#REF!</definedName>
    <definedName name="_bdm.94C3FC3AA30F4A2A98F01CBD81AF3400.edm" localSheetId="9" hidden="1">#REF!</definedName>
    <definedName name="_bdm.94C3FC3AA30F4A2A98F01CBD81AF3400.edm" localSheetId="3" hidden="1">#REF!</definedName>
    <definedName name="_bdm.94C3FC3AA30F4A2A98F01CBD81AF3400.edm" localSheetId="7" hidden="1">#REF!</definedName>
    <definedName name="_bdm.94C3FC3AA30F4A2A98F01CBD81AF3400.edm" localSheetId="12" hidden="1">#REF!</definedName>
    <definedName name="_bdm.94C3FC3AA30F4A2A98F01CBD81AF3400.edm" hidden="1">#REF!</definedName>
    <definedName name="_bdm.9B45399882F64A698DD1C1BDB9A04C25.edm" hidden="1">[15]Peers!$1:$1048576</definedName>
    <definedName name="_bdm.A02D80F893DD4C7DA6D997E701C867FB.edm" hidden="1">[10]Results!$1:$1048576</definedName>
    <definedName name="_bdm.ABF68B911D8942438A2B464C7A4E0C3F.edm" hidden="1">'[16]AGRO BRL'!$1:$1048576</definedName>
    <definedName name="_bdm.B7CC83D9B1D34661812434787CF5F95D.edm" hidden="1">'[20]Ace-Out'!$1:$1048576</definedName>
    <definedName name="_bdm.BC24D84D167F490CB707C13DAD482FB0.edm" localSheetId="2" hidden="1">#REF!</definedName>
    <definedName name="_bdm.BC24D84D167F490CB707C13DAD482FB0.edm" localSheetId="10" hidden="1">#REF!</definedName>
    <definedName name="_bdm.BC24D84D167F490CB707C13DAD482FB0.edm" localSheetId="6" hidden="1">#REF!</definedName>
    <definedName name="_bdm.BC24D84D167F490CB707C13DAD482FB0.edm" localSheetId="8" hidden="1">#REF!</definedName>
    <definedName name="_bdm.BC24D84D167F490CB707C13DAD482FB0.edm" localSheetId="9" hidden="1">#REF!</definedName>
    <definedName name="_bdm.BC24D84D167F490CB707C13DAD482FB0.edm" localSheetId="3" hidden="1">#REF!</definedName>
    <definedName name="_bdm.BC24D84D167F490CB707C13DAD482FB0.edm" localSheetId="7" hidden="1">#REF!</definedName>
    <definedName name="_bdm.BC24D84D167F490CB707C13DAD482FB0.edm" localSheetId="12" hidden="1">#REF!</definedName>
    <definedName name="_bdm.BC24D84D167F490CB707C13DAD482FB0.edm" hidden="1">#REF!</definedName>
    <definedName name="_bdm.BE7E13023C594ED083AA3198647FF8FD.edm" localSheetId="8" hidden="1">#REF!</definedName>
    <definedName name="_bdm.BE7E13023C594ED083AA3198647FF8FD.edm" localSheetId="9" hidden="1">#REF!</definedName>
    <definedName name="_bdm.BE7E13023C594ED083AA3198647FF8FD.edm" localSheetId="3" hidden="1">#REF!</definedName>
    <definedName name="_bdm.BE7E13023C594ED083AA3198647FF8FD.edm" localSheetId="7" hidden="1">#REF!</definedName>
    <definedName name="_bdm.BE7E13023C594ED083AA3198647FF8FD.edm" localSheetId="12" hidden="1">#REF!</definedName>
    <definedName name="_bdm.BE7E13023C594ED083AA3198647FF8FD.edm" hidden="1">#REF!</definedName>
    <definedName name="_bdm.C7C6FBA36F39444B8BCEC128D5B7F931.edm" hidden="1">'[14]Sheet3 (5)'!$1:$1048576</definedName>
    <definedName name="_bdm.D8226746037A4B218F06698B6B570FD4.edm" hidden="1">'[21]Risk-Reward_View_Chart'!$1:$1048576</definedName>
    <definedName name="_bdm.E2B991B7B5454C4CBE252B2B73D6513B.edm" hidden="1">[22]margins!$1:$1048576</definedName>
    <definedName name="_bdm.E8E1D9C16424403FB6536CF6D099CF86.edm" hidden="1">[15]Performance!$1:$1048576</definedName>
    <definedName name="_bdm.F0D73515AC3D4919BC3602806970DE2D.edm" hidden="1">'[13]Per Pharma Traditional &amp; Biolog'!$1:$1048576</definedName>
    <definedName name="_bdm.F503F160FFA641EDB1AD757205401861.edm" hidden="1">'[22]rev change analysis'!$1:$1048576</definedName>
    <definedName name="_bdm.FA5426C63BEA4CFAA7E2E8F12419DEE9.edm" localSheetId="2" hidden="1">#REF!</definedName>
    <definedName name="_bdm.FA5426C63BEA4CFAA7E2E8F12419DEE9.edm" localSheetId="10" hidden="1">#REF!</definedName>
    <definedName name="_bdm.FA5426C63BEA4CFAA7E2E8F12419DEE9.edm" localSheetId="6" hidden="1">#REF!</definedName>
    <definedName name="_bdm.FA5426C63BEA4CFAA7E2E8F12419DEE9.edm" localSheetId="8" hidden="1">#REF!</definedName>
    <definedName name="_bdm.FA5426C63BEA4CFAA7E2E8F12419DEE9.edm" localSheetId="9" hidden="1">#REF!</definedName>
    <definedName name="_bdm.FA5426C63BEA4CFAA7E2E8F12419DEE9.edm" localSheetId="3" hidden="1">#REF!</definedName>
    <definedName name="_bdm.FA5426C63BEA4CFAA7E2E8F12419DEE9.edm" localSheetId="7" hidden="1">#REF!</definedName>
    <definedName name="_bdm.FA5426C63BEA4CFAA7E2E8F12419DEE9.edm" localSheetId="12" hidden="1">#REF!</definedName>
    <definedName name="_bdm.FA5426C63BEA4CFAA7E2E8F12419DEE9.edm" hidden="1">#REF!</definedName>
    <definedName name="_CTB99">#REF!</definedName>
    <definedName name="_Fill" localSheetId="2" hidden="1">'[23]US&amp;EuroEarnings'!#REF!</definedName>
    <definedName name="_Fill" localSheetId="10" hidden="1">#REF!</definedName>
    <definedName name="_Fill" localSheetId="6" hidden="1">'[23]US&amp;EuroEarnings'!#REF!</definedName>
    <definedName name="_Fill" localSheetId="8" hidden="1">'[23]US&amp;EuroEarnings'!#REF!</definedName>
    <definedName name="_Fill" localSheetId="9" hidden="1">#REF!</definedName>
    <definedName name="_Fill" localSheetId="3" hidden="1">#REF!</definedName>
    <definedName name="_Fill" localSheetId="7" hidden="1">'[23]US&amp;EuroEarnings'!#REF!</definedName>
    <definedName name="_Fill" localSheetId="12" hidden="1">#REF!</definedName>
    <definedName name="_Fill" hidden="1">#REF!</definedName>
    <definedName name="_iQ_Create_CompliancePointInTime">#REF!</definedName>
    <definedName name="_iQ_Create_CompliancePointInTimeAE">#REF!</definedName>
    <definedName name="_iQ_Create_CompliancePointInTimeH">#REF!</definedName>
    <definedName name="_iQ_Create_CompliancePointInTimeIK">#REF!</definedName>
    <definedName name="_iQ_Create_PointInTime">#REF!</definedName>
    <definedName name="_iQ_Create_PointInTimeAE">#REF!</definedName>
    <definedName name="_iQ_Create_PointInTimeH">#REF!</definedName>
    <definedName name="_iQ_Create_PointInTimeIK">#REF!</definedName>
    <definedName name="_iQ_Create_PrimaryInstrument">#REF!</definedName>
    <definedName name="_iQ_Create_PrimaryInstrumentAE">#REF!</definedName>
    <definedName name="_iQ_Create_PrimaryInstrumentH">#REF!</definedName>
    <definedName name="_iQ_Create_PrimaryInstrumentIK">#REF!</definedName>
    <definedName name="_iQ_Create_SecondaryInstrument">#REF!</definedName>
    <definedName name="_iQ_Create_SecondaryInstrumentAE">#REF!</definedName>
    <definedName name="_iQ_Create_SecondaryInstrumentH">#REF!</definedName>
    <definedName name="_iQ_Create_SecondaryInstrumentIK">#REF!</definedName>
    <definedName name="_iQ_Create_TimeSeriesSection">#REF!</definedName>
    <definedName name="_iQ_Create_TimeSeriesSectionAE">#REF!</definedName>
    <definedName name="_iQ_Create_TimeSeriesSectionH">#REF!</definedName>
    <definedName name="_iQ_Create_TimeSeriesSectionIK">#REF!</definedName>
    <definedName name="_Key1" localSheetId="2" hidden="1">[24]単独!$U$1</definedName>
    <definedName name="_Key1" localSheetId="10" hidden="1">#REF!</definedName>
    <definedName name="_Key1" localSheetId="6" hidden="1">[24]単独!$U$1</definedName>
    <definedName name="_Key1" localSheetId="8" hidden="1">'[6]Edge 10797 Drilling Inventory'!#REF!</definedName>
    <definedName name="_Key1" localSheetId="9" hidden="1">#REF!</definedName>
    <definedName name="_Key1" localSheetId="3" hidden="1">#REF!</definedName>
    <definedName name="_Key1" localSheetId="7" hidden="1">[24]単独!$U$1</definedName>
    <definedName name="_Key1" localSheetId="12" hidden="1">#REF!</definedName>
    <definedName name="_Key1" hidden="1">#REF!</definedName>
    <definedName name="_NCB99">#REF!</definedName>
    <definedName name="_NG_26de9">#REF!</definedName>
    <definedName name="_NG_37fd8">#REF!</definedName>
    <definedName name="_NG_659ae">#REF!</definedName>
    <definedName name="_NG_76037">#REF!</definedName>
    <definedName name="_NG_ea92b">#REF!</definedName>
    <definedName name="_Order1" localSheetId="8" hidden="1">255</definedName>
    <definedName name="_Order1" localSheetId="3" hidden="1">255</definedName>
    <definedName name="_Order1" localSheetId="12" hidden="1">255</definedName>
    <definedName name="_Order1" hidden="1">0</definedName>
    <definedName name="_Order2" hidden="1">255</definedName>
    <definedName name="_Regression_Int" hidden="1">1</definedName>
    <definedName name="_Regression_Out" localSheetId="2" hidden="1">#REF!</definedName>
    <definedName name="_Regression_Out" localSheetId="10" hidden="1">#REF!</definedName>
    <definedName name="_Regression_Out" localSheetId="6" hidden="1">#REF!</definedName>
    <definedName name="_Regression_Out" localSheetId="8" hidden="1">#REF!</definedName>
    <definedName name="_Regression_Out" localSheetId="9" hidden="1">#REF!</definedName>
    <definedName name="_Regression_Out" localSheetId="3" hidden="1">#REF!</definedName>
    <definedName name="_Regression_Out" localSheetId="7" hidden="1">#REF!</definedName>
    <definedName name="_Regression_Out" localSheetId="12" hidden="1">#REF!</definedName>
    <definedName name="_Regression_Out" hidden="1">#REF!</definedName>
    <definedName name="_Regression_X" localSheetId="2" hidden="1">#REF!</definedName>
    <definedName name="_Regression_X" localSheetId="10" hidden="1">#REF!</definedName>
    <definedName name="_Regression_X" localSheetId="6" hidden="1">#REF!</definedName>
    <definedName name="_Regression_X" localSheetId="8" hidden="1">#REF!</definedName>
    <definedName name="_Regression_X" localSheetId="9" hidden="1">#REF!</definedName>
    <definedName name="_Regression_X" localSheetId="3" hidden="1">#REF!</definedName>
    <definedName name="_Regression_X" localSheetId="7" hidden="1">#REF!</definedName>
    <definedName name="_Regression_X" localSheetId="12" hidden="1">#REF!</definedName>
    <definedName name="_Regression_X" hidden="1">#REF!</definedName>
    <definedName name="_Regression_Y" localSheetId="2" hidden="1">#REF!</definedName>
    <definedName name="_Regression_Y" localSheetId="10" hidden="1">#REF!</definedName>
    <definedName name="_Regression_Y" localSheetId="6" hidden="1">#REF!</definedName>
    <definedName name="_Regression_Y" localSheetId="8" hidden="1">#REF!</definedName>
    <definedName name="_Regression_Y" localSheetId="9" hidden="1">#REF!</definedName>
    <definedName name="_Regression_Y" localSheetId="3" hidden="1">#REF!</definedName>
    <definedName name="_Regression_Y" localSheetId="7" hidden="1">#REF!</definedName>
    <definedName name="_Regression_Y" localSheetId="12" hidden="1">#REF!</definedName>
    <definedName name="_Regression_Y" hidden="1">#REF!</definedName>
    <definedName name="_Sort" localSheetId="2" hidden="1">[24]単独!$A$512:$AC$552</definedName>
    <definedName name="_Sort" localSheetId="10" hidden="1">#REF!</definedName>
    <definedName name="_Sort" localSheetId="6" hidden="1">[24]単独!$A$512:$AC$552</definedName>
    <definedName name="_Sort" localSheetId="8" hidden="1">'[6]Edge 10797 Drilling Inventory'!#REF!</definedName>
    <definedName name="_Sort" localSheetId="9" hidden="1">#REF!</definedName>
    <definedName name="_Sort" localSheetId="3" hidden="1">#REF!</definedName>
    <definedName name="_Sort" localSheetId="7" hidden="1">[24]単独!$A$512:$AC$552</definedName>
    <definedName name="_Sort" localSheetId="12" hidden="1">#REF!</definedName>
    <definedName name="_Sort" hidden="1">#REF!</definedName>
    <definedName name="_Table1_In1" localSheetId="2" hidden="1">'[6]#REF'!#REF!</definedName>
    <definedName name="_Table1_In1" localSheetId="6" hidden="1">'[6]#REF'!#REF!</definedName>
    <definedName name="_Table1_In1" localSheetId="8" hidden="1">'[6]#REF'!#REF!</definedName>
    <definedName name="_Table1_In1" localSheetId="7" hidden="1">'[6]#REF'!#REF!</definedName>
    <definedName name="_Table1_In1" localSheetId="12" hidden="1">'[25]qtrly cash flow'!$AI$30:$AI$30</definedName>
    <definedName name="_Table1_In1" hidden="1">'[25]qtrly cash flow'!$AI$30:$AI$30</definedName>
    <definedName name="_Table1_Out" localSheetId="2" hidden="1">#REF!</definedName>
    <definedName name="_Table1_Out" localSheetId="6" hidden="1">#REF!</definedName>
    <definedName name="_Table1_Out" localSheetId="8" hidden="1">#REF!</definedName>
    <definedName name="_Table1_Out" localSheetId="7" hidden="1">#REF!</definedName>
    <definedName name="_Table1_Out" localSheetId="12" hidden="1">'[25]qtrly cash flow'!$AT$27:$AU$31</definedName>
    <definedName name="_Table1_Out" hidden="1">'[25]qtrly cash flow'!$AT$27:$AU$31</definedName>
    <definedName name="_Table2_In1" localSheetId="2" hidden="1">'[6]#REF'!#REF!</definedName>
    <definedName name="_Table2_In1" localSheetId="6" hidden="1">'[6]#REF'!#REF!</definedName>
    <definedName name="_Table2_In1" localSheetId="8" hidden="1">'[6]#REF'!#REF!</definedName>
    <definedName name="_Table2_In1" localSheetId="9" hidden="1">'[6]#REF'!#REF!</definedName>
    <definedName name="_Table2_In1" localSheetId="3" hidden="1">'[6]#REF'!#REF!</definedName>
    <definedName name="_Table2_In1" localSheetId="7" hidden="1">'[6]#REF'!#REF!</definedName>
    <definedName name="_Table2_In1" localSheetId="12" hidden="1">'[6]#REF'!#REF!</definedName>
    <definedName name="_Table2_In1" hidden="1">'[6]#REF'!#REF!</definedName>
    <definedName name="a" localSheetId="2" hidden="1">[24]ｾｸﾞﾒﾝﾄ!$E$165:$I$165</definedName>
    <definedName name="a" localSheetId="6" hidden="1">[24]ｾｸﾞﾒﾝﾄ!$E$165:$I$165</definedName>
    <definedName name="a" localSheetId="8" hidden="1">'[6]#REF'!#REF!</definedName>
    <definedName name="a" localSheetId="3" hidden="1">{"comps",#N/A,FALSE,"TXTCOMPS";"segment_EPS",#N/A,FALSE,"TXTCOMPS";"valuation",#N/A,FALSE,"TXTCOMPS"}</definedName>
    <definedName name="a" localSheetId="7" hidden="1">[24]ｾｸﾞﾒﾝﾄ!$E$165:$I$165</definedName>
    <definedName name="a" localSheetId="12" hidden="1">{"comps",#N/A,FALSE,"TXTCOMPS";"segment_EPS",#N/A,FALSE,"TXTCOMPS";"valuation",#N/A,FALSE,"TXTCOMPS"}</definedName>
    <definedName name="a" hidden="1">[26]!PRT6BD5BK32</definedName>
    <definedName name="aaa" localSheetId="2" hidden="1">{"AVSHAR","BSHAR"}</definedName>
    <definedName name="aaa" localSheetId="10" hidden="1">{"AVSHAR","BSHAR"}</definedName>
    <definedName name="aaa" localSheetId="6" hidden="1">{"AVSHAR","BSHAR"}</definedName>
    <definedName name="aaa" localSheetId="8" hidden="1">{"AVSHAR","BSHAR"}</definedName>
    <definedName name="aaa" localSheetId="9" hidden="1">{"AVSHAR","BSHAR"}</definedName>
    <definedName name="aaa" localSheetId="3" hidden="1">{"AVSHAR","BSHAR"}</definedName>
    <definedName name="aaa" localSheetId="7" hidden="1">{"AVSHAR","BSHAR"}</definedName>
    <definedName name="aaa" localSheetId="12" hidden="1">{"AVSHAR","BSHAR"}</definedName>
    <definedName name="aaa" hidden="1">{"AVSHAR","BSHAR"}</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bbSales">#REF!</definedName>
    <definedName name="abc"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ctual" localSheetId="2" hidden="1">{#N/A,#N/A,TRUE,"Historicals";#N/A,#N/A,TRUE,"Charts";#N/A,#N/A,TRUE,"Forecasts"}</definedName>
    <definedName name="Actual" localSheetId="10" hidden="1">{#N/A,#N/A,TRUE,"Historicals";#N/A,#N/A,TRUE,"Charts";#N/A,#N/A,TRUE,"Forecasts"}</definedName>
    <definedName name="Actual" localSheetId="6" hidden="1">{#N/A,#N/A,TRUE,"Historicals";#N/A,#N/A,TRUE,"Charts";#N/A,#N/A,TRUE,"Forecasts"}</definedName>
    <definedName name="Actual" localSheetId="8" hidden="1">{#N/A,#N/A,TRUE,"Historicals";#N/A,#N/A,TRUE,"Charts";#N/A,#N/A,TRUE,"Forecasts"}</definedName>
    <definedName name="Actual" localSheetId="9" hidden="1">{#N/A,#N/A,TRUE,"Historicals";#N/A,#N/A,TRUE,"Charts";#N/A,#N/A,TRUE,"Forecasts"}</definedName>
    <definedName name="Actual" localSheetId="3" hidden="1">{#N/A,#N/A,TRUE,"Historicals";#N/A,#N/A,TRUE,"Charts";#N/A,#N/A,TRUE,"Forecasts"}</definedName>
    <definedName name="Actual" localSheetId="7" hidden="1">{#N/A,#N/A,TRUE,"Historicals";#N/A,#N/A,TRUE,"Charts";#N/A,#N/A,TRUE,"Forecasts"}</definedName>
    <definedName name="Actual" localSheetId="12" hidden="1">{#N/A,#N/A,TRUE,"Historicals";#N/A,#N/A,TRUE,"Charts";#N/A,#N/A,TRUE,"Forecasts"}</definedName>
    <definedName name="Actual" hidden="1">{#N/A,#N/A,TRUE,"Historicals";#N/A,#N/A,TRUE,"Charts";#N/A,#N/A,TRUE,"Forecasts"}</definedName>
    <definedName name="AHC_CAPEX">#REF!</definedName>
    <definedName name="AHC_CAPEX_2004">#REF!</definedName>
    <definedName name="AHC_CAPEX_2005">#REF!</definedName>
    <definedName name="AHC_CAPEX_2006">#REF!</definedName>
    <definedName name="AHC_CAPEX_2007">#REF!</definedName>
    <definedName name="AHC_CAPEX_Chems">#REF!</definedName>
    <definedName name="AHC_CAPEX_EP">#REF!</definedName>
    <definedName name="AHC_CAPEX_EP_2004">#REF!</definedName>
    <definedName name="AHC_CAPEX_EP_2005">#REF!</definedName>
    <definedName name="AHC_CAPEX_EP_2006">#REF!</definedName>
    <definedName name="AHC_CAPEX_EP_2007">#REF!</definedName>
    <definedName name="AHC_CAPEX_Other">#REF!</definedName>
    <definedName name="AHC_CAPEX_Other_2004">#REF!</definedName>
    <definedName name="AHC_CAPEX_Other_2005">#REF!</definedName>
    <definedName name="AHC_CAPEX_Other_2006">#REF!</definedName>
    <definedName name="AHC_CAPEX_Other_2007">#REF!</definedName>
    <definedName name="AHC_CAPEX_RM">#REF!</definedName>
    <definedName name="AHC_CAPEX_RM_2004">#REF!</definedName>
    <definedName name="AHC_CAPEX_RM_2005">#REF!</definedName>
    <definedName name="AHC_CAPEX_RM_2006">#REF!</definedName>
    <definedName name="AHC_CAPEX_RM_2007">#REF!</definedName>
    <definedName name="AllSegments">#REF!</definedName>
    <definedName name="AmortGwill">#REF!</definedName>
    <definedName name="Analyst">#REF!</definedName>
    <definedName name="Analyst_Email">#REF!</definedName>
    <definedName name="Analyst_Phone">#REF!</definedName>
    <definedName name="anscount" hidden="1">1</definedName>
    <definedName name="As_of">#REF!</definedName>
    <definedName name="AS2DocOpenMode" hidden="1">"AS2DocumentEdit"</definedName>
    <definedName name="asd"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0" hidden="1">{"comps",#N/A,FALSE,"TXTCOMPS";"segment_EPS",#N/A,FALSE,"TXTCOMPS";"valuation",#N/A,FALSE,"TXTCOMPS"}</definedName>
    <definedName name="as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9" hidden="1">{"comps",#N/A,FALSE,"TXTCOMPS";"segment_EPS",#N/A,FALSE,"TXTCOMPS";"valuation",#N/A,FALSE,"TXTCOMPS"}</definedName>
    <definedName name="asd" localSheetId="3" hidden="1">{"comps",#N/A,FALSE,"TXTCOMPS";"segment_EPS",#N/A,FALSE,"TXTCOMPS";"valuation",#N/A,FALSE,"TXTCOMPS"}</definedName>
    <definedName name="as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2" hidden="1">{"comps",#N/A,FALSE,"TXTCOMPS";"segment_EPS",#N/A,FALSE,"TXTCOMPS";"valuation",#N/A,FALSE,"TXTCOMPS"}</definedName>
    <definedName name="asd" hidden="1">{"comps",#N/A,FALSE,"TXTCOMPS";"segment_EPS",#N/A,FALSE,"TXTCOMPS";"valuation",#N/A,FALSE,"TXTCOMPS"}</definedName>
    <definedName name="asda" localSheetId="2"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0"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6"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8"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9"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3"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7"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2"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f" localSheetId="2" hidden="1">#REF!</definedName>
    <definedName name="asdf" localSheetId="10" hidden="1">#REF!</definedName>
    <definedName name="asdf" localSheetId="6" hidden="1">#REF!</definedName>
    <definedName name="asdf" localSheetId="8" hidden="1">#REF!</definedName>
    <definedName name="asdf" localSheetId="9" hidden="1">#REF!</definedName>
    <definedName name="asdf" localSheetId="3" hidden="1">#REF!</definedName>
    <definedName name="asdf" localSheetId="7" hidden="1">#REF!</definedName>
    <definedName name="asdf" localSheetId="12" hidden="1">#REF!</definedName>
    <definedName name="asdf" hidden="1">#REF!</definedName>
    <definedName name="asdfas"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hifoea" localSheetId="2" hidden="1">#REF!</definedName>
    <definedName name="asdhifoea" localSheetId="10" hidden="1">#REF!</definedName>
    <definedName name="asdhifoea" localSheetId="6" hidden="1">#REF!</definedName>
    <definedName name="asdhifoea" localSheetId="8" hidden="1">#REF!</definedName>
    <definedName name="asdhifoea" localSheetId="9" hidden="1">#REF!</definedName>
    <definedName name="asdhifoea" localSheetId="3" hidden="1">#REF!</definedName>
    <definedName name="asdhifoea" localSheetId="7" hidden="1">#REF!</definedName>
    <definedName name="asdhifoea" localSheetId="12" hidden="1">#REF!</definedName>
    <definedName name="asdhifoea" hidden="1">#REF!</definedName>
    <definedName name="Ass_00">#REF!</definedName>
    <definedName name="Ass_99">#REF!</definedName>
    <definedName name="ax" localSheetId="2" hidden="1">{"comps",#N/A,FALSE,"TXTCOMPS"}</definedName>
    <definedName name="ax" localSheetId="10" hidden="1">{"comps",#N/A,FALSE,"TXTCOMPS"}</definedName>
    <definedName name="ax" localSheetId="6" hidden="1">{"comps",#N/A,FALSE,"TXTCOMPS"}</definedName>
    <definedName name="ax" localSheetId="8" hidden="1">{"comps",#N/A,FALSE,"TXTCOMPS"}</definedName>
    <definedName name="ax" localSheetId="9" hidden="1">{"comps",#N/A,FALSE,"TXTCOMPS"}</definedName>
    <definedName name="ax" localSheetId="3" hidden="1">{"comps",#N/A,FALSE,"TXTCOMPS"}</definedName>
    <definedName name="ax" localSheetId="7" hidden="1">{"comps",#N/A,FALSE,"TXTCOMPS"}</definedName>
    <definedName name="ax" localSheetId="12" hidden="1">{"comps",#N/A,FALSE,"TXTCOMPS"}</definedName>
    <definedName name="ax" hidden="1">{"comps",#N/A,FALSE,"TXTCOMPS"}</definedName>
    <definedName name="azs.a" localSheetId="2" hidden="1">{"Corp. Profile",#N/A,FALSE,"Corporate Profile"}</definedName>
    <definedName name="azs.a" localSheetId="10" hidden="1">{"Corp. Profile",#N/A,FALSE,"Corporate Profile"}</definedName>
    <definedName name="azs.a" localSheetId="6" hidden="1">{"Corp. Profile",#N/A,FALSE,"Corporate Profile"}</definedName>
    <definedName name="azs.a" localSheetId="8" hidden="1">{"Corp. Profile",#N/A,FALSE,"Corporate Profile"}</definedName>
    <definedName name="azs.a" localSheetId="9" hidden="1">{"Corp. Profile",#N/A,FALSE,"Corporate Profile"}</definedName>
    <definedName name="azs.a" localSheetId="3" hidden="1">{"Corp. Profile",#N/A,FALSE,"Corporate Profile"}</definedName>
    <definedName name="azs.a" localSheetId="7" hidden="1">{"Corp. Profile",#N/A,FALSE,"Corporate Profile"}</definedName>
    <definedName name="azs.a" localSheetId="12" hidden="1">{"Corp. Profile",#N/A,FALSE,"Corporate Profile"}</definedName>
    <definedName name="azs.a" hidden="1">{"Corp. Profile",#N/A,FALSE,"Corporate Profile"}</definedName>
    <definedName name="azz.corrporate" localSheetId="2" hidden="1">{"Corporate",#N/A,FALSE,"Corporate Profile"}</definedName>
    <definedName name="azz.corrporate" localSheetId="10" hidden="1">{"Corporate",#N/A,FALSE,"Corporate Profile"}</definedName>
    <definedName name="azz.corrporate" localSheetId="6" hidden="1">{"Corporate",#N/A,FALSE,"Corporate Profile"}</definedName>
    <definedName name="azz.corrporate" localSheetId="8" hidden="1">{"Corporate",#N/A,FALSE,"Corporate Profile"}</definedName>
    <definedName name="azz.corrporate" localSheetId="9" hidden="1">{"Corporate",#N/A,FALSE,"Corporate Profile"}</definedName>
    <definedName name="azz.corrporate" localSheetId="3" hidden="1">{"Corporate",#N/A,FALSE,"Corporate Profile"}</definedName>
    <definedName name="azz.corrporate" localSheetId="7" hidden="1">{"Corporate",#N/A,FALSE,"Corporate Profile"}</definedName>
    <definedName name="azz.corrporate" localSheetId="12" hidden="1">{"Corporate",#N/A,FALSE,"Corporate Profile"}</definedName>
    <definedName name="azz.corrporate" hidden="1">{"Corporate",#N/A,FALSE,"Corporate Profile"}</definedName>
    <definedName name="b"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0" hidden="1">{"comps",#N/A,FALSE,"TXTCOMPS";"segment_EPS",#N/A,FALSE,"TXTCOMPS";"valuation",#N/A,FALSE,"TXTCOMPS"}</definedName>
    <definedName name="b"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9" hidden="1">{"comps",#N/A,FALSE,"TXTCOMPS";"segment_EPS",#N/A,FALSE,"TXTCOMPS";"valuation",#N/A,FALSE,"TXTCOMPS"}</definedName>
    <definedName name="B" localSheetId="3" hidden="1">{"comps",#N/A,FALSE,"TXTCOMPS";"segment_EPS",#N/A,FALSE,"TXTCOMPS";"valuation",#N/A,FALSE,"TXTCOMPS"}</definedName>
    <definedName name="b"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2" hidden="1">{"comps",#N/A,FALSE,"TXTCOMPS";"segment_EPS",#N/A,FALSE,"TXTCOMPS";"valuation",#N/A,FALSE,"TXTCOMPS"}</definedName>
    <definedName name="B" hidden="1">{"comps",#N/A,FALSE,"TXTCOMPS";"segment_EPS",#N/A,FALSE,"TXTCOMPS";"valuation",#N/A,FALSE,"TXTCOMPS"}</definedName>
    <definedName name="Bal_Sheet">#REF!</definedName>
    <definedName name="BAL_SHT">#REF!</definedName>
    <definedName name="BBSwitch" localSheetId="8">Guidance!$E$3</definedName>
    <definedName name="BBswitch" localSheetId="3">'[27]One Page Model'!$Z$3</definedName>
    <definedName name="BBswitch">'One Pager - 1'!$Z$3</definedName>
    <definedName name="BBswitch1">'[28]One Pager'!$Z$3</definedName>
    <definedName name="bethany" localSheetId="2" hidden="1">{"income statement",#N/A,FALSE,"ATLAS-A"}</definedName>
    <definedName name="bethany" localSheetId="10" hidden="1">{"income statement",#N/A,FALSE,"ATLAS-A"}</definedName>
    <definedName name="bethany" localSheetId="6" hidden="1">{"income statement",#N/A,FALSE,"ATLAS-A"}</definedName>
    <definedName name="bethany" localSheetId="8" hidden="1">{"income statement",#N/A,FALSE,"ATLAS-A"}</definedName>
    <definedName name="bethany" localSheetId="9" hidden="1">{"income statement",#N/A,FALSE,"ATLAS-A"}</definedName>
    <definedName name="bethany" localSheetId="3" hidden="1">{"income statement",#N/A,FALSE,"ATLAS-A"}</definedName>
    <definedName name="bethany" localSheetId="7" hidden="1">{"income statement",#N/A,FALSE,"ATLAS-A"}</definedName>
    <definedName name="bethany" localSheetId="12" hidden="1">{"income statement",#N/A,FALSE,"ATLAS-A"}</definedName>
    <definedName name="bethany" hidden="1">{"income statement",#N/A,FALSE,"ATLAS-A"}</definedName>
    <definedName name="BHI">#REF!</definedName>
    <definedName name="BJS">#REF!</definedName>
    <definedName name="BJS_2000_CYEPS">#REF!</definedName>
    <definedName name="BJS_2000_FYEPS">#REF!</definedName>
    <definedName name="BJS_2001_CYEPS">#REF!</definedName>
    <definedName name="BJS_2001_FYEPS">#REF!</definedName>
    <definedName name="BJS_2002_CYEPS">#REF!</definedName>
    <definedName name="BJS_2002_FYEPS">#REF!</definedName>
    <definedName name="BJS_2003_CYEPS">#REF!</definedName>
    <definedName name="BJS_2003_FYEPS">#REF!</definedName>
    <definedName name="BJS_2004_CYEPS">#REF!</definedName>
    <definedName name="BJS_2004_FYEPS">#REF!</definedName>
    <definedName name="BJS_2005_CYEPS">#REF!</definedName>
    <definedName name="BJS_2005_FYEPS">#REF!</definedName>
    <definedName name="BJS_Cash">#REF!</definedName>
    <definedName name="BJS_CODE">#REF!</definedName>
    <definedName name="BJS_Equity">#REF!</definedName>
    <definedName name="BJS_EV">#REF!</definedName>
    <definedName name="BJS_LTD">#REF!</definedName>
    <definedName name="BJS_Rating">#REF!</definedName>
    <definedName name="BJS_Shares">#REF!</definedName>
    <definedName name="BJS_STD">#REF!</definedName>
    <definedName name="BJS_Target">#REF!</definedName>
    <definedName name="BJS_TotAssets">#REF!</definedName>
    <definedName name="BLPH1" localSheetId="2" hidden="1">#REF!</definedName>
    <definedName name="BLPH1" localSheetId="10" hidden="1">#REF!</definedName>
    <definedName name="BLPH1" localSheetId="6" hidden="1">#REF!</definedName>
    <definedName name="BLPH1" localSheetId="8" hidden="1">#REF!</definedName>
    <definedName name="BLPH1" localSheetId="9" hidden="1">#REF!</definedName>
    <definedName name="BLPH1" localSheetId="3" hidden="1">#REF!</definedName>
    <definedName name="BLPH1" localSheetId="7" hidden="1">#REF!</definedName>
    <definedName name="BLPH1" localSheetId="12" hidden="1">#REF!</definedName>
    <definedName name="BLPH1" hidden="1">#REF!</definedName>
    <definedName name="BLPH10" localSheetId="2" hidden="1">#REF!</definedName>
    <definedName name="BLPH10" localSheetId="10" hidden="1">#REF!</definedName>
    <definedName name="BLPH10" localSheetId="6" hidden="1">#REF!</definedName>
    <definedName name="BLPH10" localSheetId="8" hidden="1">#REF!</definedName>
    <definedName name="BLPH10" localSheetId="9" hidden="1">#REF!</definedName>
    <definedName name="BLPH10" localSheetId="3" hidden="1">#REF!</definedName>
    <definedName name="BLPH10" localSheetId="7" hidden="1">#REF!</definedName>
    <definedName name="BLPH10" localSheetId="12" hidden="1">#REF!</definedName>
    <definedName name="BLPH10" hidden="1">#REF!</definedName>
    <definedName name="BLPH100" localSheetId="2" hidden="1">#REF!</definedName>
    <definedName name="BLPH100" localSheetId="10" hidden="1">#REF!</definedName>
    <definedName name="BLPH100" localSheetId="6" hidden="1">#REF!</definedName>
    <definedName name="BLPH100" localSheetId="8" hidden="1">#REF!</definedName>
    <definedName name="BLPH100" localSheetId="9" hidden="1">#REF!</definedName>
    <definedName name="BLPH100" localSheetId="3" hidden="1">#REF!</definedName>
    <definedName name="BLPH100" localSheetId="7" hidden="1">#REF!</definedName>
    <definedName name="BLPH100" localSheetId="12" hidden="1">#REF!</definedName>
    <definedName name="BLPH100" hidden="1">#REF!</definedName>
    <definedName name="blph1000" localSheetId="2" hidden="1">#REF!</definedName>
    <definedName name="blph1000" localSheetId="10" hidden="1">#REF!</definedName>
    <definedName name="blph1000" localSheetId="6" hidden="1">#REF!</definedName>
    <definedName name="blph1000" localSheetId="8" hidden="1">#REF!</definedName>
    <definedName name="blph1000" localSheetId="3" hidden="1">#REF!</definedName>
    <definedName name="blph1000" localSheetId="7" hidden="1">#REF!</definedName>
    <definedName name="blph1000" localSheetId="12" hidden="1">#REF!</definedName>
    <definedName name="blph1000" hidden="1">#REF!</definedName>
    <definedName name="BLPH101" localSheetId="2" hidden="1">#REF!</definedName>
    <definedName name="BLPH101" localSheetId="10" hidden="1">#REF!</definedName>
    <definedName name="BLPH101" localSheetId="6" hidden="1">#REF!</definedName>
    <definedName name="BLPH101" localSheetId="8" hidden="1">#REF!</definedName>
    <definedName name="BLPH101" localSheetId="3" hidden="1">#REF!</definedName>
    <definedName name="BLPH101" localSheetId="7" hidden="1">#REF!</definedName>
    <definedName name="BLPH101" localSheetId="12" hidden="1">#REF!</definedName>
    <definedName name="BLPH101" hidden="1">#REF!</definedName>
    <definedName name="BLPH102" localSheetId="2" hidden="1">#REF!</definedName>
    <definedName name="BLPH102" localSheetId="10" hidden="1">#REF!</definedName>
    <definedName name="BLPH102" localSheetId="6" hidden="1">#REF!</definedName>
    <definedName name="BLPH102" localSheetId="8" hidden="1">#REF!</definedName>
    <definedName name="BLPH102" localSheetId="3" hidden="1">#REF!</definedName>
    <definedName name="BLPH102" localSheetId="7" hidden="1">#REF!</definedName>
    <definedName name="BLPH102" localSheetId="12" hidden="1">#REF!</definedName>
    <definedName name="BLPH102" hidden="1">#REF!</definedName>
    <definedName name="BLPH103" localSheetId="2" hidden="1">#REF!</definedName>
    <definedName name="BLPH103" localSheetId="10" hidden="1">#REF!</definedName>
    <definedName name="BLPH103" localSheetId="6" hidden="1">#REF!</definedName>
    <definedName name="BLPH103" localSheetId="8" hidden="1">#REF!</definedName>
    <definedName name="BLPH103" localSheetId="3" hidden="1">#REF!</definedName>
    <definedName name="BLPH103" localSheetId="7" hidden="1">#REF!</definedName>
    <definedName name="BLPH103" localSheetId="12" hidden="1">#REF!</definedName>
    <definedName name="BLPH103" hidden="1">#REF!</definedName>
    <definedName name="BLPH104" localSheetId="2" hidden="1">#REF!</definedName>
    <definedName name="BLPH104" localSheetId="10" hidden="1">#REF!</definedName>
    <definedName name="BLPH104" localSheetId="6" hidden="1">#REF!</definedName>
    <definedName name="BLPH104" localSheetId="8" hidden="1">#REF!</definedName>
    <definedName name="BLPH104" localSheetId="3" hidden="1">#REF!</definedName>
    <definedName name="BLPH104" localSheetId="7" hidden="1">#REF!</definedName>
    <definedName name="BLPH104" localSheetId="12" hidden="1">#REF!</definedName>
    <definedName name="BLPH104" hidden="1">#REF!</definedName>
    <definedName name="BLPH105" localSheetId="2" hidden="1">#REF!</definedName>
    <definedName name="BLPH105" localSheetId="10" hidden="1">#REF!</definedName>
    <definedName name="BLPH105" localSheetId="6" hidden="1">#REF!</definedName>
    <definedName name="BLPH105" localSheetId="8" hidden="1">#REF!</definedName>
    <definedName name="BLPH105" localSheetId="3" hidden="1">#REF!</definedName>
    <definedName name="BLPH105" localSheetId="7" hidden="1">#REF!</definedName>
    <definedName name="BLPH105" localSheetId="12" hidden="1">#REF!</definedName>
    <definedName name="BLPH105" hidden="1">#REF!</definedName>
    <definedName name="BLPH106" localSheetId="2" hidden="1">#REF!</definedName>
    <definedName name="BLPH106" localSheetId="10" hidden="1">#REF!</definedName>
    <definedName name="BLPH106" localSheetId="6" hidden="1">#REF!</definedName>
    <definedName name="BLPH106" localSheetId="8" hidden="1">#REF!</definedName>
    <definedName name="BLPH106" localSheetId="3" hidden="1">#REF!</definedName>
    <definedName name="BLPH106" localSheetId="7" hidden="1">#REF!</definedName>
    <definedName name="BLPH106" localSheetId="12" hidden="1">#REF!</definedName>
    <definedName name="BLPH106" hidden="1">#REF!</definedName>
    <definedName name="BLPH107" localSheetId="2" hidden="1">#REF!</definedName>
    <definedName name="BLPH107" localSheetId="10" hidden="1">#REF!</definedName>
    <definedName name="BLPH107" localSheetId="6" hidden="1">#REF!</definedName>
    <definedName name="BLPH107" localSheetId="8" hidden="1">#REF!</definedName>
    <definedName name="BLPH107" localSheetId="3" hidden="1">#REF!</definedName>
    <definedName name="BLPH107" localSheetId="7" hidden="1">#REF!</definedName>
    <definedName name="BLPH107" localSheetId="12" hidden="1">#REF!</definedName>
    <definedName name="BLPH107" hidden="1">#REF!</definedName>
    <definedName name="BLPH108" localSheetId="2" hidden="1">#REF!</definedName>
    <definedName name="BLPH108" localSheetId="10" hidden="1">#REF!</definedName>
    <definedName name="BLPH108" localSheetId="6" hidden="1">#REF!</definedName>
    <definedName name="BLPH108" localSheetId="8" hidden="1">#REF!</definedName>
    <definedName name="BLPH108" localSheetId="3" hidden="1">#REF!</definedName>
    <definedName name="BLPH108" localSheetId="7" hidden="1">#REF!</definedName>
    <definedName name="BLPH108" localSheetId="12" hidden="1">#REF!</definedName>
    <definedName name="BLPH108" hidden="1">#REF!</definedName>
    <definedName name="BLPH109" localSheetId="2" hidden="1">#REF!</definedName>
    <definedName name="BLPH109" localSheetId="10" hidden="1">#REF!</definedName>
    <definedName name="BLPH109" localSheetId="6" hidden="1">#REF!</definedName>
    <definedName name="BLPH109" localSheetId="8" hidden="1">#REF!</definedName>
    <definedName name="BLPH109" localSheetId="3" hidden="1">#REF!</definedName>
    <definedName name="BLPH109" localSheetId="7" hidden="1">#REF!</definedName>
    <definedName name="BLPH109" localSheetId="12" hidden="1">#REF!</definedName>
    <definedName name="BLPH109" hidden="1">#REF!</definedName>
    <definedName name="BLPH11" localSheetId="2" hidden="1">#REF!</definedName>
    <definedName name="BLPH11" localSheetId="10" hidden="1">#REF!</definedName>
    <definedName name="BLPH11" localSheetId="6" hidden="1">#REF!</definedName>
    <definedName name="BLPH11" localSheetId="8" hidden="1">#REF!</definedName>
    <definedName name="BLPH11" localSheetId="3" hidden="1">#REF!</definedName>
    <definedName name="BLPH11" localSheetId="7" hidden="1">#REF!</definedName>
    <definedName name="BLPH11" localSheetId="12" hidden="1">#REF!</definedName>
    <definedName name="BLPH11" hidden="1">#REF!</definedName>
    <definedName name="BLPH110" localSheetId="2" hidden="1">#REF!</definedName>
    <definedName name="BLPH110" localSheetId="10" hidden="1">#REF!</definedName>
    <definedName name="BLPH110" localSheetId="6" hidden="1">#REF!</definedName>
    <definedName name="BLPH110" localSheetId="8" hidden="1">#REF!</definedName>
    <definedName name="BLPH110" localSheetId="3" hidden="1">#REF!</definedName>
    <definedName name="BLPH110" localSheetId="7" hidden="1">#REF!</definedName>
    <definedName name="BLPH110" localSheetId="12" hidden="1">#REF!</definedName>
    <definedName name="BLPH110" hidden="1">#REF!</definedName>
    <definedName name="BLPH111" localSheetId="2" hidden="1">#REF!</definedName>
    <definedName name="BLPH111" localSheetId="10" hidden="1">#REF!</definedName>
    <definedName name="BLPH111" localSheetId="6" hidden="1">#REF!</definedName>
    <definedName name="BLPH111" localSheetId="8" hidden="1">#REF!</definedName>
    <definedName name="BLPH111" localSheetId="3" hidden="1">#REF!</definedName>
    <definedName name="BLPH111" localSheetId="7" hidden="1">#REF!</definedName>
    <definedName name="BLPH111" localSheetId="12" hidden="1">#REF!</definedName>
    <definedName name="BLPH111" hidden="1">#REF!</definedName>
    <definedName name="BLPH112" localSheetId="2" hidden="1">#REF!</definedName>
    <definedName name="BLPH112" localSheetId="10" hidden="1">#REF!</definedName>
    <definedName name="BLPH112" localSheetId="6" hidden="1">#REF!</definedName>
    <definedName name="BLPH112" localSheetId="8" hidden="1">#REF!</definedName>
    <definedName name="BLPH112" localSheetId="3" hidden="1">#REF!</definedName>
    <definedName name="BLPH112" localSheetId="7" hidden="1">#REF!</definedName>
    <definedName name="BLPH112" localSheetId="12" hidden="1">#REF!</definedName>
    <definedName name="BLPH112" hidden="1">#REF!</definedName>
    <definedName name="BLPH113" localSheetId="2" hidden="1">#REF!</definedName>
    <definedName name="BLPH113" localSheetId="10" hidden="1">#REF!</definedName>
    <definedName name="BLPH113" localSheetId="6" hidden="1">#REF!</definedName>
    <definedName name="BLPH113" localSheetId="8" hidden="1">#REF!</definedName>
    <definedName name="BLPH113" localSheetId="3" hidden="1">#REF!</definedName>
    <definedName name="BLPH113" localSheetId="7" hidden="1">#REF!</definedName>
    <definedName name="BLPH113" localSheetId="12" hidden="1">#REF!</definedName>
    <definedName name="BLPH113" hidden="1">#REF!</definedName>
    <definedName name="BLPH114" localSheetId="2" hidden="1">#REF!</definedName>
    <definedName name="BLPH114" localSheetId="10" hidden="1">#REF!</definedName>
    <definedName name="BLPH114" localSheetId="6" hidden="1">#REF!</definedName>
    <definedName name="BLPH114" localSheetId="8" hidden="1">#REF!</definedName>
    <definedName name="BLPH114" localSheetId="3" hidden="1">#REF!</definedName>
    <definedName name="BLPH114" localSheetId="7" hidden="1">#REF!</definedName>
    <definedName name="BLPH114" localSheetId="12" hidden="1">#REF!</definedName>
    <definedName name="BLPH114" hidden="1">#REF!</definedName>
    <definedName name="BLPH115" localSheetId="2" hidden="1">#REF!</definedName>
    <definedName name="BLPH115" localSheetId="10" hidden="1">#REF!</definedName>
    <definedName name="BLPH115" localSheetId="6" hidden="1">#REF!</definedName>
    <definedName name="BLPH115" localSheetId="8" hidden="1">#REF!</definedName>
    <definedName name="BLPH115" localSheetId="3" hidden="1">#REF!</definedName>
    <definedName name="BLPH115" localSheetId="7" hidden="1">#REF!</definedName>
    <definedName name="BLPH115" localSheetId="12" hidden="1">#REF!</definedName>
    <definedName name="BLPH115" hidden="1">#REF!</definedName>
    <definedName name="BLPH116" localSheetId="2" hidden="1">#REF!</definedName>
    <definedName name="BLPH116" localSheetId="10" hidden="1">#REF!</definedName>
    <definedName name="BLPH116" localSheetId="6" hidden="1">#REF!</definedName>
    <definedName name="BLPH116" localSheetId="8" hidden="1">#REF!</definedName>
    <definedName name="BLPH116" localSheetId="3" hidden="1">#REF!</definedName>
    <definedName name="BLPH116" localSheetId="7" hidden="1">#REF!</definedName>
    <definedName name="BLPH116" localSheetId="12" hidden="1">#REF!</definedName>
    <definedName name="BLPH116" hidden="1">#REF!</definedName>
    <definedName name="BLPH117" localSheetId="2" hidden="1">#REF!</definedName>
    <definedName name="BLPH117" localSheetId="10" hidden="1">#REF!</definedName>
    <definedName name="BLPH117" localSheetId="6" hidden="1">#REF!</definedName>
    <definedName name="BLPH117" localSheetId="8" hidden="1">#REF!</definedName>
    <definedName name="BLPH117" localSheetId="3" hidden="1">#REF!</definedName>
    <definedName name="BLPH117" localSheetId="7" hidden="1">#REF!</definedName>
    <definedName name="BLPH117" localSheetId="12" hidden="1">#REF!</definedName>
    <definedName name="BLPH117" hidden="1">#REF!</definedName>
    <definedName name="BLPH118" localSheetId="2" hidden="1">#REF!</definedName>
    <definedName name="BLPH118" localSheetId="10" hidden="1">#REF!</definedName>
    <definedName name="BLPH118" localSheetId="6" hidden="1">#REF!</definedName>
    <definedName name="BLPH118" localSheetId="8" hidden="1">#REF!</definedName>
    <definedName name="BLPH118" localSheetId="3" hidden="1">#REF!</definedName>
    <definedName name="BLPH118" localSheetId="7" hidden="1">#REF!</definedName>
    <definedName name="BLPH118" localSheetId="12" hidden="1">#REF!</definedName>
    <definedName name="BLPH118" hidden="1">#REF!</definedName>
    <definedName name="BLPH119" localSheetId="2" hidden="1">#REF!</definedName>
    <definedName name="BLPH119" localSheetId="10" hidden="1">#REF!</definedName>
    <definedName name="BLPH119" localSheetId="6" hidden="1">#REF!</definedName>
    <definedName name="BLPH119" localSheetId="8" hidden="1">#REF!</definedName>
    <definedName name="BLPH119" localSheetId="3" hidden="1">#REF!</definedName>
    <definedName name="BLPH119" localSheetId="7" hidden="1">#REF!</definedName>
    <definedName name="BLPH119" localSheetId="12" hidden="1">#REF!</definedName>
    <definedName name="BLPH119" hidden="1">#REF!</definedName>
    <definedName name="BLPH12" localSheetId="2" hidden="1">#REF!</definedName>
    <definedName name="BLPH12" localSheetId="10" hidden="1">#REF!</definedName>
    <definedName name="BLPH12" localSheetId="6" hidden="1">#REF!</definedName>
    <definedName name="BLPH12" localSheetId="8" hidden="1">#REF!</definedName>
    <definedName name="BLPH12" localSheetId="3" hidden="1">#REF!</definedName>
    <definedName name="BLPH12" localSheetId="7" hidden="1">#REF!</definedName>
    <definedName name="BLPH12" localSheetId="12" hidden="1">#REF!</definedName>
    <definedName name="BLPH12" hidden="1">#REF!</definedName>
    <definedName name="BLPH120" localSheetId="2" hidden="1">#REF!</definedName>
    <definedName name="BLPH120" localSheetId="10" hidden="1">#REF!</definedName>
    <definedName name="BLPH120" localSheetId="6" hidden="1">#REF!</definedName>
    <definedName name="BLPH120" localSheetId="8" hidden="1">#REF!</definedName>
    <definedName name="BLPH120" localSheetId="3" hidden="1">#REF!</definedName>
    <definedName name="BLPH120" localSheetId="7" hidden="1">#REF!</definedName>
    <definedName name="BLPH120" localSheetId="12" hidden="1">#REF!</definedName>
    <definedName name="BLPH120" hidden="1">#REF!</definedName>
    <definedName name="BLPH121" localSheetId="2" hidden="1">#REF!</definedName>
    <definedName name="BLPH121" localSheetId="10" hidden="1">#REF!</definedName>
    <definedName name="BLPH121" localSheetId="6" hidden="1">#REF!</definedName>
    <definedName name="BLPH121" localSheetId="8" hidden="1">#REF!</definedName>
    <definedName name="BLPH121" localSheetId="3" hidden="1">#REF!</definedName>
    <definedName name="BLPH121" localSheetId="7" hidden="1">#REF!</definedName>
    <definedName name="BLPH121" localSheetId="12" hidden="1">#REF!</definedName>
    <definedName name="BLPH121" hidden="1">#REF!</definedName>
    <definedName name="BLPH122" localSheetId="2" hidden="1">#REF!</definedName>
    <definedName name="BLPH122" localSheetId="10" hidden="1">#REF!</definedName>
    <definedName name="BLPH122" localSheetId="6" hidden="1">#REF!</definedName>
    <definedName name="BLPH122" localSheetId="8" hidden="1">#REF!</definedName>
    <definedName name="BLPH122" localSheetId="3" hidden="1">#REF!</definedName>
    <definedName name="BLPH122" localSheetId="7" hidden="1">#REF!</definedName>
    <definedName name="BLPH122" localSheetId="12" hidden="1">#REF!</definedName>
    <definedName name="BLPH122" hidden="1">#REF!</definedName>
    <definedName name="BLPH123" localSheetId="2" hidden="1">#REF!</definedName>
    <definedName name="BLPH123" localSheetId="10" hidden="1">#REF!</definedName>
    <definedName name="BLPH123" localSheetId="6" hidden="1">#REF!</definedName>
    <definedName name="BLPH123" localSheetId="8" hidden="1">#REF!</definedName>
    <definedName name="BLPH123" localSheetId="3" hidden="1">#REF!</definedName>
    <definedName name="BLPH123" localSheetId="7" hidden="1">#REF!</definedName>
    <definedName name="BLPH123" localSheetId="12" hidden="1">#REF!</definedName>
    <definedName name="BLPH123" hidden="1">#REF!</definedName>
    <definedName name="BLPH124" localSheetId="2" hidden="1">#REF!</definedName>
    <definedName name="BLPH124" localSheetId="10" hidden="1">#REF!</definedName>
    <definedName name="BLPH124" localSheetId="6" hidden="1">#REF!</definedName>
    <definedName name="BLPH124" localSheetId="8" hidden="1">#REF!</definedName>
    <definedName name="BLPH124" localSheetId="3" hidden="1">#REF!</definedName>
    <definedName name="BLPH124" localSheetId="7" hidden="1">#REF!</definedName>
    <definedName name="BLPH124" localSheetId="12" hidden="1">#REF!</definedName>
    <definedName name="BLPH124" hidden="1">#REF!</definedName>
    <definedName name="BLPH125" localSheetId="2" hidden="1">#REF!</definedName>
    <definedName name="BLPH125" localSheetId="10" hidden="1">#REF!</definedName>
    <definedName name="BLPH125" localSheetId="6" hidden="1">#REF!</definedName>
    <definedName name="BLPH125" localSheetId="8" hidden="1">#REF!</definedName>
    <definedName name="BLPH125" localSheetId="3" hidden="1">#REF!</definedName>
    <definedName name="BLPH125" localSheetId="7" hidden="1">#REF!</definedName>
    <definedName name="BLPH125" localSheetId="12" hidden="1">#REF!</definedName>
    <definedName name="BLPH125" hidden="1">#REF!</definedName>
    <definedName name="BLPH126" localSheetId="2" hidden="1">#REF!</definedName>
    <definedName name="BLPH126" localSheetId="10" hidden="1">#REF!</definedName>
    <definedName name="BLPH126" localSheetId="6" hidden="1">#REF!</definedName>
    <definedName name="BLPH126" localSheetId="8" hidden="1">#REF!</definedName>
    <definedName name="BLPH126" localSheetId="3" hidden="1">#REF!</definedName>
    <definedName name="BLPH126" localSheetId="7" hidden="1">#REF!</definedName>
    <definedName name="BLPH126" localSheetId="12" hidden="1">#REF!</definedName>
    <definedName name="BLPH126" hidden="1">#REF!</definedName>
    <definedName name="BLPH127" localSheetId="2" hidden="1">#REF!</definedName>
    <definedName name="BLPH127" localSheetId="10" hidden="1">#REF!</definedName>
    <definedName name="BLPH127" localSheetId="6" hidden="1">#REF!</definedName>
    <definedName name="BLPH127" localSheetId="8" hidden="1">#REF!</definedName>
    <definedName name="BLPH127" localSheetId="3" hidden="1">#REF!</definedName>
    <definedName name="BLPH127" localSheetId="7" hidden="1">#REF!</definedName>
    <definedName name="BLPH127" localSheetId="12" hidden="1">#REF!</definedName>
    <definedName name="BLPH127" hidden="1">#REF!</definedName>
    <definedName name="BLPH128" localSheetId="2" hidden="1">#REF!</definedName>
    <definedName name="BLPH128" localSheetId="10" hidden="1">#REF!</definedName>
    <definedName name="BLPH128" localSheetId="6" hidden="1">#REF!</definedName>
    <definedName name="BLPH128" localSheetId="8" hidden="1">#REF!</definedName>
    <definedName name="BLPH128" localSheetId="3" hidden="1">#REF!</definedName>
    <definedName name="BLPH128" localSheetId="7" hidden="1">#REF!</definedName>
    <definedName name="BLPH128" localSheetId="12" hidden="1">#REF!</definedName>
    <definedName name="BLPH128" hidden="1">#REF!</definedName>
    <definedName name="BLPH129" localSheetId="2" hidden="1">#REF!</definedName>
    <definedName name="BLPH129" localSheetId="10" hidden="1">#REF!</definedName>
    <definedName name="BLPH129" localSheetId="6" hidden="1">#REF!</definedName>
    <definedName name="BLPH129" localSheetId="8" hidden="1">#REF!</definedName>
    <definedName name="BLPH129" localSheetId="3" hidden="1">#REF!</definedName>
    <definedName name="BLPH129" localSheetId="7" hidden="1">#REF!</definedName>
    <definedName name="BLPH129" localSheetId="12" hidden="1">#REF!</definedName>
    <definedName name="BLPH129" hidden="1">#REF!</definedName>
    <definedName name="BLPH13" localSheetId="2" hidden="1">#REF!</definedName>
    <definedName name="BLPH13" localSheetId="10" hidden="1">#REF!</definedName>
    <definedName name="BLPH13" localSheetId="6" hidden="1">#REF!</definedName>
    <definedName name="BLPH13" localSheetId="8" hidden="1">#REF!</definedName>
    <definedName name="BLPH13" localSheetId="3" hidden="1">#REF!</definedName>
    <definedName name="BLPH13" localSheetId="7" hidden="1">#REF!</definedName>
    <definedName name="BLPH13" localSheetId="12" hidden="1">#REF!</definedName>
    <definedName name="BLPH13" hidden="1">#REF!</definedName>
    <definedName name="BLPH130" localSheetId="2" hidden="1">#REF!</definedName>
    <definedName name="BLPH130" localSheetId="10" hidden="1">#REF!</definedName>
    <definedName name="BLPH130" localSheetId="6" hidden="1">#REF!</definedName>
    <definedName name="BLPH130" localSheetId="8" hidden="1">#REF!</definedName>
    <definedName name="BLPH130" localSheetId="3" hidden="1">#REF!</definedName>
    <definedName name="BLPH130" localSheetId="7" hidden="1">#REF!</definedName>
    <definedName name="BLPH130" localSheetId="12" hidden="1">#REF!</definedName>
    <definedName name="BLPH130" hidden="1">#REF!</definedName>
    <definedName name="BLPH131" localSheetId="2" hidden="1">#REF!</definedName>
    <definedName name="BLPH131" localSheetId="10" hidden="1">#REF!</definedName>
    <definedName name="BLPH131" localSheetId="6" hidden="1">#REF!</definedName>
    <definedName name="BLPH131" localSheetId="8" hidden="1">#REF!</definedName>
    <definedName name="BLPH131" localSheetId="3" hidden="1">#REF!</definedName>
    <definedName name="BLPH131" localSheetId="7" hidden="1">#REF!</definedName>
    <definedName name="BLPH131" localSheetId="12" hidden="1">#REF!</definedName>
    <definedName name="BLPH131" hidden="1">#REF!</definedName>
    <definedName name="BLPH132" localSheetId="2" hidden="1">#REF!</definedName>
    <definedName name="BLPH132" localSheetId="10" hidden="1">#REF!</definedName>
    <definedName name="BLPH132" localSheetId="6" hidden="1">#REF!</definedName>
    <definedName name="BLPH132" localSheetId="8" hidden="1">#REF!</definedName>
    <definedName name="BLPH132" localSheetId="3" hidden="1">#REF!</definedName>
    <definedName name="BLPH132" localSheetId="7" hidden="1">#REF!</definedName>
    <definedName name="BLPH132" localSheetId="12" hidden="1">#REF!</definedName>
    <definedName name="BLPH132" hidden="1">#REF!</definedName>
    <definedName name="BLPH133" localSheetId="2" hidden="1">#REF!</definedName>
    <definedName name="BLPH133" localSheetId="10" hidden="1">#REF!</definedName>
    <definedName name="BLPH133" localSheetId="6" hidden="1">#REF!</definedName>
    <definedName name="BLPH133" localSheetId="8" hidden="1">#REF!</definedName>
    <definedName name="BLPH133" localSheetId="3" hidden="1">#REF!</definedName>
    <definedName name="BLPH133" localSheetId="7" hidden="1">#REF!</definedName>
    <definedName name="BLPH133" localSheetId="12" hidden="1">#REF!</definedName>
    <definedName name="BLPH133" hidden="1">#REF!</definedName>
    <definedName name="BLPH134" localSheetId="2" hidden="1">#REF!</definedName>
    <definedName name="BLPH134" localSheetId="10" hidden="1">#REF!</definedName>
    <definedName name="BLPH134" localSheetId="6" hidden="1">#REF!</definedName>
    <definedName name="BLPH134" localSheetId="8" hidden="1">#REF!</definedName>
    <definedName name="BLPH134" localSheetId="3" hidden="1">#REF!</definedName>
    <definedName name="BLPH134" localSheetId="7" hidden="1">#REF!</definedName>
    <definedName name="BLPH134" localSheetId="12" hidden="1">#REF!</definedName>
    <definedName name="BLPH134" hidden="1">#REF!</definedName>
    <definedName name="BLPH135" localSheetId="2" hidden="1">#REF!</definedName>
    <definedName name="BLPH135" localSheetId="10" hidden="1">#REF!</definedName>
    <definedName name="BLPH135" localSheetId="6" hidden="1">#REF!</definedName>
    <definedName name="BLPH135" localSheetId="8" hidden="1">#REF!</definedName>
    <definedName name="BLPH135" localSheetId="3" hidden="1">#REF!</definedName>
    <definedName name="BLPH135" localSheetId="7" hidden="1">#REF!</definedName>
    <definedName name="BLPH135" localSheetId="12" hidden="1">#REF!</definedName>
    <definedName name="BLPH135" hidden="1">#REF!</definedName>
    <definedName name="BLPH136" localSheetId="2" hidden="1">#REF!</definedName>
    <definedName name="BLPH136" localSheetId="10" hidden="1">#REF!</definedName>
    <definedName name="BLPH136" localSheetId="6" hidden="1">#REF!</definedName>
    <definedName name="BLPH136" localSheetId="8" hidden="1">#REF!</definedName>
    <definedName name="BLPH136" localSheetId="3" hidden="1">#REF!</definedName>
    <definedName name="BLPH136" localSheetId="7" hidden="1">#REF!</definedName>
    <definedName name="BLPH136" localSheetId="12" hidden="1">#REF!</definedName>
    <definedName name="BLPH136" hidden="1">#REF!</definedName>
    <definedName name="BLPH137" localSheetId="2" hidden="1">#REF!</definedName>
    <definedName name="BLPH137" localSheetId="10" hidden="1">#REF!</definedName>
    <definedName name="BLPH137" localSheetId="6" hidden="1">#REF!</definedName>
    <definedName name="BLPH137" localSheetId="8" hidden="1">#REF!</definedName>
    <definedName name="BLPH137" localSheetId="3" hidden="1">#REF!</definedName>
    <definedName name="BLPH137" localSheetId="7" hidden="1">#REF!</definedName>
    <definedName name="BLPH137" localSheetId="12" hidden="1">#REF!</definedName>
    <definedName name="BLPH137" hidden="1">#REF!</definedName>
    <definedName name="BLPH138" localSheetId="2" hidden="1">#REF!</definedName>
    <definedName name="BLPH138" localSheetId="10" hidden="1">#REF!</definedName>
    <definedName name="BLPH138" localSheetId="6" hidden="1">#REF!</definedName>
    <definedName name="BLPH138" localSheetId="8" hidden="1">#REF!</definedName>
    <definedName name="BLPH138" localSheetId="3" hidden="1">#REF!</definedName>
    <definedName name="BLPH138" localSheetId="7" hidden="1">#REF!</definedName>
    <definedName name="BLPH138" localSheetId="12" hidden="1">#REF!</definedName>
    <definedName name="BLPH138" hidden="1">#REF!</definedName>
    <definedName name="BLPH139" localSheetId="2" hidden="1">#REF!</definedName>
    <definedName name="BLPH139" localSheetId="10" hidden="1">#REF!</definedName>
    <definedName name="BLPH139" localSheetId="6" hidden="1">#REF!</definedName>
    <definedName name="BLPH139" localSheetId="8" hidden="1">#REF!</definedName>
    <definedName name="BLPH139" localSheetId="3" hidden="1">#REF!</definedName>
    <definedName name="BLPH139" localSheetId="7" hidden="1">#REF!</definedName>
    <definedName name="BLPH139" localSheetId="12" hidden="1">#REF!</definedName>
    <definedName name="BLPH139" hidden="1">#REF!</definedName>
    <definedName name="BLPH14" localSheetId="2" hidden="1">#REF!</definedName>
    <definedName name="BLPH14" localSheetId="10" hidden="1">#REF!</definedName>
    <definedName name="BLPH14" localSheetId="6" hidden="1">#REF!</definedName>
    <definedName name="BLPH14" localSheetId="8" hidden="1">#REF!</definedName>
    <definedName name="BLPH14" localSheetId="3" hidden="1">#REF!</definedName>
    <definedName name="BLPH14" localSheetId="7" hidden="1">#REF!</definedName>
    <definedName name="BLPH14" localSheetId="12" hidden="1">#REF!</definedName>
    <definedName name="BLPH14" hidden="1">#REF!</definedName>
    <definedName name="BLPH140" localSheetId="2" hidden="1">#REF!</definedName>
    <definedName name="BLPH140" localSheetId="10" hidden="1">#REF!</definedName>
    <definedName name="BLPH140" localSheetId="6" hidden="1">#REF!</definedName>
    <definedName name="BLPH140" localSheetId="8" hidden="1">#REF!</definedName>
    <definedName name="BLPH140" localSheetId="3" hidden="1">#REF!</definedName>
    <definedName name="BLPH140" localSheetId="7" hidden="1">#REF!</definedName>
    <definedName name="BLPH140" localSheetId="12" hidden="1">#REF!</definedName>
    <definedName name="BLPH140" hidden="1">#REF!</definedName>
    <definedName name="BLPH141" localSheetId="2" hidden="1">#REF!</definedName>
    <definedName name="BLPH141" localSheetId="10" hidden="1">#REF!</definedName>
    <definedName name="BLPH141" localSheetId="6" hidden="1">#REF!</definedName>
    <definedName name="BLPH141" localSheetId="8" hidden="1">#REF!</definedName>
    <definedName name="BLPH141" localSheetId="3" hidden="1">#REF!</definedName>
    <definedName name="BLPH141" localSheetId="7" hidden="1">#REF!</definedName>
    <definedName name="BLPH141" localSheetId="12" hidden="1">#REF!</definedName>
    <definedName name="BLPH141" hidden="1">#REF!</definedName>
    <definedName name="BLPH142" localSheetId="2" hidden="1">#REF!</definedName>
    <definedName name="BLPH142" localSheetId="10" hidden="1">#REF!</definedName>
    <definedName name="BLPH142" localSheetId="6" hidden="1">#REF!</definedName>
    <definedName name="BLPH142" localSheetId="8" hidden="1">#REF!</definedName>
    <definedName name="BLPH142" localSheetId="3" hidden="1">#REF!</definedName>
    <definedName name="BLPH142" localSheetId="7" hidden="1">#REF!</definedName>
    <definedName name="BLPH142" localSheetId="12" hidden="1">#REF!</definedName>
    <definedName name="BLPH142" hidden="1">#REF!</definedName>
    <definedName name="BLPH143" localSheetId="2" hidden="1">#REF!</definedName>
    <definedName name="BLPH143" localSheetId="10" hidden="1">#REF!</definedName>
    <definedName name="BLPH143" localSheetId="6" hidden="1">#REF!</definedName>
    <definedName name="BLPH143" localSheetId="8" hidden="1">#REF!</definedName>
    <definedName name="BLPH143" localSheetId="3" hidden="1">#REF!</definedName>
    <definedName name="BLPH143" localSheetId="7" hidden="1">#REF!</definedName>
    <definedName name="BLPH143" localSheetId="12" hidden="1">#REF!</definedName>
    <definedName name="BLPH143" hidden="1">#REF!</definedName>
    <definedName name="BLPH144" localSheetId="2" hidden="1">#REF!</definedName>
    <definedName name="BLPH144" localSheetId="10" hidden="1">#REF!</definedName>
    <definedName name="BLPH144" localSheetId="6" hidden="1">#REF!</definedName>
    <definedName name="BLPH144" localSheetId="8" hidden="1">#REF!</definedName>
    <definedName name="BLPH144" localSheetId="3" hidden="1">#REF!</definedName>
    <definedName name="BLPH144" localSheetId="7" hidden="1">#REF!</definedName>
    <definedName name="BLPH144" localSheetId="12" hidden="1">#REF!</definedName>
    <definedName name="BLPH144" hidden="1">#REF!</definedName>
    <definedName name="BLPH145" localSheetId="2" hidden="1">#REF!</definedName>
    <definedName name="BLPH145" localSheetId="10" hidden="1">#REF!</definedName>
    <definedName name="BLPH145" localSheetId="6" hidden="1">#REF!</definedName>
    <definedName name="BLPH145" localSheetId="8" hidden="1">#REF!</definedName>
    <definedName name="BLPH145" localSheetId="3" hidden="1">#REF!</definedName>
    <definedName name="BLPH145" localSheetId="7" hidden="1">#REF!</definedName>
    <definedName name="BLPH145" localSheetId="12" hidden="1">#REF!</definedName>
    <definedName name="BLPH145" hidden="1">#REF!</definedName>
    <definedName name="BLPH146" localSheetId="2" hidden="1">#REF!</definedName>
    <definedName name="BLPH146" localSheetId="10" hidden="1">#REF!</definedName>
    <definedName name="BLPH146" localSheetId="6" hidden="1">#REF!</definedName>
    <definedName name="BLPH146" localSheetId="8" hidden="1">#REF!</definedName>
    <definedName name="BLPH146" localSheetId="3" hidden="1">#REF!</definedName>
    <definedName name="BLPH146" localSheetId="7" hidden="1">#REF!</definedName>
    <definedName name="BLPH146" localSheetId="12" hidden="1">#REF!</definedName>
    <definedName name="BLPH146" hidden="1">#REF!</definedName>
    <definedName name="BLPH147" localSheetId="2" hidden="1">#REF!</definedName>
    <definedName name="BLPH147" localSheetId="10" hidden="1">#REF!</definedName>
    <definedName name="BLPH147" localSheetId="6" hidden="1">#REF!</definedName>
    <definedName name="BLPH147" localSheetId="8" hidden="1">#REF!</definedName>
    <definedName name="BLPH147" localSheetId="3" hidden="1">#REF!</definedName>
    <definedName name="BLPH147" localSheetId="7" hidden="1">#REF!</definedName>
    <definedName name="BLPH147" localSheetId="12" hidden="1">#REF!</definedName>
    <definedName name="BLPH147" hidden="1">#REF!</definedName>
    <definedName name="BLPH148" localSheetId="2" hidden="1">#REF!</definedName>
    <definedName name="BLPH148" localSheetId="10" hidden="1">#REF!</definedName>
    <definedName name="BLPH148" localSheetId="6" hidden="1">#REF!</definedName>
    <definedName name="BLPH148" localSheetId="8" hidden="1">#REF!</definedName>
    <definedName name="BLPH148" localSheetId="3" hidden="1">#REF!</definedName>
    <definedName name="BLPH148" localSheetId="7" hidden="1">#REF!</definedName>
    <definedName name="BLPH148" localSheetId="12" hidden="1">#REF!</definedName>
    <definedName name="BLPH148" hidden="1">#REF!</definedName>
    <definedName name="BLPH149" localSheetId="2" hidden="1">#REF!</definedName>
    <definedName name="BLPH149" localSheetId="10" hidden="1">#REF!</definedName>
    <definedName name="BLPH149" localSheetId="6" hidden="1">#REF!</definedName>
    <definedName name="BLPH149" localSheetId="8" hidden="1">#REF!</definedName>
    <definedName name="BLPH149" localSheetId="3" hidden="1">#REF!</definedName>
    <definedName name="BLPH149" localSheetId="7" hidden="1">#REF!</definedName>
    <definedName name="BLPH149" localSheetId="12" hidden="1">#REF!</definedName>
    <definedName name="BLPH149" hidden="1">#REF!</definedName>
    <definedName name="BLPH15" localSheetId="2" hidden="1">#REF!</definedName>
    <definedName name="BLPH15" localSheetId="10" hidden="1">#REF!</definedName>
    <definedName name="BLPH15" localSheetId="6" hidden="1">#REF!</definedName>
    <definedName name="BLPH15" localSheetId="8" hidden="1">#REF!</definedName>
    <definedName name="BLPH15" localSheetId="3" hidden="1">#REF!</definedName>
    <definedName name="BLPH15" localSheetId="7" hidden="1">#REF!</definedName>
    <definedName name="BLPH15" localSheetId="12" hidden="1">#REF!</definedName>
    <definedName name="BLPH15" hidden="1">#REF!</definedName>
    <definedName name="BLPH150" localSheetId="2" hidden="1">#REF!</definedName>
    <definedName name="BLPH150" localSheetId="10" hidden="1">#REF!</definedName>
    <definedName name="BLPH150" localSheetId="6" hidden="1">#REF!</definedName>
    <definedName name="BLPH150" localSheetId="8" hidden="1">#REF!</definedName>
    <definedName name="BLPH150" localSheetId="3" hidden="1">#REF!</definedName>
    <definedName name="BLPH150" localSheetId="7" hidden="1">#REF!</definedName>
    <definedName name="BLPH150" localSheetId="12" hidden="1">#REF!</definedName>
    <definedName name="BLPH150" hidden="1">#REF!</definedName>
    <definedName name="BLPH151" localSheetId="2" hidden="1">#REF!</definedName>
    <definedName name="BLPH151" localSheetId="10" hidden="1">#REF!</definedName>
    <definedName name="BLPH151" localSheetId="6" hidden="1">#REF!</definedName>
    <definedName name="BLPH151" localSheetId="8" hidden="1">#REF!</definedName>
    <definedName name="BLPH151" localSheetId="3" hidden="1">#REF!</definedName>
    <definedName name="BLPH151" localSheetId="7" hidden="1">#REF!</definedName>
    <definedName name="BLPH151" localSheetId="12" hidden="1">#REF!</definedName>
    <definedName name="BLPH151" hidden="1">#REF!</definedName>
    <definedName name="BLPH152" localSheetId="2" hidden="1">#REF!</definedName>
    <definedName name="BLPH152" localSheetId="10" hidden="1">#REF!</definedName>
    <definedName name="BLPH152" localSheetId="6" hidden="1">#REF!</definedName>
    <definedName name="BLPH152" localSheetId="8" hidden="1">#REF!</definedName>
    <definedName name="BLPH152" localSheetId="3" hidden="1">#REF!</definedName>
    <definedName name="BLPH152" localSheetId="7" hidden="1">#REF!</definedName>
    <definedName name="BLPH152" localSheetId="12" hidden="1">#REF!</definedName>
    <definedName name="BLPH152" hidden="1">#REF!</definedName>
    <definedName name="BLPH153" localSheetId="2" hidden="1">#REF!</definedName>
    <definedName name="BLPH153" localSheetId="10" hidden="1">#REF!</definedName>
    <definedName name="BLPH153" localSheetId="6" hidden="1">#REF!</definedName>
    <definedName name="BLPH153" localSheetId="8" hidden="1">#REF!</definedName>
    <definedName name="BLPH153" localSheetId="3" hidden="1">#REF!</definedName>
    <definedName name="BLPH153" localSheetId="7" hidden="1">#REF!</definedName>
    <definedName name="BLPH153" localSheetId="12" hidden="1">#REF!</definedName>
    <definedName name="BLPH153" hidden="1">#REF!</definedName>
    <definedName name="BLPH154" localSheetId="2" hidden="1">#REF!</definedName>
    <definedName name="BLPH154" localSheetId="10" hidden="1">#REF!</definedName>
    <definedName name="BLPH154" localSheetId="6" hidden="1">#REF!</definedName>
    <definedName name="BLPH154" localSheetId="8" hidden="1">#REF!</definedName>
    <definedName name="BLPH154" localSheetId="3" hidden="1">#REF!</definedName>
    <definedName name="BLPH154" localSheetId="7" hidden="1">#REF!</definedName>
    <definedName name="BLPH154" localSheetId="12" hidden="1">#REF!</definedName>
    <definedName name="BLPH154" hidden="1">#REF!</definedName>
    <definedName name="BLPH155" localSheetId="2" hidden="1">#REF!</definedName>
    <definedName name="BLPH155" localSheetId="10" hidden="1">#REF!</definedName>
    <definedName name="BLPH155" localSheetId="6" hidden="1">#REF!</definedName>
    <definedName name="BLPH155" localSheetId="8" hidden="1">#REF!</definedName>
    <definedName name="BLPH155" localSheetId="3" hidden="1">#REF!</definedName>
    <definedName name="BLPH155" localSheetId="7" hidden="1">#REF!</definedName>
    <definedName name="BLPH155" localSheetId="12" hidden="1">#REF!</definedName>
    <definedName name="BLPH155" hidden="1">#REF!</definedName>
    <definedName name="BLPH156" localSheetId="2" hidden="1">#REF!</definedName>
    <definedName name="BLPH156" localSheetId="10" hidden="1">#REF!</definedName>
    <definedName name="BLPH156" localSheetId="6" hidden="1">#REF!</definedName>
    <definedName name="BLPH156" localSheetId="8" hidden="1">#REF!</definedName>
    <definedName name="BLPH156" localSheetId="3" hidden="1">#REF!</definedName>
    <definedName name="BLPH156" localSheetId="7" hidden="1">#REF!</definedName>
    <definedName name="BLPH156" localSheetId="12" hidden="1">#REF!</definedName>
    <definedName name="BLPH156" hidden="1">#REF!</definedName>
    <definedName name="BLPH157" localSheetId="2" hidden="1">#REF!</definedName>
    <definedName name="BLPH157" localSheetId="10" hidden="1">#REF!</definedName>
    <definedName name="BLPH157" localSheetId="6" hidden="1">#REF!</definedName>
    <definedName name="BLPH157" localSheetId="8" hidden="1">#REF!</definedName>
    <definedName name="BLPH157" localSheetId="3" hidden="1">#REF!</definedName>
    <definedName name="BLPH157" localSheetId="7" hidden="1">#REF!</definedName>
    <definedName name="BLPH157" localSheetId="12" hidden="1">#REF!</definedName>
    <definedName name="BLPH157" hidden="1">#REF!</definedName>
    <definedName name="BLPH158" localSheetId="2" hidden="1">#REF!</definedName>
    <definedName name="BLPH158" localSheetId="10" hidden="1">#REF!</definedName>
    <definedName name="BLPH158" localSheetId="6" hidden="1">#REF!</definedName>
    <definedName name="BLPH158" localSheetId="8" hidden="1">#REF!</definedName>
    <definedName name="BLPH158" localSheetId="3" hidden="1">#REF!</definedName>
    <definedName name="BLPH158" localSheetId="7" hidden="1">#REF!</definedName>
    <definedName name="BLPH158" localSheetId="12" hidden="1">#REF!</definedName>
    <definedName name="BLPH158" hidden="1">#REF!</definedName>
    <definedName name="BLPH159" localSheetId="2" hidden="1">#REF!</definedName>
    <definedName name="BLPH159" localSheetId="10" hidden="1">#REF!</definedName>
    <definedName name="BLPH159" localSheetId="6" hidden="1">#REF!</definedName>
    <definedName name="BLPH159" localSheetId="8" hidden="1">#REF!</definedName>
    <definedName name="BLPH159" localSheetId="3" hidden="1">#REF!</definedName>
    <definedName name="BLPH159" localSheetId="7" hidden="1">#REF!</definedName>
    <definedName name="BLPH159" localSheetId="12" hidden="1">#REF!</definedName>
    <definedName name="BLPH159" hidden="1">#REF!</definedName>
    <definedName name="BLPH16" localSheetId="2" hidden="1">#REF!</definedName>
    <definedName name="BLPH16" localSheetId="10" hidden="1">#REF!</definedName>
    <definedName name="BLPH16" localSheetId="6" hidden="1">#REF!</definedName>
    <definedName name="BLPH16" localSheetId="8" hidden="1">#REF!</definedName>
    <definedName name="BLPH16" localSheetId="3" hidden="1">#REF!</definedName>
    <definedName name="BLPH16" localSheetId="7" hidden="1">#REF!</definedName>
    <definedName name="BLPH16" localSheetId="12" hidden="1">#REF!</definedName>
    <definedName name="BLPH16" hidden="1">#REF!</definedName>
    <definedName name="BLPH160" localSheetId="2" hidden="1">#REF!</definedName>
    <definedName name="BLPH160" localSheetId="10" hidden="1">#REF!</definedName>
    <definedName name="BLPH160" localSheetId="6" hidden="1">#REF!</definedName>
    <definedName name="BLPH160" localSheetId="8" hidden="1">#REF!</definedName>
    <definedName name="BLPH160" localSheetId="3" hidden="1">#REF!</definedName>
    <definedName name="BLPH160" localSheetId="7" hidden="1">#REF!</definedName>
    <definedName name="BLPH160" localSheetId="12" hidden="1">#REF!</definedName>
    <definedName name="BLPH160" hidden="1">#REF!</definedName>
    <definedName name="BLPH161" localSheetId="2" hidden="1">#REF!</definedName>
    <definedName name="BLPH161" localSheetId="10" hidden="1">#REF!</definedName>
    <definedName name="BLPH161" localSheetId="6" hidden="1">#REF!</definedName>
    <definedName name="BLPH161" localSheetId="8" hidden="1">#REF!</definedName>
    <definedName name="BLPH161" localSheetId="3" hidden="1">#REF!</definedName>
    <definedName name="BLPH161" localSheetId="7" hidden="1">#REF!</definedName>
    <definedName name="BLPH161" localSheetId="12" hidden="1">#REF!</definedName>
    <definedName name="BLPH161" hidden="1">#REF!</definedName>
    <definedName name="BLPH162" localSheetId="2" hidden="1">#REF!</definedName>
    <definedName name="BLPH162" localSheetId="10" hidden="1">#REF!</definedName>
    <definedName name="BLPH162" localSheetId="6" hidden="1">#REF!</definedName>
    <definedName name="BLPH162" localSheetId="8" hidden="1">#REF!</definedName>
    <definedName name="BLPH162" localSheetId="3" hidden="1">#REF!</definedName>
    <definedName name="BLPH162" localSheetId="7" hidden="1">#REF!</definedName>
    <definedName name="BLPH162" localSheetId="12" hidden="1">#REF!</definedName>
    <definedName name="BLPH162" hidden="1">#REF!</definedName>
    <definedName name="BLPH163" localSheetId="2" hidden="1">#REF!</definedName>
    <definedName name="BLPH163" localSheetId="10" hidden="1">#REF!</definedName>
    <definedName name="BLPH163" localSheetId="6" hidden="1">#REF!</definedName>
    <definedName name="BLPH163" localSheetId="8" hidden="1">#REF!</definedName>
    <definedName name="BLPH163" localSheetId="3" hidden="1">#REF!</definedName>
    <definedName name="BLPH163" localSheetId="7" hidden="1">#REF!</definedName>
    <definedName name="BLPH163" localSheetId="12" hidden="1">#REF!</definedName>
    <definedName name="BLPH163" hidden="1">#REF!</definedName>
    <definedName name="BLPH164" localSheetId="2" hidden="1">#REF!</definedName>
    <definedName name="BLPH164" localSheetId="10" hidden="1">#REF!</definedName>
    <definedName name="BLPH164" localSheetId="6" hidden="1">#REF!</definedName>
    <definedName name="BLPH164" localSheetId="8" hidden="1">#REF!</definedName>
    <definedName name="BLPH164" localSheetId="3" hidden="1">#REF!</definedName>
    <definedName name="BLPH164" localSheetId="7" hidden="1">#REF!</definedName>
    <definedName name="BLPH164" localSheetId="12" hidden="1">#REF!</definedName>
    <definedName name="BLPH164" hidden="1">#REF!</definedName>
    <definedName name="BLPH165" localSheetId="2" hidden="1">#REF!</definedName>
    <definedName name="BLPH165" localSheetId="10" hidden="1">#REF!</definedName>
    <definedName name="BLPH165" localSheetId="6" hidden="1">#REF!</definedName>
    <definedName name="BLPH165" localSheetId="8" hidden="1">#REF!</definedName>
    <definedName name="BLPH165" localSheetId="3" hidden="1">#REF!</definedName>
    <definedName name="BLPH165" localSheetId="7" hidden="1">#REF!</definedName>
    <definedName name="BLPH165" localSheetId="12" hidden="1">#REF!</definedName>
    <definedName name="BLPH165" hidden="1">#REF!</definedName>
    <definedName name="BLPH166" localSheetId="2" hidden="1">#REF!</definedName>
    <definedName name="BLPH166" localSheetId="10" hidden="1">#REF!</definedName>
    <definedName name="BLPH166" localSheetId="6" hidden="1">#REF!</definedName>
    <definedName name="BLPH166" localSheetId="8" hidden="1">#REF!</definedName>
    <definedName name="BLPH166" localSheetId="3" hidden="1">#REF!</definedName>
    <definedName name="BLPH166" localSheetId="7" hidden="1">#REF!</definedName>
    <definedName name="BLPH166" localSheetId="12" hidden="1">#REF!</definedName>
    <definedName name="BLPH166" hidden="1">#REF!</definedName>
    <definedName name="BLPH167" localSheetId="2" hidden="1">#REF!</definedName>
    <definedName name="BLPH167" localSheetId="10" hidden="1">#REF!</definedName>
    <definedName name="BLPH167" localSheetId="6" hidden="1">#REF!</definedName>
    <definedName name="BLPH167" localSheetId="8" hidden="1">#REF!</definedName>
    <definedName name="BLPH167" localSheetId="3" hidden="1">#REF!</definedName>
    <definedName name="BLPH167" localSheetId="7" hidden="1">#REF!</definedName>
    <definedName name="BLPH167" localSheetId="12" hidden="1">#REF!</definedName>
    <definedName name="BLPH167" hidden="1">#REF!</definedName>
    <definedName name="BLPH168" localSheetId="2" hidden="1">#REF!</definedName>
    <definedName name="BLPH168" localSheetId="10" hidden="1">#REF!</definedName>
    <definedName name="BLPH168" localSheetId="6" hidden="1">#REF!</definedName>
    <definedName name="BLPH168" localSheetId="8" hidden="1">#REF!</definedName>
    <definedName name="BLPH168" localSheetId="3" hidden="1">#REF!</definedName>
    <definedName name="BLPH168" localSheetId="7" hidden="1">#REF!</definedName>
    <definedName name="BLPH168" localSheetId="12" hidden="1">#REF!</definedName>
    <definedName name="BLPH168" hidden="1">#REF!</definedName>
    <definedName name="BLPH169" localSheetId="2" hidden="1">#REF!</definedName>
    <definedName name="BLPH169" localSheetId="10" hidden="1">#REF!</definedName>
    <definedName name="BLPH169" localSheetId="6" hidden="1">#REF!</definedName>
    <definedName name="BLPH169" localSheetId="8" hidden="1">#REF!</definedName>
    <definedName name="BLPH169" localSheetId="3" hidden="1">#REF!</definedName>
    <definedName name="BLPH169" localSheetId="7" hidden="1">#REF!</definedName>
    <definedName name="BLPH169" localSheetId="12" hidden="1">#REF!</definedName>
    <definedName name="BLPH169" hidden="1">#REF!</definedName>
    <definedName name="BLPH17" localSheetId="2" hidden="1">#REF!</definedName>
    <definedName name="BLPH17" localSheetId="10" hidden="1">#REF!</definedName>
    <definedName name="BLPH17" localSheetId="6" hidden="1">#REF!</definedName>
    <definedName name="BLPH17" localSheetId="8" hidden="1">#REF!</definedName>
    <definedName name="BLPH17" localSheetId="3" hidden="1">#REF!</definedName>
    <definedName name="BLPH17" localSheetId="7" hidden="1">#REF!</definedName>
    <definedName name="BLPH17" localSheetId="12" hidden="1">#REF!</definedName>
    <definedName name="BLPH17" hidden="1">#REF!</definedName>
    <definedName name="BLPH170" localSheetId="2" hidden="1">#REF!</definedName>
    <definedName name="BLPH170" localSheetId="10" hidden="1">#REF!</definedName>
    <definedName name="BLPH170" localSheetId="6" hidden="1">#REF!</definedName>
    <definedName name="BLPH170" localSheetId="8" hidden="1">#REF!</definedName>
    <definedName name="BLPH170" localSheetId="3" hidden="1">#REF!</definedName>
    <definedName name="BLPH170" localSheetId="7" hidden="1">#REF!</definedName>
    <definedName name="BLPH170" localSheetId="12" hidden="1">#REF!</definedName>
    <definedName name="BLPH170" hidden="1">#REF!</definedName>
    <definedName name="BLPH171" localSheetId="2" hidden="1">#REF!</definedName>
    <definedName name="BLPH171" localSheetId="10" hidden="1">#REF!</definedName>
    <definedName name="BLPH171" localSheetId="6" hidden="1">#REF!</definedName>
    <definedName name="BLPH171" localSheetId="8" hidden="1">#REF!</definedName>
    <definedName name="BLPH171" localSheetId="3" hidden="1">#REF!</definedName>
    <definedName name="BLPH171" localSheetId="7" hidden="1">#REF!</definedName>
    <definedName name="BLPH171" localSheetId="12" hidden="1">#REF!</definedName>
    <definedName name="BLPH171" hidden="1">#REF!</definedName>
    <definedName name="BLPH172" localSheetId="2" hidden="1">#REF!</definedName>
    <definedName name="BLPH172" localSheetId="10" hidden="1">#REF!</definedName>
    <definedName name="BLPH172" localSheetId="6" hidden="1">#REF!</definedName>
    <definedName name="BLPH172" localSheetId="8" hidden="1">#REF!</definedName>
    <definedName name="BLPH172" localSheetId="3" hidden="1">#REF!</definedName>
    <definedName name="BLPH172" localSheetId="7" hidden="1">#REF!</definedName>
    <definedName name="BLPH172" localSheetId="12" hidden="1">#REF!</definedName>
    <definedName name="BLPH172" hidden="1">#REF!</definedName>
    <definedName name="BLPH173" localSheetId="2" hidden="1">#REF!</definedName>
    <definedName name="BLPH173" localSheetId="10" hidden="1">#REF!</definedName>
    <definedName name="BLPH173" localSheetId="6" hidden="1">#REF!</definedName>
    <definedName name="BLPH173" localSheetId="8" hidden="1">#REF!</definedName>
    <definedName name="BLPH173" localSheetId="3" hidden="1">#REF!</definedName>
    <definedName name="BLPH173" localSheetId="7" hidden="1">#REF!</definedName>
    <definedName name="BLPH173" localSheetId="12" hidden="1">#REF!</definedName>
    <definedName name="BLPH173" hidden="1">#REF!</definedName>
    <definedName name="BLPH174" localSheetId="2" hidden="1">#REF!</definedName>
    <definedName name="BLPH174" localSheetId="10" hidden="1">#REF!</definedName>
    <definedName name="BLPH174" localSheetId="6" hidden="1">#REF!</definedName>
    <definedName name="BLPH174" localSheetId="8" hidden="1">#REF!</definedName>
    <definedName name="BLPH174" localSheetId="3" hidden="1">#REF!</definedName>
    <definedName name="BLPH174" localSheetId="7" hidden="1">#REF!</definedName>
    <definedName name="BLPH174" localSheetId="12" hidden="1">#REF!</definedName>
    <definedName name="BLPH174" hidden="1">#REF!</definedName>
    <definedName name="BLPH175" localSheetId="2" hidden="1">#REF!</definedName>
    <definedName name="BLPH175" localSheetId="10" hidden="1">#REF!</definedName>
    <definedName name="BLPH175" localSheetId="6" hidden="1">#REF!</definedName>
    <definedName name="BLPH175" localSheetId="8" hidden="1">#REF!</definedName>
    <definedName name="BLPH175" localSheetId="3" hidden="1">#REF!</definedName>
    <definedName name="BLPH175" localSheetId="7" hidden="1">#REF!</definedName>
    <definedName name="BLPH175" localSheetId="12" hidden="1">#REF!</definedName>
    <definedName name="BLPH175" hidden="1">#REF!</definedName>
    <definedName name="BLPH176" localSheetId="2" hidden="1">#REF!</definedName>
    <definedName name="BLPH176" localSheetId="10" hidden="1">#REF!</definedName>
    <definedName name="BLPH176" localSheetId="6" hidden="1">#REF!</definedName>
    <definedName name="BLPH176" localSheetId="8" hidden="1">#REF!</definedName>
    <definedName name="BLPH176" localSheetId="3" hidden="1">#REF!</definedName>
    <definedName name="BLPH176" localSheetId="7" hidden="1">#REF!</definedName>
    <definedName name="BLPH176" localSheetId="12" hidden="1">#REF!</definedName>
    <definedName name="BLPH176" hidden="1">#REF!</definedName>
    <definedName name="BLPH177" localSheetId="2" hidden="1">#REF!</definedName>
    <definedName name="BLPH177" localSheetId="10" hidden="1">#REF!</definedName>
    <definedName name="BLPH177" localSheetId="6" hidden="1">#REF!</definedName>
    <definedName name="BLPH177" localSheetId="8" hidden="1">#REF!</definedName>
    <definedName name="BLPH177" localSheetId="3" hidden="1">#REF!</definedName>
    <definedName name="BLPH177" localSheetId="7" hidden="1">#REF!</definedName>
    <definedName name="BLPH177" localSheetId="12" hidden="1">#REF!</definedName>
    <definedName name="BLPH177" hidden="1">#REF!</definedName>
    <definedName name="BLPH178" localSheetId="2" hidden="1">#REF!</definedName>
    <definedName name="BLPH178" localSheetId="10" hidden="1">#REF!</definedName>
    <definedName name="BLPH178" localSheetId="6" hidden="1">#REF!</definedName>
    <definedName name="BLPH178" localSheetId="8" hidden="1">#REF!</definedName>
    <definedName name="BLPH178" localSheetId="3" hidden="1">#REF!</definedName>
    <definedName name="BLPH178" localSheetId="7" hidden="1">#REF!</definedName>
    <definedName name="BLPH178" localSheetId="12" hidden="1">#REF!</definedName>
    <definedName name="BLPH178" hidden="1">#REF!</definedName>
    <definedName name="BLPH179" localSheetId="2" hidden="1">#REF!</definedName>
    <definedName name="BLPH179" localSheetId="10" hidden="1">#REF!</definedName>
    <definedName name="BLPH179" localSheetId="6" hidden="1">#REF!</definedName>
    <definedName name="BLPH179" localSheetId="8" hidden="1">#REF!</definedName>
    <definedName name="BLPH179" localSheetId="3" hidden="1">#REF!</definedName>
    <definedName name="BLPH179" localSheetId="7" hidden="1">#REF!</definedName>
    <definedName name="BLPH179" localSheetId="12" hidden="1">#REF!</definedName>
    <definedName name="BLPH179" hidden="1">#REF!</definedName>
    <definedName name="BLPH18" localSheetId="2" hidden="1">#REF!</definedName>
    <definedName name="BLPH18" localSheetId="10" hidden="1">#REF!</definedName>
    <definedName name="BLPH18" localSheetId="6" hidden="1">#REF!</definedName>
    <definedName name="BLPH18" localSheetId="8" hidden="1">#REF!</definedName>
    <definedName name="BLPH18" localSheetId="3" hidden="1">#REF!</definedName>
    <definedName name="BLPH18" localSheetId="7" hidden="1">#REF!</definedName>
    <definedName name="BLPH18" localSheetId="12" hidden="1">#REF!</definedName>
    <definedName name="BLPH18" hidden="1">#REF!</definedName>
    <definedName name="BLPH180" localSheetId="2" hidden="1">#REF!</definedName>
    <definedName name="BLPH180" localSheetId="10" hidden="1">#REF!</definedName>
    <definedName name="BLPH180" localSheetId="6" hidden="1">#REF!</definedName>
    <definedName name="BLPH180" localSheetId="8" hidden="1">#REF!</definedName>
    <definedName name="BLPH180" localSheetId="3" hidden="1">#REF!</definedName>
    <definedName name="BLPH180" localSheetId="7" hidden="1">#REF!</definedName>
    <definedName name="BLPH180" localSheetId="12" hidden="1">#REF!</definedName>
    <definedName name="BLPH180" hidden="1">#REF!</definedName>
    <definedName name="BLPH181" localSheetId="2" hidden="1">#REF!</definedName>
    <definedName name="BLPH181" localSheetId="10" hidden="1">#REF!</definedName>
    <definedName name="BLPH181" localSheetId="6" hidden="1">#REF!</definedName>
    <definedName name="BLPH181" localSheetId="8" hidden="1">#REF!</definedName>
    <definedName name="BLPH181" localSheetId="3" hidden="1">#REF!</definedName>
    <definedName name="BLPH181" localSheetId="7" hidden="1">#REF!</definedName>
    <definedName name="BLPH181" localSheetId="12" hidden="1">#REF!</definedName>
    <definedName name="BLPH181" hidden="1">#REF!</definedName>
    <definedName name="BLPH182" localSheetId="2" hidden="1">#REF!</definedName>
    <definedName name="BLPH182" localSheetId="10" hidden="1">#REF!</definedName>
    <definedName name="BLPH182" localSheetId="6" hidden="1">#REF!</definedName>
    <definedName name="BLPH182" localSheetId="8" hidden="1">#REF!</definedName>
    <definedName name="BLPH182" localSheetId="3" hidden="1">#REF!</definedName>
    <definedName name="BLPH182" localSheetId="7" hidden="1">#REF!</definedName>
    <definedName name="BLPH182" localSheetId="12" hidden="1">#REF!</definedName>
    <definedName name="BLPH182" hidden="1">#REF!</definedName>
    <definedName name="BLPH183" localSheetId="2" hidden="1">#REF!</definedName>
    <definedName name="BLPH183" localSheetId="10" hidden="1">#REF!</definedName>
    <definedName name="BLPH183" localSheetId="6" hidden="1">#REF!</definedName>
    <definedName name="BLPH183" localSheetId="8" hidden="1">#REF!</definedName>
    <definedName name="BLPH183" localSheetId="3" hidden="1">#REF!</definedName>
    <definedName name="BLPH183" localSheetId="7" hidden="1">#REF!</definedName>
    <definedName name="BLPH183" localSheetId="12" hidden="1">#REF!</definedName>
    <definedName name="BLPH183" hidden="1">#REF!</definedName>
    <definedName name="BLPH184" localSheetId="2" hidden="1">#REF!</definedName>
    <definedName name="BLPH184" localSheetId="10" hidden="1">#REF!</definedName>
    <definedName name="BLPH184" localSheetId="6" hidden="1">#REF!</definedName>
    <definedName name="BLPH184" localSheetId="8" hidden="1">#REF!</definedName>
    <definedName name="BLPH184" localSheetId="3" hidden="1">#REF!</definedName>
    <definedName name="BLPH184" localSheetId="7" hidden="1">#REF!</definedName>
    <definedName name="BLPH184" localSheetId="12" hidden="1">#REF!</definedName>
    <definedName name="BLPH184" hidden="1">#REF!</definedName>
    <definedName name="BLPH185" localSheetId="2" hidden="1">#REF!</definedName>
    <definedName name="BLPH185" localSheetId="10" hidden="1">#REF!</definedName>
    <definedName name="BLPH185" localSheetId="6" hidden="1">#REF!</definedName>
    <definedName name="BLPH185" localSheetId="8" hidden="1">#REF!</definedName>
    <definedName name="BLPH185" localSheetId="3" hidden="1">#REF!</definedName>
    <definedName name="BLPH185" localSheetId="7" hidden="1">#REF!</definedName>
    <definedName name="BLPH185" localSheetId="12" hidden="1">#REF!</definedName>
    <definedName name="BLPH185" hidden="1">#REF!</definedName>
    <definedName name="BLPH186" localSheetId="2" hidden="1">#REF!</definedName>
    <definedName name="BLPH186" localSheetId="10" hidden="1">#REF!</definedName>
    <definedName name="BLPH186" localSheetId="6" hidden="1">#REF!</definedName>
    <definedName name="BLPH186" localSheetId="8" hidden="1">#REF!</definedName>
    <definedName name="BLPH186" localSheetId="3" hidden="1">#REF!</definedName>
    <definedName name="BLPH186" localSheetId="7" hidden="1">#REF!</definedName>
    <definedName name="BLPH186" localSheetId="12" hidden="1">#REF!</definedName>
    <definedName name="BLPH186" hidden="1">#REF!</definedName>
    <definedName name="BLPH187" localSheetId="2" hidden="1">#REF!</definedName>
    <definedName name="BLPH187" localSheetId="10" hidden="1">#REF!</definedName>
    <definedName name="BLPH187" localSheetId="6" hidden="1">#REF!</definedName>
    <definedName name="BLPH187" localSheetId="8" hidden="1">#REF!</definedName>
    <definedName name="BLPH187" localSheetId="3" hidden="1">#REF!</definedName>
    <definedName name="BLPH187" localSheetId="7" hidden="1">#REF!</definedName>
    <definedName name="BLPH187" localSheetId="12" hidden="1">#REF!</definedName>
    <definedName name="BLPH187" hidden="1">#REF!</definedName>
    <definedName name="BLPH188" localSheetId="2" hidden="1">#REF!</definedName>
    <definedName name="BLPH188" localSheetId="10" hidden="1">#REF!</definedName>
    <definedName name="BLPH188" localSheetId="6" hidden="1">#REF!</definedName>
    <definedName name="BLPH188" localSheetId="8" hidden="1">#REF!</definedName>
    <definedName name="BLPH188" localSheetId="3" hidden="1">#REF!</definedName>
    <definedName name="BLPH188" localSheetId="7" hidden="1">#REF!</definedName>
    <definedName name="BLPH188" localSheetId="12" hidden="1">#REF!</definedName>
    <definedName name="BLPH188" hidden="1">#REF!</definedName>
    <definedName name="BLPH189" localSheetId="2" hidden="1">#REF!</definedName>
    <definedName name="BLPH189" localSheetId="10" hidden="1">#REF!</definedName>
    <definedName name="BLPH189" localSheetId="6" hidden="1">#REF!</definedName>
    <definedName name="BLPH189" localSheetId="8" hidden="1">#REF!</definedName>
    <definedName name="BLPH189" localSheetId="3" hidden="1">#REF!</definedName>
    <definedName name="BLPH189" localSheetId="7" hidden="1">#REF!</definedName>
    <definedName name="BLPH189" localSheetId="12" hidden="1">#REF!</definedName>
    <definedName name="BLPH189" hidden="1">#REF!</definedName>
    <definedName name="BLPH19" localSheetId="2" hidden="1">#REF!</definedName>
    <definedName name="BLPH19" localSheetId="10" hidden="1">#REF!</definedName>
    <definedName name="BLPH19" localSheetId="6" hidden="1">#REF!</definedName>
    <definedName name="BLPH19" localSheetId="8" hidden="1">#REF!</definedName>
    <definedName name="BLPH19" localSheetId="3" hidden="1">#REF!</definedName>
    <definedName name="BLPH19" localSheetId="7" hidden="1">#REF!</definedName>
    <definedName name="BLPH19" localSheetId="12" hidden="1">#REF!</definedName>
    <definedName name="BLPH19" hidden="1">#REF!</definedName>
    <definedName name="BLPH190" localSheetId="2" hidden="1">#REF!</definedName>
    <definedName name="BLPH190" localSheetId="10" hidden="1">#REF!</definedName>
    <definedName name="BLPH190" localSheetId="6" hidden="1">#REF!</definedName>
    <definedName name="BLPH190" localSheetId="8" hidden="1">#REF!</definedName>
    <definedName name="BLPH190" localSheetId="3" hidden="1">#REF!</definedName>
    <definedName name="BLPH190" localSheetId="7" hidden="1">#REF!</definedName>
    <definedName name="BLPH190" localSheetId="12" hidden="1">#REF!</definedName>
    <definedName name="BLPH190" hidden="1">#REF!</definedName>
    <definedName name="BLPH191" localSheetId="2" hidden="1">#REF!</definedName>
    <definedName name="BLPH191" localSheetId="10" hidden="1">#REF!</definedName>
    <definedName name="BLPH191" localSheetId="6" hidden="1">#REF!</definedName>
    <definedName name="BLPH191" localSheetId="8" hidden="1">#REF!</definedName>
    <definedName name="BLPH191" localSheetId="3" hidden="1">#REF!</definedName>
    <definedName name="BLPH191" localSheetId="7" hidden="1">#REF!</definedName>
    <definedName name="BLPH191" localSheetId="12" hidden="1">#REF!</definedName>
    <definedName name="BLPH191" hidden="1">#REF!</definedName>
    <definedName name="BLPH192" localSheetId="2" hidden="1">#REF!</definedName>
    <definedName name="BLPH192" localSheetId="10" hidden="1">#REF!</definedName>
    <definedName name="BLPH192" localSheetId="6" hidden="1">#REF!</definedName>
    <definedName name="BLPH192" localSheetId="8" hidden="1">#REF!</definedName>
    <definedName name="BLPH192" localSheetId="3" hidden="1">#REF!</definedName>
    <definedName name="BLPH192" localSheetId="7" hidden="1">#REF!</definedName>
    <definedName name="BLPH192" localSheetId="12" hidden="1">#REF!</definedName>
    <definedName name="BLPH192" hidden="1">#REF!</definedName>
    <definedName name="BLPH193" localSheetId="2" hidden="1">#REF!</definedName>
    <definedName name="BLPH193" localSheetId="10" hidden="1">#REF!</definedName>
    <definedName name="BLPH193" localSheetId="6" hidden="1">#REF!</definedName>
    <definedName name="BLPH193" localSheetId="8" hidden="1">#REF!</definedName>
    <definedName name="BLPH193" localSheetId="3" hidden="1">#REF!</definedName>
    <definedName name="BLPH193" localSheetId="7" hidden="1">#REF!</definedName>
    <definedName name="BLPH193" localSheetId="12" hidden="1">#REF!</definedName>
    <definedName name="BLPH193" hidden="1">#REF!</definedName>
    <definedName name="BLPH194" localSheetId="2" hidden="1">#REF!</definedName>
    <definedName name="BLPH194" localSheetId="10" hidden="1">#REF!</definedName>
    <definedName name="BLPH194" localSheetId="6" hidden="1">#REF!</definedName>
    <definedName name="BLPH194" localSheetId="8" hidden="1">#REF!</definedName>
    <definedName name="BLPH194" localSheetId="3" hidden="1">#REF!</definedName>
    <definedName name="BLPH194" localSheetId="7" hidden="1">#REF!</definedName>
    <definedName name="BLPH194" localSheetId="12" hidden="1">#REF!</definedName>
    <definedName name="BLPH194" hidden="1">#REF!</definedName>
    <definedName name="BLPH195" localSheetId="2" hidden="1">#REF!</definedName>
    <definedName name="BLPH195" localSheetId="10" hidden="1">#REF!</definedName>
    <definedName name="BLPH195" localSheetId="6" hidden="1">#REF!</definedName>
    <definedName name="BLPH195" localSheetId="8" hidden="1">#REF!</definedName>
    <definedName name="BLPH195" localSheetId="3" hidden="1">#REF!</definedName>
    <definedName name="BLPH195" localSheetId="7" hidden="1">#REF!</definedName>
    <definedName name="BLPH195" localSheetId="12" hidden="1">#REF!</definedName>
    <definedName name="BLPH195" hidden="1">#REF!</definedName>
    <definedName name="BLPH196" localSheetId="2" hidden="1">#REF!</definedName>
    <definedName name="BLPH196" localSheetId="10" hidden="1">#REF!</definedName>
    <definedName name="BLPH196" localSheetId="6" hidden="1">#REF!</definedName>
    <definedName name="BLPH196" localSheetId="8" hidden="1">#REF!</definedName>
    <definedName name="BLPH196" localSheetId="3" hidden="1">#REF!</definedName>
    <definedName name="BLPH196" localSheetId="7" hidden="1">#REF!</definedName>
    <definedName name="BLPH196" localSheetId="12" hidden="1">#REF!</definedName>
    <definedName name="BLPH196" hidden="1">#REF!</definedName>
    <definedName name="BLPH197" localSheetId="2" hidden="1">#REF!</definedName>
    <definedName name="BLPH197" localSheetId="10" hidden="1">#REF!</definedName>
    <definedName name="BLPH197" localSheetId="6" hidden="1">#REF!</definedName>
    <definedName name="BLPH197" localSheetId="8" hidden="1">#REF!</definedName>
    <definedName name="BLPH197" localSheetId="3" hidden="1">#REF!</definedName>
    <definedName name="BLPH197" localSheetId="7" hidden="1">#REF!</definedName>
    <definedName name="BLPH197" localSheetId="12" hidden="1">#REF!</definedName>
    <definedName name="BLPH197" hidden="1">#REF!</definedName>
    <definedName name="BLPH198" localSheetId="2" hidden="1">#REF!</definedName>
    <definedName name="BLPH198" localSheetId="10" hidden="1">#REF!</definedName>
    <definedName name="BLPH198" localSheetId="6" hidden="1">#REF!</definedName>
    <definedName name="BLPH198" localSheetId="8" hidden="1">#REF!</definedName>
    <definedName name="BLPH198" localSheetId="3" hidden="1">#REF!</definedName>
    <definedName name="BLPH198" localSheetId="7" hidden="1">#REF!</definedName>
    <definedName name="BLPH198" localSheetId="12" hidden="1">#REF!</definedName>
    <definedName name="BLPH198" hidden="1">#REF!</definedName>
    <definedName name="BLPH199" localSheetId="2" hidden="1">#REF!</definedName>
    <definedName name="BLPH199" localSheetId="10" hidden="1">#REF!</definedName>
    <definedName name="BLPH199" localSheetId="6" hidden="1">#REF!</definedName>
    <definedName name="BLPH199" localSheetId="8" hidden="1">#REF!</definedName>
    <definedName name="BLPH199" localSheetId="3" hidden="1">#REF!</definedName>
    <definedName name="BLPH199" localSheetId="7" hidden="1">#REF!</definedName>
    <definedName name="BLPH199" localSheetId="12" hidden="1">#REF!</definedName>
    <definedName name="BLPH199" hidden="1">#REF!</definedName>
    <definedName name="BLPH2" localSheetId="2" hidden="1">#REF!</definedName>
    <definedName name="BLPH2" localSheetId="10" hidden="1">#REF!</definedName>
    <definedName name="BLPH2" localSheetId="6" hidden="1">#REF!</definedName>
    <definedName name="BLPH2" localSheetId="8" hidden="1">#REF!</definedName>
    <definedName name="BLPH2" localSheetId="3" hidden="1">#REF!</definedName>
    <definedName name="BLPH2" localSheetId="7" hidden="1">#REF!</definedName>
    <definedName name="BLPH2" localSheetId="12" hidden="1">#REF!</definedName>
    <definedName name="BLPH2" hidden="1">#REF!</definedName>
    <definedName name="BLPH20" localSheetId="2" hidden="1">#REF!</definedName>
    <definedName name="BLPH20" localSheetId="10" hidden="1">#REF!</definedName>
    <definedName name="BLPH20" localSheetId="6" hidden="1">#REF!</definedName>
    <definedName name="BLPH20" localSheetId="8" hidden="1">#REF!</definedName>
    <definedName name="BLPH20" localSheetId="3" hidden="1">#REF!</definedName>
    <definedName name="BLPH20" localSheetId="7" hidden="1">#REF!</definedName>
    <definedName name="BLPH20" localSheetId="12" hidden="1">#REF!</definedName>
    <definedName name="BLPH20" hidden="1">#REF!</definedName>
    <definedName name="BLPH200" localSheetId="2" hidden="1">#REF!</definedName>
    <definedName name="BLPH200" localSheetId="10" hidden="1">#REF!</definedName>
    <definedName name="BLPH200" localSheetId="6" hidden="1">#REF!</definedName>
    <definedName name="BLPH200" localSheetId="8" hidden="1">#REF!</definedName>
    <definedName name="BLPH200" localSheetId="3" hidden="1">#REF!</definedName>
    <definedName name="BLPH200" localSheetId="7" hidden="1">#REF!</definedName>
    <definedName name="BLPH200" localSheetId="12" hidden="1">#REF!</definedName>
    <definedName name="BLPH200" hidden="1">#REF!</definedName>
    <definedName name="BLPH201" localSheetId="2" hidden="1">#REF!</definedName>
    <definedName name="BLPH201" localSheetId="10" hidden="1">#REF!</definedName>
    <definedName name="BLPH201" localSheetId="6" hidden="1">#REF!</definedName>
    <definedName name="BLPH201" localSheetId="8" hidden="1">#REF!</definedName>
    <definedName name="BLPH201" localSheetId="3" hidden="1">#REF!</definedName>
    <definedName name="BLPH201" localSheetId="7" hidden="1">#REF!</definedName>
    <definedName name="BLPH201" localSheetId="12" hidden="1">#REF!</definedName>
    <definedName name="BLPH201" hidden="1">#REF!</definedName>
    <definedName name="BLPH21" localSheetId="2" hidden="1">#REF!</definedName>
    <definedName name="BLPH21" localSheetId="10" hidden="1">#REF!</definedName>
    <definedName name="BLPH21" localSheetId="6" hidden="1">#REF!</definedName>
    <definedName name="BLPH21" localSheetId="8" hidden="1">#REF!</definedName>
    <definedName name="BLPH21" localSheetId="3" hidden="1">#REF!</definedName>
    <definedName name="BLPH21" localSheetId="7" hidden="1">#REF!</definedName>
    <definedName name="BLPH21" localSheetId="12" hidden="1">#REF!</definedName>
    <definedName name="BLPH21" hidden="1">#REF!</definedName>
    <definedName name="BLPH22" localSheetId="2" hidden="1">#REF!</definedName>
    <definedName name="BLPH22" localSheetId="10" hidden="1">#REF!</definedName>
    <definedName name="BLPH22" localSheetId="6" hidden="1">#REF!</definedName>
    <definedName name="BLPH22" localSheetId="8" hidden="1">#REF!</definedName>
    <definedName name="BLPH22" localSheetId="3" hidden="1">#REF!</definedName>
    <definedName name="BLPH22" localSheetId="7" hidden="1">#REF!</definedName>
    <definedName name="BLPH22" localSheetId="12" hidden="1">#REF!</definedName>
    <definedName name="BLPH22" hidden="1">#REF!</definedName>
    <definedName name="BLPH23" localSheetId="2" hidden="1">#REF!</definedName>
    <definedName name="BLPH23" localSheetId="10" hidden="1">#REF!</definedName>
    <definedName name="BLPH23" localSheetId="6" hidden="1">#REF!</definedName>
    <definedName name="BLPH23" localSheetId="8" hidden="1">#REF!</definedName>
    <definedName name="BLPH23" localSheetId="3" hidden="1">#REF!</definedName>
    <definedName name="BLPH23" localSheetId="7" hidden="1">#REF!</definedName>
    <definedName name="BLPH23" localSheetId="12" hidden="1">#REF!</definedName>
    <definedName name="BLPH23" hidden="1">#REF!</definedName>
    <definedName name="BLPH24" localSheetId="2" hidden="1">#REF!</definedName>
    <definedName name="BLPH24" localSheetId="10" hidden="1">#REF!</definedName>
    <definedName name="BLPH24" localSheetId="6" hidden="1">#REF!</definedName>
    <definedName name="BLPH24" localSheetId="8" hidden="1">#REF!</definedName>
    <definedName name="BLPH24" localSheetId="3" hidden="1">#REF!</definedName>
    <definedName name="BLPH24" localSheetId="7" hidden="1">#REF!</definedName>
    <definedName name="BLPH24" localSheetId="12" hidden="1">#REF!</definedName>
    <definedName name="BLPH24" hidden="1">#REF!</definedName>
    <definedName name="BLPH25" localSheetId="2" hidden="1">#REF!</definedName>
    <definedName name="BLPH25" localSheetId="10" hidden="1">#REF!</definedName>
    <definedName name="BLPH25" localSheetId="6" hidden="1">#REF!</definedName>
    <definedName name="BLPH25" localSheetId="8" hidden="1">#REF!</definedName>
    <definedName name="BLPH25" localSheetId="3" hidden="1">#REF!</definedName>
    <definedName name="BLPH25" localSheetId="7" hidden="1">#REF!</definedName>
    <definedName name="BLPH25" localSheetId="12" hidden="1">#REF!</definedName>
    <definedName name="BLPH25" hidden="1">#REF!</definedName>
    <definedName name="BLPH26" localSheetId="2" hidden="1">#REF!</definedName>
    <definedName name="BLPH26" localSheetId="10" hidden="1">#REF!</definedName>
    <definedName name="BLPH26" localSheetId="6" hidden="1">#REF!</definedName>
    <definedName name="BLPH26" localSheetId="8" hidden="1">#REF!</definedName>
    <definedName name="BLPH26" localSheetId="3" hidden="1">#REF!</definedName>
    <definedName name="BLPH26" localSheetId="7" hidden="1">#REF!</definedName>
    <definedName name="BLPH26" localSheetId="12" hidden="1">#REF!</definedName>
    <definedName name="BLPH26" hidden="1">#REF!</definedName>
    <definedName name="BLPH27" localSheetId="2" hidden="1">#REF!</definedName>
    <definedName name="BLPH27" localSheetId="10" hidden="1">#REF!</definedName>
    <definedName name="BLPH27" localSheetId="6" hidden="1">#REF!</definedName>
    <definedName name="BLPH27" localSheetId="8" hidden="1">#REF!</definedName>
    <definedName name="BLPH27" localSheetId="3" hidden="1">#REF!</definedName>
    <definedName name="BLPH27" localSheetId="7" hidden="1">#REF!</definedName>
    <definedName name="BLPH27" localSheetId="12" hidden="1">#REF!</definedName>
    <definedName name="BLPH27" hidden="1">#REF!</definedName>
    <definedName name="BLPH28" localSheetId="2" hidden="1">#REF!</definedName>
    <definedName name="BLPH28" localSheetId="10" hidden="1">#REF!</definedName>
    <definedName name="BLPH28" localSheetId="6" hidden="1">#REF!</definedName>
    <definedName name="BLPH28" localSheetId="8" hidden="1">#REF!</definedName>
    <definedName name="BLPH28" localSheetId="3" hidden="1">#REF!</definedName>
    <definedName name="BLPH28" localSheetId="7" hidden="1">#REF!</definedName>
    <definedName name="BLPH28" localSheetId="12" hidden="1">#REF!</definedName>
    <definedName name="BLPH28" hidden="1">#REF!</definedName>
    <definedName name="BLPH29" localSheetId="2" hidden="1">#REF!</definedName>
    <definedName name="BLPH29" localSheetId="10" hidden="1">#REF!</definedName>
    <definedName name="BLPH29" localSheetId="6" hidden="1">#REF!</definedName>
    <definedName name="BLPH29" localSheetId="8" hidden="1">#REF!</definedName>
    <definedName name="BLPH29" localSheetId="3" hidden="1">#REF!</definedName>
    <definedName name="BLPH29" localSheetId="7" hidden="1">#REF!</definedName>
    <definedName name="BLPH29" localSheetId="12" hidden="1">#REF!</definedName>
    <definedName name="BLPH29" hidden="1">#REF!</definedName>
    <definedName name="BLPH3" localSheetId="2" hidden="1">#REF!</definedName>
    <definedName name="BLPH3" localSheetId="10" hidden="1">#REF!</definedName>
    <definedName name="BLPH3" localSheetId="6" hidden="1">#REF!</definedName>
    <definedName name="BLPH3" localSheetId="8" hidden="1">#REF!</definedName>
    <definedName name="BLPH3" localSheetId="3" hidden="1">#REF!</definedName>
    <definedName name="BLPH3" localSheetId="7" hidden="1">#REF!</definedName>
    <definedName name="BLPH3" localSheetId="12" hidden="1">#REF!</definedName>
    <definedName name="BLPH3" hidden="1">#REF!</definedName>
    <definedName name="BLPH30" localSheetId="2" hidden="1">#REF!</definedName>
    <definedName name="BLPH30" localSheetId="10" hidden="1">#REF!</definedName>
    <definedName name="BLPH30" localSheetId="6" hidden="1">#REF!</definedName>
    <definedName name="BLPH30" localSheetId="8" hidden="1">#REF!</definedName>
    <definedName name="BLPH30" localSheetId="3" hidden="1">#REF!</definedName>
    <definedName name="BLPH30" localSheetId="7" hidden="1">#REF!</definedName>
    <definedName name="BLPH30" localSheetId="12" hidden="1">#REF!</definedName>
    <definedName name="BLPH30" hidden="1">#REF!</definedName>
    <definedName name="BLPH31" localSheetId="2" hidden="1">#REF!</definedName>
    <definedName name="BLPH31" localSheetId="10" hidden="1">#REF!</definedName>
    <definedName name="BLPH31" localSheetId="6" hidden="1">#REF!</definedName>
    <definedName name="BLPH31" localSheetId="8" hidden="1">#REF!</definedName>
    <definedName name="BLPH31" localSheetId="3" hidden="1">#REF!</definedName>
    <definedName name="BLPH31" localSheetId="7" hidden="1">#REF!</definedName>
    <definedName name="BLPH31" localSheetId="12" hidden="1">#REF!</definedName>
    <definedName name="BLPH31" hidden="1">#REF!</definedName>
    <definedName name="BLPH32" localSheetId="2" hidden="1">#REF!</definedName>
    <definedName name="BLPH32" localSheetId="10" hidden="1">#REF!</definedName>
    <definedName name="BLPH32" localSheetId="6" hidden="1">#REF!</definedName>
    <definedName name="BLPH32" localSheetId="8" hidden="1">#REF!</definedName>
    <definedName name="BLPH32" localSheetId="3" hidden="1">#REF!</definedName>
    <definedName name="BLPH32" localSheetId="7" hidden="1">#REF!</definedName>
    <definedName name="BLPH32" localSheetId="12" hidden="1">#REF!</definedName>
    <definedName name="BLPH32" hidden="1">#REF!</definedName>
    <definedName name="BLPH33" localSheetId="2" hidden="1">#REF!</definedName>
    <definedName name="BLPH33" localSheetId="10" hidden="1">#REF!</definedName>
    <definedName name="BLPH33" localSheetId="6" hidden="1">#REF!</definedName>
    <definedName name="BLPH33" localSheetId="8" hidden="1">#REF!</definedName>
    <definedName name="BLPH33" localSheetId="3" hidden="1">#REF!</definedName>
    <definedName name="BLPH33" localSheetId="7" hidden="1">#REF!</definedName>
    <definedName name="BLPH33" localSheetId="12" hidden="1">#REF!</definedName>
    <definedName name="BLPH33" hidden="1">#REF!</definedName>
    <definedName name="BLPH34" localSheetId="2" hidden="1">#REF!</definedName>
    <definedName name="BLPH34" localSheetId="10" hidden="1">#REF!</definedName>
    <definedName name="BLPH34" localSheetId="6" hidden="1">#REF!</definedName>
    <definedName name="BLPH34" localSheetId="8" hidden="1">#REF!</definedName>
    <definedName name="BLPH34" localSheetId="3" hidden="1">#REF!</definedName>
    <definedName name="BLPH34" localSheetId="7" hidden="1">#REF!</definedName>
    <definedName name="BLPH34" localSheetId="12" hidden="1">#REF!</definedName>
    <definedName name="BLPH34" hidden="1">#REF!</definedName>
    <definedName name="BLPH35" localSheetId="2" hidden="1">#REF!</definedName>
    <definedName name="BLPH35" localSheetId="10" hidden="1">#REF!</definedName>
    <definedName name="BLPH35" localSheetId="6" hidden="1">#REF!</definedName>
    <definedName name="BLPH35" localSheetId="8" hidden="1">#REF!</definedName>
    <definedName name="BLPH35" localSheetId="3" hidden="1">#REF!</definedName>
    <definedName name="BLPH35" localSheetId="7" hidden="1">#REF!</definedName>
    <definedName name="BLPH35" localSheetId="12" hidden="1">#REF!</definedName>
    <definedName name="BLPH35" hidden="1">#REF!</definedName>
    <definedName name="BLPH36" localSheetId="2" hidden="1">#REF!</definedName>
    <definedName name="BLPH36" localSheetId="10" hidden="1">#REF!</definedName>
    <definedName name="BLPH36" localSheetId="6" hidden="1">#REF!</definedName>
    <definedName name="BLPH36" localSheetId="8" hidden="1">#REF!</definedName>
    <definedName name="BLPH36" localSheetId="3" hidden="1">#REF!</definedName>
    <definedName name="BLPH36" localSheetId="7" hidden="1">#REF!</definedName>
    <definedName name="BLPH36" localSheetId="12" hidden="1">#REF!</definedName>
    <definedName name="BLPH36" hidden="1">#REF!</definedName>
    <definedName name="BLPH37" localSheetId="2" hidden="1">#REF!</definedName>
    <definedName name="BLPH37" localSheetId="10" hidden="1">#REF!</definedName>
    <definedName name="BLPH37" localSheetId="6" hidden="1">#REF!</definedName>
    <definedName name="BLPH37" localSheetId="8" hidden="1">#REF!</definedName>
    <definedName name="BLPH37" localSheetId="3" hidden="1">#REF!</definedName>
    <definedName name="BLPH37" localSheetId="7" hidden="1">#REF!</definedName>
    <definedName name="BLPH37" localSheetId="12" hidden="1">#REF!</definedName>
    <definedName name="BLPH37" hidden="1">#REF!</definedName>
    <definedName name="BLPH38" localSheetId="2" hidden="1">#REF!</definedName>
    <definedName name="BLPH38" localSheetId="10" hidden="1">#REF!</definedName>
    <definedName name="BLPH38" localSheetId="6" hidden="1">#REF!</definedName>
    <definedName name="BLPH38" localSheetId="8" hidden="1">#REF!</definedName>
    <definedName name="BLPH38" localSheetId="3" hidden="1">#REF!</definedName>
    <definedName name="BLPH38" localSheetId="7" hidden="1">#REF!</definedName>
    <definedName name="BLPH38" localSheetId="12" hidden="1">#REF!</definedName>
    <definedName name="BLPH38" hidden="1">#REF!</definedName>
    <definedName name="BLPH39" localSheetId="2" hidden="1">#REF!</definedName>
    <definedName name="BLPH39" localSheetId="10" hidden="1">#REF!</definedName>
    <definedName name="BLPH39" localSheetId="6" hidden="1">#REF!</definedName>
    <definedName name="BLPH39" localSheetId="8" hidden="1">#REF!</definedName>
    <definedName name="BLPH39" localSheetId="3" hidden="1">#REF!</definedName>
    <definedName name="BLPH39" localSheetId="7" hidden="1">#REF!</definedName>
    <definedName name="BLPH39" localSheetId="12" hidden="1">#REF!</definedName>
    <definedName name="BLPH39" hidden="1">#REF!</definedName>
    <definedName name="BLPH4" localSheetId="2" hidden="1">#REF!</definedName>
    <definedName name="BLPH4" localSheetId="10" hidden="1">#REF!</definedName>
    <definedName name="BLPH4" localSheetId="6" hidden="1">#REF!</definedName>
    <definedName name="BLPH4" localSheetId="8" hidden="1">#REF!</definedName>
    <definedName name="BLPH4" localSheetId="3" hidden="1">#REF!</definedName>
    <definedName name="BLPH4" localSheetId="7" hidden="1">#REF!</definedName>
    <definedName name="BLPH4" localSheetId="12" hidden="1">#REF!</definedName>
    <definedName name="BLPH4" hidden="1">#REF!</definedName>
    <definedName name="BLPH40" localSheetId="2" hidden="1">#REF!</definedName>
    <definedName name="BLPH40" localSheetId="10" hidden="1">#REF!</definedName>
    <definedName name="BLPH40" localSheetId="6" hidden="1">#REF!</definedName>
    <definedName name="BLPH40" localSheetId="8" hidden="1">#REF!</definedName>
    <definedName name="BLPH40" localSheetId="3" hidden="1">#REF!</definedName>
    <definedName name="BLPH40" localSheetId="7" hidden="1">#REF!</definedName>
    <definedName name="BLPH40" localSheetId="12" hidden="1">#REF!</definedName>
    <definedName name="BLPH40" hidden="1">#REF!</definedName>
    <definedName name="BLPH41" localSheetId="2" hidden="1">#REF!</definedName>
    <definedName name="BLPH41" localSheetId="10" hidden="1">#REF!</definedName>
    <definedName name="BLPH41" localSheetId="6" hidden="1">#REF!</definedName>
    <definedName name="BLPH41" localSheetId="8" hidden="1">#REF!</definedName>
    <definedName name="BLPH41" localSheetId="3" hidden="1">#REF!</definedName>
    <definedName name="BLPH41" localSheetId="7" hidden="1">#REF!</definedName>
    <definedName name="BLPH41" localSheetId="12" hidden="1">#REF!</definedName>
    <definedName name="BLPH41" hidden="1">#REF!</definedName>
    <definedName name="BLPH42" localSheetId="2" hidden="1">#REF!</definedName>
    <definedName name="BLPH42" localSheetId="10" hidden="1">#REF!</definedName>
    <definedName name="BLPH42" localSheetId="6" hidden="1">#REF!</definedName>
    <definedName name="BLPH42" localSheetId="8" hidden="1">#REF!</definedName>
    <definedName name="BLPH42" localSheetId="3" hidden="1">#REF!</definedName>
    <definedName name="BLPH42" localSheetId="7" hidden="1">#REF!</definedName>
    <definedName name="BLPH42" localSheetId="12" hidden="1">#REF!</definedName>
    <definedName name="BLPH42" hidden="1">#REF!</definedName>
    <definedName name="BLPH43" localSheetId="2" hidden="1">#REF!</definedName>
    <definedName name="BLPH43" localSheetId="10" hidden="1">#REF!</definedName>
    <definedName name="BLPH43" localSheetId="6" hidden="1">#REF!</definedName>
    <definedName name="BLPH43" localSheetId="8" hidden="1">#REF!</definedName>
    <definedName name="BLPH43" localSheetId="3" hidden="1">#REF!</definedName>
    <definedName name="BLPH43" localSheetId="7" hidden="1">#REF!</definedName>
    <definedName name="BLPH43" localSheetId="12" hidden="1">#REF!</definedName>
    <definedName name="BLPH43" hidden="1">#REF!</definedName>
    <definedName name="BLPH44" localSheetId="2" hidden="1">#REF!</definedName>
    <definedName name="BLPH44" localSheetId="10" hidden="1">#REF!</definedName>
    <definedName name="BLPH44" localSheetId="6" hidden="1">#REF!</definedName>
    <definedName name="BLPH44" localSheetId="8" hidden="1">#REF!</definedName>
    <definedName name="BLPH44" localSheetId="3" hidden="1">#REF!</definedName>
    <definedName name="BLPH44" localSheetId="7" hidden="1">#REF!</definedName>
    <definedName name="BLPH44" localSheetId="12" hidden="1">#REF!</definedName>
    <definedName name="BLPH44" hidden="1">#REF!</definedName>
    <definedName name="BLPH45" localSheetId="2" hidden="1">#REF!</definedName>
    <definedName name="BLPH45" localSheetId="10" hidden="1">#REF!</definedName>
    <definedName name="BLPH45" localSheetId="6" hidden="1">#REF!</definedName>
    <definedName name="BLPH45" localSheetId="8" hidden="1">#REF!</definedName>
    <definedName name="BLPH45" localSheetId="3" hidden="1">#REF!</definedName>
    <definedName name="BLPH45" localSheetId="7" hidden="1">#REF!</definedName>
    <definedName name="BLPH45" localSheetId="12" hidden="1">#REF!</definedName>
    <definedName name="BLPH45" hidden="1">#REF!</definedName>
    <definedName name="BLPH46" localSheetId="2" hidden="1">#REF!</definedName>
    <definedName name="BLPH46" localSheetId="10" hidden="1">#REF!</definedName>
    <definedName name="BLPH46" localSheetId="6" hidden="1">#REF!</definedName>
    <definedName name="BLPH46" localSheetId="8" hidden="1">#REF!</definedName>
    <definedName name="BLPH46" localSheetId="3" hidden="1">#REF!</definedName>
    <definedName name="BLPH46" localSheetId="7" hidden="1">#REF!</definedName>
    <definedName name="BLPH46" localSheetId="12" hidden="1">#REF!</definedName>
    <definedName name="BLPH46" hidden="1">#REF!</definedName>
    <definedName name="BLPH47" localSheetId="2" hidden="1">#REF!</definedName>
    <definedName name="BLPH47" localSheetId="10" hidden="1">#REF!</definedName>
    <definedName name="BLPH47" localSheetId="6" hidden="1">#REF!</definedName>
    <definedName name="BLPH47" localSheetId="8" hidden="1">#REF!</definedName>
    <definedName name="BLPH47" localSheetId="3" hidden="1">#REF!</definedName>
    <definedName name="BLPH47" localSheetId="7" hidden="1">#REF!</definedName>
    <definedName name="BLPH47" localSheetId="12" hidden="1">#REF!</definedName>
    <definedName name="BLPH47" hidden="1">#REF!</definedName>
    <definedName name="BLPH472" localSheetId="2" hidden="1">'[29]BalanceSheet &amp; Rates'!#REF!</definedName>
    <definedName name="BLPH472" localSheetId="10" hidden="1">'[29]BalanceSheet &amp; Rates'!#REF!</definedName>
    <definedName name="BLPH472" localSheetId="6" hidden="1">'[29]BalanceSheet &amp; Rates'!#REF!</definedName>
    <definedName name="BLPH472" localSheetId="8" hidden="1">'[29]BalanceSheet &amp; Rates'!#REF!</definedName>
    <definedName name="BLPH472" localSheetId="9" hidden="1">'[29]BalanceSheet &amp; Rates'!#REF!</definedName>
    <definedName name="BLPH472" localSheetId="3" hidden="1">'[29]BalanceSheet &amp; Rates'!#REF!</definedName>
    <definedName name="BLPH472" localSheetId="7" hidden="1">'[29]BalanceSheet &amp; Rates'!#REF!</definedName>
    <definedName name="BLPH472" localSheetId="12" hidden="1">'[29]BalanceSheet &amp; Rates'!#REF!</definedName>
    <definedName name="BLPH472" hidden="1">'[29]BalanceSheet &amp; Rates'!#REF!</definedName>
    <definedName name="BLPH473" localSheetId="2" hidden="1">'[29]BalanceSheet &amp; Rates'!#REF!</definedName>
    <definedName name="BLPH473" localSheetId="10" hidden="1">'[29]BalanceSheet &amp; Rates'!#REF!</definedName>
    <definedName name="BLPH473" localSheetId="6" hidden="1">'[29]BalanceSheet &amp; Rates'!#REF!</definedName>
    <definedName name="BLPH473" localSheetId="8" hidden="1">'[29]BalanceSheet &amp; Rates'!#REF!</definedName>
    <definedName name="BLPH473" localSheetId="9" hidden="1">'[29]BalanceSheet &amp; Rates'!#REF!</definedName>
    <definedName name="BLPH473" localSheetId="3" hidden="1">'[29]BalanceSheet &amp; Rates'!#REF!</definedName>
    <definedName name="BLPH473" localSheetId="7" hidden="1">'[29]BalanceSheet &amp; Rates'!#REF!</definedName>
    <definedName name="BLPH473" hidden="1">'[29]BalanceSheet &amp; Rates'!#REF!</definedName>
    <definedName name="BLPH474" localSheetId="2" hidden="1">'[29]BalanceSheet &amp; Rates'!#REF!</definedName>
    <definedName name="BLPH474" localSheetId="10" hidden="1">'[29]BalanceSheet &amp; Rates'!#REF!</definedName>
    <definedName name="BLPH474" localSheetId="6" hidden="1">'[29]BalanceSheet &amp; Rates'!#REF!</definedName>
    <definedName name="BLPH474" localSheetId="9" hidden="1">'[29]BalanceSheet &amp; Rates'!#REF!</definedName>
    <definedName name="BLPH474" localSheetId="3" hidden="1">'[29]BalanceSheet &amp; Rates'!#REF!</definedName>
    <definedName name="BLPH474" localSheetId="7" hidden="1">'[29]BalanceSheet &amp; Rates'!#REF!</definedName>
    <definedName name="BLPH474" hidden="1">'[29]BalanceSheet &amp; Rates'!#REF!</definedName>
    <definedName name="BLPH475" localSheetId="2" hidden="1">'[29]Data (from 01-01-02)'!#REF!</definedName>
    <definedName name="BLPH475" localSheetId="10" hidden="1">'[29]Data (from 01-01-02)'!#REF!</definedName>
    <definedName name="BLPH475" localSheetId="6" hidden="1">'[29]Data (from 01-01-02)'!#REF!</definedName>
    <definedName name="BLPH475" localSheetId="9" hidden="1">'[29]Data (from 01-01-02)'!#REF!</definedName>
    <definedName name="BLPH475" localSheetId="3" hidden="1">'[29]Data (from 01-01-02)'!#REF!</definedName>
    <definedName name="BLPH475" localSheetId="7" hidden="1">'[29]Data (from 01-01-02)'!#REF!</definedName>
    <definedName name="BLPH475" hidden="1">'[29]Data (from 01-01-02)'!#REF!</definedName>
    <definedName name="BLPH48" localSheetId="2" hidden="1">#REF!</definedName>
    <definedName name="BLPH48" localSheetId="10" hidden="1">#REF!</definedName>
    <definedName name="BLPH48" localSheetId="6" hidden="1">#REF!</definedName>
    <definedName name="BLPH48" localSheetId="8" hidden="1">#REF!</definedName>
    <definedName name="BLPH48" localSheetId="9" hidden="1">#REF!</definedName>
    <definedName name="BLPH48" localSheetId="3" hidden="1">#REF!</definedName>
    <definedName name="BLPH48" localSheetId="7" hidden="1">#REF!</definedName>
    <definedName name="BLPH48" localSheetId="12" hidden="1">#REF!</definedName>
    <definedName name="BLPH48" hidden="1">#REF!</definedName>
    <definedName name="BLPH49" localSheetId="2" hidden="1">#REF!</definedName>
    <definedName name="BLPH49" localSheetId="10" hidden="1">#REF!</definedName>
    <definedName name="BLPH49" localSheetId="6" hidden="1">#REF!</definedName>
    <definedName name="BLPH49" localSheetId="8" hidden="1">#REF!</definedName>
    <definedName name="BLPH49" localSheetId="9" hidden="1">#REF!</definedName>
    <definedName name="BLPH49" localSheetId="3" hidden="1">#REF!</definedName>
    <definedName name="BLPH49" localSheetId="7" hidden="1">#REF!</definedName>
    <definedName name="BLPH49" localSheetId="12" hidden="1">#REF!</definedName>
    <definedName name="BLPH49" hidden="1">#REF!</definedName>
    <definedName name="BLPH5" localSheetId="2" hidden="1">#REF!</definedName>
    <definedName name="BLPH5" localSheetId="10" hidden="1">#REF!</definedName>
    <definedName name="BLPH5" localSheetId="6" hidden="1">#REF!</definedName>
    <definedName name="BLPH5" localSheetId="8" hidden="1">#REF!</definedName>
    <definedName name="BLPH5" localSheetId="9" hidden="1">#REF!</definedName>
    <definedName name="BLPH5" localSheetId="3" hidden="1">#REF!</definedName>
    <definedName name="BLPH5" localSheetId="7" hidden="1">#REF!</definedName>
    <definedName name="BLPH5" localSheetId="12" hidden="1">#REF!</definedName>
    <definedName name="BLPH5" hidden="1">#REF!</definedName>
    <definedName name="BLPH50" localSheetId="2" hidden="1">#REF!</definedName>
    <definedName name="BLPH50" localSheetId="10" hidden="1">#REF!</definedName>
    <definedName name="BLPH50" localSheetId="6" hidden="1">#REF!</definedName>
    <definedName name="BLPH50" localSheetId="8" hidden="1">#REF!</definedName>
    <definedName name="BLPH50" localSheetId="3" hidden="1">#REF!</definedName>
    <definedName name="BLPH50" localSheetId="7" hidden="1">#REF!</definedName>
    <definedName name="BLPH50" localSheetId="12" hidden="1">#REF!</definedName>
    <definedName name="BLPH50" hidden="1">#REF!</definedName>
    <definedName name="BLPH51" localSheetId="2" hidden="1">#REF!</definedName>
    <definedName name="BLPH51" localSheetId="10" hidden="1">#REF!</definedName>
    <definedName name="BLPH51" localSheetId="6" hidden="1">#REF!</definedName>
    <definedName name="BLPH51" localSheetId="8" hidden="1">#REF!</definedName>
    <definedName name="BLPH51" localSheetId="3" hidden="1">#REF!</definedName>
    <definedName name="BLPH51" localSheetId="7" hidden="1">#REF!</definedName>
    <definedName name="BLPH51" localSheetId="12" hidden="1">#REF!</definedName>
    <definedName name="BLPH51" hidden="1">#REF!</definedName>
    <definedName name="BLPH52" localSheetId="2" hidden="1">#REF!</definedName>
    <definedName name="BLPH52" localSheetId="10" hidden="1">#REF!</definedName>
    <definedName name="BLPH52" localSheetId="6" hidden="1">#REF!</definedName>
    <definedName name="BLPH52" localSheetId="8" hidden="1">#REF!</definedName>
    <definedName name="BLPH52" localSheetId="3" hidden="1">#REF!</definedName>
    <definedName name="BLPH52" localSheetId="7" hidden="1">#REF!</definedName>
    <definedName name="BLPH52" localSheetId="12" hidden="1">#REF!</definedName>
    <definedName name="BLPH52" hidden="1">#REF!</definedName>
    <definedName name="BLPH53" localSheetId="2" hidden="1">#REF!</definedName>
    <definedName name="BLPH53" localSheetId="10" hidden="1">#REF!</definedName>
    <definedName name="BLPH53" localSheetId="6" hidden="1">#REF!</definedName>
    <definedName name="BLPH53" localSheetId="8" hidden="1">#REF!</definedName>
    <definedName name="BLPH53" localSheetId="3" hidden="1">#REF!</definedName>
    <definedName name="BLPH53" localSheetId="7" hidden="1">#REF!</definedName>
    <definedName name="BLPH53" localSheetId="12" hidden="1">#REF!</definedName>
    <definedName name="BLPH53" hidden="1">#REF!</definedName>
    <definedName name="BLPH54" localSheetId="2" hidden="1">#REF!</definedName>
    <definedName name="BLPH54" localSheetId="10" hidden="1">#REF!</definedName>
    <definedName name="BLPH54" localSheetId="6" hidden="1">#REF!</definedName>
    <definedName name="BLPH54" localSheetId="8" hidden="1">#REF!</definedName>
    <definedName name="BLPH54" localSheetId="3" hidden="1">#REF!</definedName>
    <definedName name="BLPH54" localSheetId="7" hidden="1">#REF!</definedName>
    <definedName name="BLPH54" localSheetId="12" hidden="1">#REF!</definedName>
    <definedName name="BLPH54" hidden="1">#REF!</definedName>
    <definedName name="BLPH55" localSheetId="2" hidden="1">#REF!</definedName>
    <definedName name="BLPH55" localSheetId="10" hidden="1">#REF!</definedName>
    <definedName name="BLPH55" localSheetId="6" hidden="1">#REF!</definedName>
    <definedName name="BLPH55" localSheetId="8" hidden="1">#REF!</definedName>
    <definedName name="BLPH55" localSheetId="3" hidden="1">#REF!</definedName>
    <definedName name="BLPH55" localSheetId="7" hidden="1">#REF!</definedName>
    <definedName name="BLPH55" localSheetId="12" hidden="1">#REF!</definedName>
    <definedName name="BLPH55" hidden="1">#REF!</definedName>
    <definedName name="BLPH56" localSheetId="2" hidden="1">'[29]BalanceSheet &amp; Rates'!#REF!</definedName>
    <definedName name="BLPH56" localSheetId="10" hidden="1">'[29]BalanceSheet &amp; Rates'!#REF!</definedName>
    <definedName name="BLPH56" localSheetId="6" hidden="1">'[29]BalanceSheet &amp; Rates'!#REF!</definedName>
    <definedName name="BLPH56" localSheetId="8" hidden="1">'[29]BalanceSheet &amp; Rates'!#REF!</definedName>
    <definedName name="BLPH56" localSheetId="9" hidden="1">'[29]BalanceSheet &amp; Rates'!#REF!</definedName>
    <definedName name="BLPH56" localSheetId="3" hidden="1">'[29]BalanceSheet &amp; Rates'!#REF!</definedName>
    <definedName name="BLPH56" localSheetId="7" hidden="1">'[29]BalanceSheet &amp; Rates'!#REF!</definedName>
    <definedName name="BLPH56" localSheetId="12" hidden="1">'[29]BalanceSheet &amp; Rates'!#REF!</definedName>
    <definedName name="BLPH56" hidden="1">'[29]BalanceSheet &amp; Rates'!#REF!</definedName>
    <definedName name="BLPH57" localSheetId="2" hidden="1">#REF!</definedName>
    <definedName name="BLPH57" localSheetId="10" hidden="1">#REF!</definedName>
    <definedName name="BLPH57" localSheetId="6" hidden="1">#REF!</definedName>
    <definedName name="BLPH57" localSheetId="8" hidden="1">#REF!</definedName>
    <definedName name="BLPH57" localSheetId="9" hidden="1">#REF!</definedName>
    <definedName name="BLPH57" localSheetId="3" hidden="1">#REF!</definedName>
    <definedName name="BLPH57" localSheetId="7" hidden="1">#REF!</definedName>
    <definedName name="BLPH57" localSheetId="12" hidden="1">#REF!</definedName>
    <definedName name="BLPH57" hidden="1">#REF!</definedName>
    <definedName name="BLPH58" localSheetId="2" hidden="1">#REF!</definedName>
    <definedName name="BLPH58" localSheetId="10" hidden="1">#REF!</definedName>
    <definedName name="BLPH58" localSheetId="6" hidden="1">#REF!</definedName>
    <definedName name="BLPH58" localSheetId="8" hidden="1">#REF!</definedName>
    <definedName name="BLPH58" localSheetId="9" hidden="1">#REF!</definedName>
    <definedName name="BLPH58" localSheetId="3" hidden="1">#REF!</definedName>
    <definedName name="BLPH58" localSheetId="7" hidden="1">#REF!</definedName>
    <definedName name="BLPH58" localSheetId="12" hidden="1">#REF!</definedName>
    <definedName name="BLPH58" hidden="1">#REF!</definedName>
    <definedName name="BLPH59" localSheetId="2" hidden="1">#REF!</definedName>
    <definedName name="BLPH59" localSheetId="10" hidden="1">#REF!</definedName>
    <definedName name="BLPH59" localSheetId="6" hidden="1">#REF!</definedName>
    <definedName name="BLPH59" localSheetId="8" hidden="1">#REF!</definedName>
    <definedName name="BLPH59" localSheetId="9" hidden="1">#REF!</definedName>
    <definedName name="BLPH59" localSheetId="3" hidden="1">#REF!</definedName>
    <definedName name="BLPH59" localSheetId="7" hidden="1">#REF!</definedName>
    <definedName name="BLPH59" localSheetId="12" hidden="1">#REF!</definedName>
    <definedName name="BLPH59" hidden="1">#REF!</definedName>
    <definedName name="BLPH6" localSheetId="2" hidden="1">#REF!</definedName>
    <definedName name="BLPH6" localSheetId="10" hidden="1">#REF!</definedName>
    <definedName name="BLPH6" localSheetId="6" hidden="1">#REF!</definedName>
    <definedName name="BLPH6" localSheetId="8" hidden="1">#REF!</definedName>
    <definedName name="BLPH6" localSheetId="3" hidden="1">#REF!</definedName>
    <definedName name="BLPH6" localSheetId="7" hidden="1">#REF!</definedName>
    <definedName name="BLPH6" localSheetId="12" hidden="1">#REF!</definedName>
    <definedName name="BLPH6" hidden="1">#REF!</definedName>
    <definedName name="BLPH60" localSheetId="2" hidden="1">#REF!</definedName>
    <definedName name="BLPH60" localSheetId="10" hidden="1">#REF!</definedName>
    <definedName name="BLPH60" localSheetId="6" hidden="1">#REF!</definedName>
    <definedName name="BLPH60" localSheetId="8" hidden="1">#REF!</definedName>
    <definedName name="BLPH60" localSheetId="3" hidden="1">#REF!</definedName>
    <definedName name="BLPH60" localSheetId="7" hidden="1">#REF!</definedName>
    <definedName name="BLPH60" localSheetId="12" hidden="1">#REF!</definedName>
    <definedName name="BLPH60" hidden="1">#REF!</definedName>
    <definedName name="BLPH61" localSheetId="2" hidden="1">#REF!</definedName>
    <definedName name="BLPH61" localSheetId="10" hidden="1">#REF!</definedName>
    <definedName name="BLPH61" localSheetId="6" hidden="1">#REF!</definedName>
    <definedName name="BLPH61" localSheetId="8" hidden="1">#REF!</definedName>
    <definedName name="BLPH61" localSheetId="3" hidden="1">#REF!</definedName>
    <definedName name="BLPH61" localSheetId="7" hidden="1">#REF!</definedName>
    <definedName name="BLPH61" localSheetId="12" hidden="1">#REF!</definedName>
    <definedName name="BLPH61" hidden="1">#REF!</definedName>
    <definedName name="BLPH62" localSheetId="2" hidden="1">#REF!</definedName>
    <definedName name="BLPH62" localSheetId="10" hidden="1">#REF!</definedName>
    <definedName name="BLPH62" localSheetId="6" hidden="1">#REF!</definedName>
    <definedName name="BLPH62" localSheetId="8" hidden="1">#REF!</definedName>
    <definedName name="BLPH62" localSheetId="3" hidden="1">#REF!</definedName>
    <definedName name="BLPH62" localSheetId="7" hidden="1">#REF!</definedName>
    <definedName name="BLPH62" localSheetId="12" hidden="1">#REF!</definedName>
    <definedName name="BLPH62" hidden="1">#REF!</definedName>
    <definedName name="BLPH63" localSheetId="2" hidden="1">#REF!</definedName>
    <definedName name="BLPH63" localSheetId="10" hidden="1">#REF!</definedName>
    <definedName name="BLPH63" localSheetId="6" hidden="1">#REF!</definedName>
    <definedName name="BLPH63" localSheetId="8" hidden="1">#REF!</definedName>
    <definedName name="BLPH63" localSheetId="3" hidden="1">#REF!</definedName>
    <definedName name="BLPH63" localSheetId="7" hidden="1">#REF!</definedName>
    <definedName name="BLPH63" localSheetId="12" hidden="1">#REF!</definedName>
    <definedName name="BLPH63" hidden="1">#REF!</definedName>
    <definedName name="BLPH64" localSheetId="2" hidden="1">#REF!</definedName>
    <definedName name="BLPH64" localSheetId="10" hidden="1">#REF!</definedName>
    <definedName name="BLPH64" localSheetId="6" hidden="1">#REF!</definedName>
    <definedName name="BLPH64" localSheetId="8" hidden="1">#REF!</definedName>
    <definedName name="BLPH64" localSheetId="3" hidden="1">#REF!</definedName>
    <definedName name="BLPH64" localSheetId="7" hidden="1">#REF!</definedName>
    <definedName name="BLPH64" localSheetId="12" hidden="1">#REF!</definedName>
    <definedName name="BLPH64" hidden="1">#REF!</definedName>
    <definedName name="BLPH65" localSheetId="2" hidden="1">#REF!</definedName>
    <definedName name="BLPH65" localSheetId="10" hidden="1">#REF!</definedName>
    <definedName name="BLPH65" localSheetId="6" hidden="1">#REF!</definedName>
    <definedName name="BLPH65" localSheetId="8" hidden="1">#REF!</definedName>
    <definedName name="BLPH65" localSheetId="3" hidden="1">#REF!</definedName>
    <definedName name="BLPH65" localSheetId="7" hidden="1">#REF!</definedName>
    <definedName name="BLPH65" localSheetId="12" hidden="1">#REF!</definedName>
    <definedName name="BLPH65" hidden="1">#REF!</definedName>
    <definedName name="BLPH66" localSheetId="2" hidden="1">#REF!</definedName>
    <definedName name="BLPH66" localSheetId="10" hidden="1">#REF!</definedName>
    <definedName name="BLPH66" localSheetId="6" hidden="1">#REF!</definedName>
    <definedName name="BLPH66" localSheetId="8" hidden="1">#REF!</definedName>
    <definedName name="BLPH66" localSheetId="3" hidden="1">#REF!</definedName>
    <definedName name="BLPH66" localSheetId="7" hidden="1">#REF!</definedName>
    <definedName name="BLPH66" localSheetId="12" hidden="1">#REF!</definedName>
    <definedName name="BLPH66" hidden="1">#REF!</definedName>
    <definedName name="BLPH67" localSheetId="2" hidden="1">#REF!</definedName>
    <definedName name="BLPH67" localSheetId="10" hidden="1">#REF!</definedName>
    <definedName name="BLPH67" localSheetId="6" hidden="1">#REF!</definedName>
    <definedName name="BLPH67" localSheetId="8" hidden="1">#REF!</definedName>
    <definedName name="BLPH67" localSheetId="3" hidden="1">#REF!</definedName>
    <definedName name="BLPH67" localSheetId="7" hidden="1">#REF!</definedName>
    <definedName name="BLPH67" localSheetId="12" hidden="1">#REF!</definedName>
    <definedName name="BLPH67" hidden="1">#REF!</definedName>
    <definedName name="BLPH68" localSheetId="2" hidden="1">#REF!</definedName>
    <definedName name="BLPH68" localSheetId="10" hidden="1">#REF!</definedName>
    <definedName name="BLPH68" localSheetId="6" hidden="1">#REF!</definedName>
    <definedName name="BLPH68" localSheetId="8" hidden="1">#REF!</definedName>
    <definedName name="BLPH68" localSheetId="3" hidden="1">#REF!</definedName>
    <definedName name="BLPH68" localSheetId="7" hidden="1">#REF!</definedName>
    <definedName name="BLPH68" localSheetId="12" hidden="1">#REF!</definedName>
    <definedName name="BLPH68" hidden="1">#REF!</definedName>
    <definedName name="BLPH69" localSheetId="2" hidden="1">#REF!</definedName>
    <definedName name="BLPH69" localSheetId="10" hidden="1">#REF!</definedName>
    <definedName name="BLPH69" localSheetId="6" hidden="1">#REF!</definedName>
    <definedName name="BLPH69" localSheetId="8" hidden="1">#REF!</definedName>
    <definedName name="BLPH69" localSheetId="3" hidden="1">#REF!</definedName>
    <definedName name="BLPH69" localSheetId="7" hidden="1">#REF!</definedName>
    <definedName name="BLPH69" localSheetId="12" hidden="1">#REF!</definedName>
    <definedName name="BLPH69" hidden="1">#REF!</definedName>
    <definedName name="BLPH7" localSheetId="2" hidden="1">#REF!</definedName>
    <definedName name="BLPH7" localSheetId="10" hidden="1">#REF!</definedName>
    <definedName name="BLPH7" localSheetId="6" hidden="1">#REF!</definedName>
    <definedName name="BLPH7" localSheetId="8" hidden="1">#REF!</definedName>
    <definedName name="BLPH7" localSheetId="3" hidden="1">#REF!</definedName>
    <definedName name="BLPH7" localSheetId="7" hidden="1">#REF!</definedName>
    <definedName name="BLPH7" localSheetId="12" hidden="1">#REF!</definedName>
    <definedName name="BLPH7" hidden="1">#REF!</definedName>
    <definedName name="BLPH70" localSheetId="2" hidden="1">#REF!</definedName>
    <definedName name="BLPH70" localSheetId="10" hidden="1">#REF!</definedName>
    <definedName name="BLPH70" localSheetId="6" hidden="1">#REF!</definedName>
    <definedName name="BLPH70" localSheetId="8" hidden="1">#REF!</definedName>
    <definedName name="BLPH70" localSheetId="3" hidden="1">#REF!</definedName>
    <definedName name="BLPH70" localSheetId="7" hidden="1">#REF!</definedName>
    <definedName name="BLPH70" localSheetId="12" hidden="1">#REF!</definedName>
    <definedName name="BLPH70" hidden="1">#REF!</definedName>
    <definedName name="BLPH71" localSheetId="2" hidden="1">#REF!</definedName>
    <definedName name="BLPH71" localSheetId="10" hidden="1">#REF!</definedName>
    <definedName name="BLPH71" localSheetId="6" hidden="1">#REF!</definedName>
    <definedName name="BLPH71" localSheetId="8" hidden="1">#REF!</definedName>
    <definedName name="BLPH71" localSheetId="3" hidden="1">#REF!</definedName>
    <definedName name="BLPH71" localSheetId="7" hidden="1">#REF!</definedName>
    <definedName name="BLPH71" localSheetId="12" hidden="1">#REF!</definedName>
    <definedName name="BLPH71" hidden="1">#REF!</definedName>
    <definedName name="BLPH72" localSheetId="2" hidden="1">#REF!</definedName>
    <definedName name="BLPH72" localSheetId="10" hidden="1">#REF!</definedName>
    <definedName name="BLPH72" localSheetId="6" hidden="1">#REF!</definedName>
    <definedName name="BLPH72" localSheetId="8" hidden="1">#REF!</definedName>
    <definedName name="BLPH72" localSheetId="3" hidden="1">#REF!</definedName>
    <definedName name="BLPH72" localSheetId="7" hidden="1">#REF!</definedName>
    <definedName name="BLPH72" localSheetId="12" hidden="1">#REF!</definedName>
    <definedName name="BLPH72" hidden="1">#REF!</definedName>
    <definedName name="BLPH73" localSheetId="2" hidden="1">#REF!</definedName>
    <definedName name="BLPH73" localSheetId="10" hidden="1">#REF!</definedName>
    <definedName name="BLPH73" localSheetId="6" hidden="1">#REF!</definedName>
    <definedName name="BLPH73" localSheetId="8" hidden="1">#REF!</definedName>
    <definedName name="BLPH73" localSheetId="3" hidden="1">#REF!</definedName>
    <definedName name="BLPH73" localSheetId="7" hidden="1">#REF!</definedName>
    <definedName name="BLPH73" localSheetId="12" hidden="1">#REF!</definedName>
    <definedName name="BLPH73" hidden="1">#REF!</definedName>
    <definedName name="BLPH74" localSheetId="2" hidden="1">#REF!</definedName>
    <definedName name="BLPH74" localSheetId="10" hidden="1">#REF!</definedName>
    <definedName name="BLPH74" localSheetId="6" hidden="1">#REF!</definedName>
    <definedName name="BLPH74" localSheetId="8" hidden="1">#REF!</definedName>
    <definedName name="BLPH74" localSheetId="3" hidden="1">#REF!</definedName>
    <definedName name="BLPH74" localSheetId="7" hidden="1">#REF!</definedName>
    <definedName name="BLPH74" localSheetId="12" hidden="1">#REF!</definedName>
    <definedName name="BLPH74" hidden="1">#REF!</definedName>
    <definedName name="BLPH75" localSheetId="2" hidden="1">#REF!</definedName>
    <definedName name="BLPH75" localSheetId="10" hidden="1">#REF!</definedName>
    <definedName name="BLPH75" localSheetId="6" hidden="1">#REF!</definedName>
    <definedName name="BLPH75" localSheetId="8" hidden="1">#REF!</definedName>
    <definedName name="BLPH75" localSheetId="3" hidden="1">#REF!</definedName>
    <definedName name="BLPH75" localSheetId="7" hidden="1">#REF!</definedName>
    <definedName name="BLPH75" localSheetId="12" hidden="1">#REF!</definedName>
    <definedName name="BLPH75" hidden="1">#REF!</definedName>
    <definedName name="BLPH76" localSheetId="2" hidden="1">#REF!</definedName>
    <definedName name="BLPH76" localSheetId="10" hidden="1">#REF!</definedName>
    <definedName name="BLPH76" localSheetId="6" hidden="1">#REF!</definedName>
    <definedName name="BLPH76" localSheetId="8" hidden="1">#REF!</definedName>
    <definedName name="BLPH76" localSheetId="3" hidden="1">#REF!</definedName>
    <definedName name="BLPH76" localSheetId="7" hidden="1">#REF!</definedName>
    <definedName name="BLPH76" localSheetId="12" hidden="1">#REF!</definedName>
    <definedName name="BLPH76" hidden="1">#REF!</definedName>
    <definedName name="BLPH77" localSheetId="2" hidden="1">#REF!</definedName>
    <definedName name="BLPH77" localSheetId="10" hidden="1">#REF!</definedName>
    <definedName name="BLPH77" localSheetId="6" hidden="1">#REF!</definedName>
    <definedName name="BLPH77" localSheetId="8" hidden="1">#REF!</definedName>
    <definedName name="BLPH77" localSheetId="3" hidden="1">#REF!</definedName>
    <definedName name="BLPH77" localSheetId="7" hidden="1">#REF!</definedName>
    <definedName name="BLPH77" localSheetId="12" hidden="1">#REF!</definedName>
    <definedName name="BLPH77" hidden="1">#REF!</definedName>
    <definedName name="BLPH78" localSheetId="2" hidden="1">#REF!</definedName>
    <definedName name="BLPH78" localSheetId="10" hidden="1">#REF!</definedName>
    <definedName name="BLPH78" localSheetId="6" hidden="1">#REF!</definedName>
    <definedName name="BLPH78" localSheetId="8" hidden="1">#REF!</definedName>
    <definedName name="BLPH78" localSheetId="3" hidden="1">#REF!</definedName>
    <definedName name="BLPH78" localSheetId="7" hidden="1">#REF!</definedName>
    <definedName name="BLPH78" localSheetId="12" hidden="1">#REF!</definedName>
    <definedName name="BLPH78" hidden="1">#REF!</definedName>
    <definedName name="BLPH79" localSheetId="2" hidden="1">#REF!</definedName>
    <definedName name="BLPH79" localSheetId="10" hidden="1">#REF!</definedName>
    <definedName name="BLPH79" localSheetId="6" hidden="1">#REF!</definedName>
    <definedName name="BLPH79" localSheetId="8" hidden="1">#REF!</definedName>
    <definedName name="BLPH79" localSheetId="3" hidden="1">#REF!</definedName>
    <definedName name="BLPH79" localSheetId="7" hidden="1">#REF!</definedName>
    <definedName name="BLPH79" localSheetId="12" hidden="1">#REF!</definedName>
    <definedName name="BLPH79" hidden="1">#REF!</definedName>
    <definedName name="BLPH8" localSheetId="2" hidden="1">#REF!</definedName>
    <definedName name="BLPH8" localSheetId="10" hidden="1">#REF!</definedName>
    <definedName name="BLPH8" localSheetId="6" hidden="1">#REF!</definedName>
    <definedName name="BLPH8" localSheetId="8" hidden="1">#REF!</definedName>
    <definedName name="BLPH8" localSheetId="3" hidden="1">#REF!</definedName>
    <definedName name="BLPH8" localSheetId="7" hidden="1">#REF!</definedName>
    <definedName name="BLPH8" localSheetId="12" hidden="1">#REF!</definedName>
    <definedName name="BLPH8" hidden="1">#REF!</definedName>
    <definedName name="BLPH80" localSheetId="2" hidden="1">#REF!</definedName>
    <definedName name="BLPH80" localSheetId="10" hidden="1">#REF!</definedName>
    <definedName name="BLPH80" localSheetId="6" hidden="1">#REF!</definedName>
    <definedName name="BLPH80" localSheetId="8" hidden="1">#REF!</definedName>
    <definedName name="BLPH80" localSheetId="3" hidden="1">#REF!</definedName>
    <definedName name="BLPH80" localSheetId="7" hidden="1">#REF!</definedName>
    <definedName name="BLPH80" localSheetId="12" hidden="1">#REF!</definedName>
    <definedName name="BLPH80" hidden="1">#REF!</definedName>
    <definedName name="BLPH81" localSheetId="2" hidden="1">#REF!</definedName>
    <definedName name="BLPH81" localSheetId="10" hidden="1">#REF!</definedName>
    <definedName name="BLPH81" localSheetId="6" hidden="1">#REF!</definedName>
    <definedName name="BLPH81" localSheetId="8" hidden="1">#REF!</definedName>
    <definedName name="BLPH81" localSheetId="3" hidden="1">#REF!</definedName>
    <definedName name="BLPH81" localSheetId="7" hidden="1">#REF!</definedName>
    <definedName name="BLPH81" localSheetId="12" hidden="1">#REF!</definedName>
    <definedName name="BLPH81" hidden="1">#REF!</definedName>
    <definedName name="BLPH82" localSheetId="2" hidden="1">#REF!</definedName>
    <definedName name="BLPH82" localSheetId="10" hidden="1">#REF!</definedName>
    <definedName name="BLPH82" localSheetId="6" hidden="1">#REF!</definedName>
    <definedName name="BLPH82" localSheetId="8" hidden="1">#REF!</definedName>
    <definedName name="BLPH82" localSheetId="3" hidden="1">#REF!</definedName>
    <definedName name="BLPH82" localSheetId="7" hidden="1">#REF!</definedName>
    <definedName name="BLPH82" localSheetId="12" hidden="1">#REF!</definedName>
    <definedName name="BLPH82" hidden="1">#REF!</definedName>
    <definedName name="BLPH83" localSheetId="2" hidden="1">#REF!</definedName>
    <definedName name="BLPH83" localSheetId="10" hidden="1">#REF!</definedName>
    <definedName name="BLPH83" localSheetId="6" hidden="1">#REF!</definedName>
    <definedName name="BLPH83" localSheetId="8" hidden="1">#REF!</definedName>
    <definedName name="BLPH83" localSheetId="3" hidden="1">#REF!</definedName>
    <definedName name="BLPH83" localSheetId="7" hidden="1">#REF!</definedName>
    <definedName name="BLPH83" localSheetId="12" hidden="1">#REF!</definedName>
    <definedName name="BLPH83" hidden="1">#REF!</definedName>
    <definedName name="BLPH84" localSheetId="2" hidden="1">#REF!</definedName>
    <definedName name="BLPH84" localSheetId="10" hidden="1">#REF!</definedName>
    <definedName name="BLPH84" localSheetId="6" hidden="1">#REF!</definedName>
    <definedName name="BLPH84" localSheetId="8" hidden="1">#REF!</definedName>
    <definedName name="BLPH84" localSheetId="3" hidden="1">#REF!</definedName>
    <definedName name="BLPH84" localSheetId="7" hidden="1">#REF!</definedName>
    <definedName name="BLPH84" localSheetId="12" hidden="1">#REF!</definedName>
    <definedName name="BLPH84" hidden="1">#REF!</definedName>
    <definedName name="BLPH85" localSheetId="2" hidden="1">#REF!</definedName>
    <definedName name="BLPH85" localSheetId="10" hidden="1">#REF!</definedName>
    <definedName name="BLPH85" localSheetId="6" hidden="1">#REF!</definedName>
    <definedName name="BLPH85" localSheetId="8" hidden="1">#REF!</definedName>
    <definedName name="BLPH85" localSheetId="3" hidden="1">#REF!</definedName>
    <definedName name="BLPH85" localSheetId="7" hidden="1">#REF!</definedName>
    <definedName name="BLPH85" localSheetId="12" hidden="1">#REF!</definedName>
    <definedName name="BLPH85" hidden="1">#REF!</definedName>
    <definedName name="BLPH86" localSheetId="2" hidden="1">#REF!</definedName>
    <definedName name="BLPH86" localSheetId="10" hidden="1">#REF!</definedName>
    <definedName name="BLPH86" localSheetId="6" hidden="1">#REF!</definedName>
    <definedName name="BLPH86" localSheetId="8" hidden="1">#REF!</definedName>
    <definedName name="BLPH86" localSheetId="3" hidden="1">#REF!</definedName>
    <definedName name="BLPH86" localSheetId="7" hidden="1">#REF!</definedName>
    <definedName name="BLPH86" localSheetId="12" hidden="1">#REF!</definedName>
    <definedName name="BLPH86" hidden="1">#REF!</definedName>
    <definedName name="BLPH87" localSheetId="2" hidden="1">#REF!</definedName>
    <definedName name="BLPH87" localSheetId="10" hidden="1">#REF!</definedName>
    <definedName name="BLPH87" localSheetId="6" hidden="1">#REF!</definedName>
    <definedName name="BLPH87" localSheetId="8" hidden="1">#REF!</definedName>
    <definedName name="BLPH87" localSheetId="3" hidden="1">#REF!</definedName>
    <definedName name="BLPH87" localSheetId="7" hidden="1">#REF!</definedName>
    <definedName name="BLPH87" localSheetId="12" hidden="1">#REF!</definedName>
    <definedName name="BLPH87" hidden="1">#REF!</definedName>
    <definedName name="BLPH88" localSheetId="2" hidden="1">#REF!</definedName>
    <definedName name="BLPH88" localSheetId="10" hidden="1">#REF!</definedName>
    <definedName name="BLPH88" localSheetId="6" hidden="1">#REF!</definedName>
    <definedName name="BLPH88" localSheetId="8" hidden="1">#REF!</definedName>
    <definedName name="BLPH88" localSheetId="3" hidden="1">#REF!</definedName>
    <definedName name="BLPH88" localSheetId="7" hidden="1">#REF!</definedName>
    <definedName name="BLPH88" localSheetId="12" hidden="1">#REF!</definedName>
    <definedName name="BLPH88" hidden="1">#REF!</definedName>
    <definedName name="BLPH89" localSheetId="2" hidden="1">#REF!</definedName>
    <definedName name="BLPH89" localSheetId="10" hidden="1">#REF!</definedName>
    <definedName name="BLPH89" localSheetId="6" hidden="1">#REF!</definedName>
    <definedName name="BLPH89" localSheetId="8" hidden="1">#REF!</definedName>
    <definedName name="BLPH89" localSheetId="3" hidden="1">#REF!</definedName>
    <definedName name="BLPH89" localSheetId="7" hidden="1">#REF!</definedName>
    <definedName name="BLPH89" localSheetId="12" hidden="1">#REF!</definedName>
    <definedName name="BLPH89" hidden="1">#REF!</definedName>
    <definedName name="BLPH9" localSheetId="2" hidden="1">#REF!</definedName>
    <definedName name="BLPH9" localSheetId="10" hidden="1">#REF!</definedName>
    <definedName name="BLPH9" localSheetId="6" hidden="1">#REF!</definedName>
    <definedName name="BLPH9" localSheetId="8" hidden="1">#REF!</definedName>
    <definedName name="BLPH9" localSheetId="3" hidden="1">#REF!</definedName>
    <definedName name="BLPH9" localSheetId="7" hidden="1">#REF!</definedName>
    <definedName name="BLPH9" localSheetId="12" hidden="1">#REF!</definedName>
    <definedName name="BLPH9" hidden="1">#REF!</definedName>
    <definedName name="BLPH90" localSheetId="2" hidden="1">#REF!</definedName>
    <definedName name="BLPH90" localSheetId="10" hidden="1">#REF!</definedName>
    <definedName name="BLPH90" localSheetId="6" hidden="1">#REF!</definedName>
    <definedName name="BLPH90" localSheetId="8" hidden="1">#REF!</definedName>
    <definedName name="BLPH90" localSheetId="3" hidden="1">#REF!</definedName>
    <definedName name="BLPH90" localSheetId="7" hidden="1">#REF!</definedName>
    <definedName name="BLPH90" localSheetId="12" hidden="1">#REF!</definedName>
    <definedName name="BLPH90" hidden="1">#REF!</definedName>
    <definedName name="BLPH91" localSheetId="2" hidden="1">#REF!</definedName>
    <definedName name="BLPH91" localSheetId="10" hidden="1">#REF!</definedName>
    <definedName name="BLPH91" localSheetId="6" hidden="1">#REF!</definedName>
    <definedName name="BLPH91" localSheetId="8" hidden="1">#REF!</definedName>
    <definedName name="BLPH91" localSheetId="3" hidden="1">#REF!</definedName>
    <definedName name="BLPH91" localSheetId="7" hidden="1">#REF!</definedName>
    <definedName name="BLPH91" localSheetId="12" hidden="1">#REF!</definedName>
    <definedName name="BLPH91" hidden="1">#REF!</definedName>
    <definedName name="BLPH92" localSheetId="2" hidden="1">#REF!</definedName>
    <definedName name="BLPH92" localSheetId="10" hidden="1">#REF!</definedName>
    <definedName name="BLPH92" localSheetId="6" hidden="1">#REF!</definedName>
    <definedName name="BLPH92" localSheetId="8" hidden="1">#REF!</definedName>
    <definedName name="BLPH92" localSheetId="3" hidden="1">#REF!</definedName>
    <definedName name="BLPH92" localSheetId="7" hidden="1">#REF!</definedName>
    <definedName name="BLPH92" localSheetId="12" hidden="1">#REF!</definedName>
    <definedName name="BLPH92" hidden="1">#REF!</definedName>
    <definedName name="BLPH93" localSheetId="2" hidden="1">#REF!</definedName>
    <definedName name="BLPH93" localSheetId="10" hidden="1">#REF!</definedName>
    <definedName name="BLPH93" localSheetId="6" hidden="1">#REF!</definedName>
    <definedName name="BLPH93" localSheetId="8" hidden="1">#REF!</definedName>
    <definedName name="BLPH93" localSheetId="3" hidden="1">#REF!</definedName>
    <definedName name="BLPH93" localSheetId="7" hidden="1">#REF!</definedName>
    <definedName name="BLPH93" localSheetId="12" hidden="1">#REF!</definedName>
    <definedName name="BLPH93" hidden="1">#REF!</definedName>
    <definedName name="BLPH94" localSheetId="2" hidden="1">#REF!</definedName>
    <definedName name="BLPH94" localSheetId="10" hidden="1">#REF!</definedName>
    <definedName name="BLPH94" localSheetId="6" hidden="1">#REF!</definedName>
    <definedName name="BLPH94" localSheetId="8" hidden="1">#REF!</definedName>
    <definedName name="BLPH94" localSheetId="3" hidden="1">#REF!</definedName>
    <definedName name="BLPH94" localSheetId="7" hidden="1">#REF!</definedName>
    <definedName name="BLPH94" localSheetId="12" hidden="1">#REF!</definedName>
    <definedName name="BLPH94" hidden="1">#REF!</definedName>
    <definedName name="BLPH95" localSheetId="2" hidden="1">#REF!</definedName>
    <definedName name="BLPH95" localSheetId="10" hidden="1">#REF!</definedName>
    <definedName name="BLPH95" localSheetId="6" hidden="1">#REF!</definedName>
    <definedName name="BLPH95" localSheetId="8" hidden="1">#REF!</definedName>
    <definedName name="BLPH95" localSheetId="3" hidden="1">#REF!</definedName>
    <definedName name="BLPH95" localSheetId="7" hidden="1">#REF!</definedName>
    <definedName name="BLPH95" localSheetId="12" hidden="1">#REF!</definedName>
    <definedName name="BLPH95" hidden="1">#REF!</definedName>
    <definedName name="BLPH96" localSheetId="2" hidden="1">#REF!</definedName>
    <definedName name="BLPH96" localSheetId="10" hidden="1">#REF!</definedName>
    <definedName name="BLPH96" localSheetId="6" hidden="1">#REF!</definedName>
    <definedName name="BLPH96" localSheetId="8" hidden="1">#REF!</definedName>
    <definedName name="BLPH96" localSheetId="3" hidden="1">#REF!</definedName>
    <definedName name="BLPH96" localSheetId="7" hidden="1">#REF!</definedName>
    <definedName name="BLPH96" localSheetId="12" hidden="1">#REF!</definedName>
    <definedName name="BLPH96" hidden="1">#REF!</definedName>
    <definedName name="BLPH97" localSheetId="2" hidden="1">#REF!</definedName>
    <definedName name="BLPH97" localSheetId="10" hidden="1">#REF!</definedName>
    <definedName name="BLPH97" localSheetId="6" hidden="1">#REF!</definedName>
    <definedName name="BLPH97" localSheetId="8" hidden="1">#REF!</definedName>
    <definedName name="BLPH97" localSheetId="3" hidden="1">#REF!</definedName>
    <definedName name="BLPH97" localSheetId="7" hidden="1">#REF!</definedName>
    <definedName name="BLPH97" localSheetId="12" hidden="1">#REF!</definedName>
    <definedName name="BLPH97" hidden="1">#REF!</definedName>
    <definedName name="BLPH98" localSheetId="2" hidden="1">#REF!</definedName>
    <definedName name="BLPH98" localSheetId="10" hidden="1">#REF!</definedName>
    <definedName name="BLPH98" localSheetId="6" hidden="1">#REF!</definedName>
    <definedName name="BLPH98" localSheetId="8" hidden="1">#REF!</definedName>
    <definedName name="BLPH98" localSheetId="3" hidden="1">#REF!</definedName>
    <definedName name="BLPH98" localSheetId="7" hidden="1">#REF!</definedName>
    <definedName name="BLPH98" localSheetId="12" hidden="1">#REF!</definedName>
    <definedName name="BLPH98" hidden="1">#REF!</definedName>
    <definedName name="BLPH99" localSheetId="2" hidden="1">#REF!</definedName>
    <definedName name="BLPH99" localSheetId="10" hidden="1">#REF!</definedName>
    <definedName name="BLPH99" localSheetId="6" hidden="1">#REF!</definedName>
    <definedName name="BLPH99" localSheetId="8" hidden="1">#REF!</definedName>
    <definedName name="BLPH99" localSheetId="3" hidden="1">#REF!</definedName>
    <definedName name="BLPH99" localSheetId="7" hidden="1">#REF!</definedName>
    <definedName name="BLPH99" localSheetId="12" hidden="1">#REF!</definedName>
    <definedName name="BLPH99" hidden="1">#REF!</definedName>
    <definedName name="BRC">#REF!</definedName>
    <definedName name="bs">#REF!</definedName>
    <definedName name="BS_00">#REF!</definedName>
    <definedName name="BS_01">#REF!</definedName>
    <definedName name="BS_10">#REF!</definedName>
    <definedName name="BS_99">#REF!</definedName>
    <definedName name="BS_CA_Oth">#REF!</definedName>
    <definedName name="BS_CL_Oth">#REF!</definedName>
    <definedName name="BS_Def_Tax_Asset">#REF!</definedName>
    <definedName name="BS_Invest_LT">#REF!</definedName>
    <definedName name="BS_Invest_ST">#REF!</definedName>
    <definedName name="BS_Provision">#REF!</definedName>
    <definedName name="BS추정" localSheetId="2" hidden="1">{"'보고양식'!$A$58:$K$111"}</definedName>
    <definedName name="BS추정" localSheetId="10" hidden="1">{"'보고양식'!$A$58:$K$111"}</definedName>
    <definedName name="BS추정" localSheetId="6" hidden="1">{"'보고양식'!$A$58:$K$111"}</definedName>
    <definedName name="BS추정" localSheetId="8" hidden="1">{"'보고양식'!$A$58:$K$111"}</definedName>
    <definedName name="BS추정" localSheetId="9" hidden="1">{"'보고양식'!$A$58:$K$111"}</definedName>
    <definedName name="BS추정" localSheetId="3" hidden="1">{"'보고양식'!$A$58:$K$111"}</definedName>
    <definedName name="BS추정" localSheetId="7" hidden="1">{"'보고양식'!$A$58:$K$111"}</definedName>
    <definedName name="BS추정" localSheetId="12" hidden="1">{"'보고양식'!$A$58:$K$111"}</definedName>
    <definedName name="BS추정" hidden="1">{"'보고양식'!$A$58:$K$111"}</definedName>
    <definedName name="Cap_Struc">#REF!</definedName>
    <definedName name="carlin">#REF!</definedName>
    <definedName name="Case">'[30]Assumptions_Stand-Alone AR'!$X$3</definedName>
    <definedName name="cash_Flow">#REF!</definedName>
    <definedName name="cash93">#REF!</definedName>
    <definedName name="cash94">#REF!</definedName>
    <definedName name="cd"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f">#REF!</definedName>
    <definedName name="CF_01">#REF!</definedName>
    <definedName name="CF_10">#REF!</definedName>
    <definedName name="CF_BOE_1998">#REF!</definedName>
    <definedName name="CF_BOE_1999">#REF!</definedName>
    <definedName name="CF_BOE_2000">#REF!</definedName>
    <definedName name="CF_BOE_2001">#REF!</definedName>
    <definedName name="CF_BOE_2002">#REF!</definedName>
    <definedName name="CF_BOE_2003">#REF!</definedName>
    <definedName name="CF_BOE_2004">#REF!</definedName>
    <definedName name="CF_BOE_2005">#REF!</definedName>
    <definedName name="CF_BOE_2006">#REF!</definedName>
    <definedName name="CF_BOE_2007">#REF!</definedName>
    <definedName name="CF_BOE_2008">#REF!</definedName>
    <definedName name="CF_Capex_IA">#REF!</definedName>
    <definedName name="CF_Chg_Debt_LT">#REF!</definedName>
    <definedName name="CF_Treasury_Stock">#REF!</definedName>
    <definedName name="CFPS_Curr_Yr">#REF!</definedName>
    <definedName name="CFPS_Lst_Yr">#REF!</definedName>
    <definedName name="CFPS_Next_Yr">#REF!</definedName>
    <definedName name="CIQWBGuid" localSheetId="2" hidden="1">"Aston Martin One-Page Summary 12.30.11.xlsx"</definedName>
    <definedName name="CIQWBGuid" localSheetId="6" hidden="1">"Aston Martin One-Page Summary 12.30.11.xlsx"</definedName>
    <definedName name="CIQWBGuid" localSheetId="7" hidden="1">"Aston Martin One-Page Summary 12.30.11.xlsx"</definedName>
    <definedName name="CIQWBGuid" hidden="1">"REN Transaction Expenses.xlsx"</definedName>
    <definedName name="CIQWBInfo" hidden="1">"{ ""CIQVersion"":""9.45.614.5792"" }"</definedName>
    <definedName name="Circ">Debt!$V$2</definedName>
    <definedName name="ConsumerSeg">#REF!</definedName>
    <definedName name="CONVERGE">#REF!</definedName>
    <definedName name="COP_BS_EP_2004">#REF!</definedName>
    <definedName name="COP_BS_EP_2005">#REF!</definedName>
    <definedName name="COP_BS_EP_2006">#REF!</definedName>
    <definedName name="cox" localSheetId="2" hidden="1">{#N/A,#N/A,FALSE,"Time Warner";#N/A,#N/A,FALSE,"Entertainment Group";#N/A,#N/A,FALSE,"EBITDA";#N/A,#N/A,FALSE,"Notes"}</definedName>
    <definedName name="cox" localSheetId="10" hidden="1">{#N/A,#N/A,FALSE,"Time Warner";#N/A,#N/A,FALSE,"Entertainment Group";#N/A,#N/A,FALSE,"EBITDA";#N/A,#N/A,FALSE,"Notes"}</definedName>
    <definedName name="cox" localSheetId="6" hidden="1">{#N/A,#N/A,FALSE,"Time Warner";#N/A,#N/A,FALSE,"Entertainment Group";#N/A,#N/A,FALSE,"EBITDA";#N/A,#N/A,FALSE,"Notes"}</definedName>
    <definedName name="cox" localSheetId="8" hidden="1">{#N/A,#N/A,FALSE,"Time Warner";#N/A,#N/A,FALSE,"Entertainment Group";#N/A,#N/A,FALSE,"EBITDA";#N/A,#N/A,FALSE,"Notes"}</definedName>
    <definedName name="cox" localSheetId="9" hidden="1">{#N/A,#N/A,FALSE,"Time Warner";#N/A,#N/A,FALSE,"Entertainment Group";#N/A,#N/A,FALSE,"EBITDA";#N/A,#N/A,FALSE,"Notes"}</definedName>
    <definedName name="cox" localSheetId="3" hidden="1">{#N/A,#N/A,FALSE,"Time Warner";#N/A,#N/A,FALSE,"Entertainment Group";#N/A,#N/A,FALSE,"EBITDA";#N/A,#N/A,FALSE,"Notes"}</definedName>
    <definedName name="cox" localSheetId="7" hidden="1">{#N/A,#N/A,FALSE,"Time Warner";#N/A,#N/A,FALSE,"Entertainment Group";#N/A,#N/A,FALSE,"EBITDA";#N/A,#N/A,FALSE,"Notes"}</definedName>
    <definedName name="cox" localSheetId="12" hidden="1">{#N/A,#N/A,FALSE,"Time Warner";#N/A,#N/A,FALSE,"Entertainment Group";#N/A,#N/A,FALSE,"EBITDA";#N/A,#N/A,FALSE,"Notes"}</definedName>
    <definedName name="cox" hidden="1">{#N/A,#N/A,FALSE,"Time Warner";#N/A,#N/A,FALSE,"Entertainment Group";#N/A,#N/A,FALSE,"EBITDA";#N/A,#N/A,FALSE,"Notes"}</definedName>
    <definedName name="cu102.ShareScalingFactor" hidden="1">1000000</definedName>
    <definedName name="cu103.EmployeeScalingFactor" hidden="1">1000</definedName>
    <definedName name="cu107.EPSSymbol" hidden="1">"CHF"</definedName>
    <definedName name="cu119.CopyLastPeriodRows" localSheetId="2" hidden="1">{"AVSHAR","BSHAR"}</definedName>
    <definedName name="cu119.CopyLastPeriodRows" localSheetId="10" hidden="1">{"AVSHAR","BSHAR"}</definedName>
    <definedName name="cu119.CopyLastPeriodRows" localSheetId="6" hidden="1">{"AVSHAR","BSHAR"}</definedName>
    <definedName name="cu119.CopyLastPeriodRows" localSheetId="8" hidden="1">{"AVSHAR","BSHAR"}</definedName>
    <definedName name="cu119.CopyLastPeriodRows" localSheetId="9" hidden="1">{"AVSHAR","BSHAR"}</definedName>
    <definedName name="cu119.CopyLastPeriodRows" localSheetId="3" hidden="1">{"AVSHAR","BSHAR"}</definedName>
    <definedName name="cu119.CopyLastPeriodRows" localSheetId="7" hidden="1">{"AVSHAR","BSHAR"}</definedName>
    <definedName name="cu119.CopyLastPeriodRows" localSheetId="12" hidden="1">{"AVSHAR","BSHAR"}</definedName>
    <definedName name="cu119.CopyLastPeriodRows" hidden="1">{"AVSHAR","BSHAR"}</definedName>
    <definedName name="cu71.ScalingFactor" hidden="1">1000000</definedName>
    <definedName name="d" localSheetId="2" hidden="1">{"comps",#N/A,FALSE,"TXTCOMPS";"segment_EPS",#N/A,FALSE,"TXTCOMPS";"valuation",#N/A,FALSE,"TXTCOMPS"}</definedName>
    <definedName name="d" localSheetId="10" hidden="1">{"comps",#N/A,FALSE,"TXTCOMPS";"segment_EPS",#N/A,FALSE,"TXTCOMPS";"valuation",#N/A,FALSE,"TXTCOMPS"}</definedName>
    <definedName name="d" localSheetId="6" hidden="1">{"comps",#N/A,FALSE,"TXTCOMPS";"segment_EPS",#N/A,FALSE,"TXTCOMPS";"valuation",#N/A,FALSE,"TXTCOMPS"}</definedName>
    <definedName name="d" localSheetId="8" hidden="1">{"comps",#N/A,FALSE,"TXTCOMPS";"segment_EPS",#N/A,FALSE,"TXTCOMPS";"valuation",#N/A,FALSE,"TXTCOMPS"}</definedName>
    <definedName name="d" localSheetId="9" hidden="1">{"comps",#N/A,FALSE,"TXTCOMPS";"segment_EPS",#N/A,FALSE,"TXTCOMPS";"valuation",#N/A,FALSE,"TXTCOMPS"}</definedName>
    <definedName name="d" localSheetId="3" hidden="1">{"comps",#N/A,FALSE,"TXTCOMPS";"segment_EPS",#N/A,FALSE,"TXTCOMPS";"valuation",#N/A,FALSE,"TXTCOMPS"}</definedName>
    <definedName name="d" localSheetId="7" hidden="1">{"comps",#N/A,FALSE,"TXTCOMPS";"segment_EPS",#N/A,FALSE,"TXTCOMPS";"valuation",#N/A,FALSE,"TXTCOMPS"}</definedName>
    <definedName name="d" localSheetId="12" hidden="1">{"comps",#N/A,FALSE,"TXTCOMPS";"segment_EPS",#N/A,FALSE,"TXTCOMPS";"valuation",#N/A,FALSE,"TXTCOMPS"}</definedName>
    <definedName name="d" hidden="1">{"comps",#N/A,FALSE,"TXTCOMPS";"segment_EPS",#N/A,FALSE,"TXTCOMPS";"valuation",#N/A,FALSE,"TXTCOMPS"}</definedName>
    <definedName name="DAN">#REF!</definedName>
    <definedName name="Detail1">#REF!</definedName>
    <definedName name="DI">#REF!</definedName>
    <definedName name="djsj" localSheetId="2" hidden="1">{"comps",#N/A,FALSE,"TXTCOMPS";"segment_EPS",#N/A,FALSE,"TXTCOMPS";"valuation",#N/A,FALSE,"TXTCOMPS"}</definedName>
    <definedName name="djsj" localSheetId="10" hidden="1">{"comps",#N/A,FALSE,"TXTCOMPS";"segment_EPS",#N/A,FALSE,"TXTCOMPS";"valuation",#N/A,FALSE,"TXTCOMPS"}</definedName>
    <definedName name="djsj" localSheetId="6" hidden="1">{"comps",#N/A,FALSE,"TXTCOMPS";"segment_EPS",#N/A,FALSE,"TXTCOMPS";"valuation",#N/A,FALSE,"TXTCOMPS"}</definedName>
    <definedName name="djsj" localSheetId="8" hidden="1">{"comps",#N/A,FALSE,"TXTCOMPS";"segment_EPS",#N/A,FALSE,"TXTCOMPS";"valuation",#N/A,FALSE,"TXTCOMPS"}</definedName>
    <definedName name="djsj" localSheetId="9" hidden="1">{"comps",#N/A,FALSE,"TXTCOMPS";"segment_EPS",#N/A,FALSE,"TXTCOMPS";"valuation",#N/A,FALSE,"TXTCOMPS"}</definedName>
    <definedName name="djsj" localSheetId="3" hidden="1">{"comps",#N/A,FALSE,"TXTCOMPS";"segment_EPS",#N/A,FALSE,"TXTCOMPS";"valuation",#N/A,FALSE,"TXTCOMPS"}</definedName>
    <definedName name="djsj" localSheetId="7" hidden="1">{"comps",#N/A,FALSE,"TXTCOMPS";"segment_EPS",#N/A,FALSE,"TXTCOMPS";"valuation",#N/A,FALSE,"TXTCOMPS"}</definedName>
    <definedName name="djsj" localSheetId="12" hidden="1">{"comps",#N/A,FALSE,"TXTCOMPS";"segment_EPS",#N/A,FALSE,"TXTCOMPS";"valuation",#N/A,FALSE,"TXTCOMPS"}</definedName>
    <definedName name="djsj" hidden="1">{"comps",#N/A,FALSE,"TXTCOMPS";"segment_EPS",#N/A,FALSE,"TXTCOMPS";"valuation",#N/A,FALSE,"TXTCOMPS"}</definedName>
    <definedName name="DPS_Curr_Yr">#REF!</definedName>
    <definedName name="DPS_Lst_Yr">#REF!</definedName>
    <definedName name="dps_LT_CAGR">#REF!</definedName>
    <definedName name="DPS_Next_Yr">#REF!</definedName>
    <definedName name="DRAFT_RCnum">#REF!</definedName>
    <definedName name="e" localSheetId="2" hidden="1">{"Qearn1",#N/A,FALSE,"Qearn";"Qearn2",#N/A,FALSE,"Qearn";"Qmargin",#N/A,FALSE,"Qmargin";"Cashflow",#N/A,FALSE,"Cashflow"}</definedName>
    <definedName name="e" localSheetId="10" hidden="1">{"Qearn1",#N/A,FALSE,"Qearn";"Qearn2",#N/A,FALSE,"Qearn";"Qmargin",#N/A,FALSE,"Qmargin";"Cashflow",#N/A,FALSE,"Cashflow"}</definedName>
    <definedName name="e" localSheetId="6" hidden="1">{"Qearn1",#N/A,FALSE,"Qearn";"Qearn2",#N/A,FALSE,"Qearn";"Qmargin",#N/A,FALSE,"Qmargin";"Cashflow",#N/A,FALSE,"Cashflow"}</definedName>
    <definedName name="e" localSheetId="8" hidden="1">{"Qearn1",#N/A,FALSE,"Qearn";"Qearn2",#N/A,FALSE,"Qearn";"Qmargin",#N/A,FALSE,"Qmargin";"Cashflow",#N/A,FALSE,"Cashflow"}</definedName>
    <definedName name="e" localSheetId="9" hidden="1">{"Qearn1",#N/A,FALSE,"Qearn";"Qearn2",#N/A,FALSE,"Qearn";"Qmargin",#N/A,FALSE,"Qmargin";"Cashflow",#N/A,FALSE,"Cashflow"}</definedName>
    <definedName name="e" localSheetId="3" hidden="1">{"Qearn1",#N/A,FALSE,"Qearn";"Qearn2",#N/A,FALSE,"Qearn";"Qmargin",#N/A,FALSE,"Qmargin";"Cashflow",#N/A,FALSE,"Cashflow"}</definedName>
    <definedName name="e" localSheetId="7" hidden="1">{"Qearn1",#N/A,FALSE,"Qearn";"Qearn2",#N/A,FALSE,"Qearn";"Qmargin",#N/A,FALSE,"Qmargin";"Cashflow",#N/A,FALSE,"Cashflow"}</definedName>
    <definedName name="e" localSheetId="12" hidden="1">{"Qearn1",#N/A,FALSE,"Qearn";"Qearn2",#N/A,FALSE,"Qearn";"Qmargin",#N/A,FALSE,"Qmargin";"Cashflow",#N/A,FALSE,"Cashflow"}</definedName>
    <definedName name="e" hidden="1">{"Qearn1",#N/A,FALSE,"Qearn";"Qearn2",#N/A,FALSE,"Qearn";"Qmargin",#N/A,FALSE,"Qmargin";"Cashflow",#N/A,FALSE,"Cashflow"}</definedName>
    <definedName name="EARN" localSheetId="2" hidden="1">#REF!</definedName>
    <definedName name="EARN" localSheetId="10" hidden="1">#REF!</definedName>
    <definedName name="EARN" localSheetId="6" hidden="1">#REF!</definedName>
    <definedName name="EARN" localSheetId="8" hidden="1">#REF!</definedName>
    <definedName name="EARN" localSheetId="9" hidden="1">#REF!</definedName>
    <definedName name="EARN" localSheetId="3" hidden="1">#REF!</definedName>
    <definedName name="EARN" localSheetId="7" hidden="1">#REF!</definedName>
    <definedName name="EARN" localSheetId="12" hidden="1">#REF!</definedName>
    <definedName name="EARN" hidden="1">#REF!</definedName>
    <definedName name="EarningsModel"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d" localSheetId="2" hidden="1">{"'보고양식'!$A$58:$K$111"}</definedName>
    <definedName name="ed" localSheetId="10" hidden="1">{"'보고양식'!$A$58:$K$111"}</definedName>
    <definedName name="ed" localSheetId="6" hidden="1">{"'보고양식'!$A$58:$K$111"}</definedName>
    <definedName name="ed" localSheetId="8" hidden="1">{"'보고양식'!$A$58:$K$111"}</definedName>
    <definedName name="ed" localSheetId="9" hidden="1">{"'보고양식'!$A$58:$K$111"}</definedName>
    <definedName name="ed" localSheetId="3" hidden="1">{"'보고양식'!$A$58:$K$111"}</definedName>
    <definedName name="ed" localSheetId="7" hidden="1">{"'보고양식'!$A$58:$K$111"}</definedName>
    <definedName name="ed" localSheetId="12" hidden="1">{"'보고양식'!$A$58:$K$111"}</definedName>
    <definedName name="ed" hidden="1">{"'보고양식'!$A$58:$K$111"}</definedName>
    <definedName name="eg" localSheetId="2" hidden="1">{"comps",#N/A,FALSE,"TXTCOMPS";"segment_EPS",#N/A,FALSE,"TXTCOMPS";"valuation",#N/A,FALSE,"TXTCOMPS"}</definedName>
    <definedName name="eg" localSheetId="10" hidden="1">{"comps",#N/A,FALSE,"TXTCOMPS";"segment_EPS",#N/A,FALSE,"TXTCOMPS";"valuation",#N/A,FALSE,"TXTCOMPS"}</definedName>
    <definedName name="eg" localSheetId="6" hidden="1">{"comps",#N/A,FALSE,"TXTCOMPS";"segment_EPS",#N/A,FALSE,"TXTCOMPS";"valuation",#N/A,FALSE,"TXTCOMPS"}</definedName>
    <definedName name="eg" localSheetId="8" hidden="1">{"comps",#N/A,FALSE,"TXTCOMPS";"segment_EPS",#N/A,FALSE,"TXTCOMPS";"valuation",#N/A,FALSE,"TXTCOMPS"}</definedName>
    <definedName name="eg" localSheetId="9" hidden="1">{"comps",#N/A,FALSE,"TXTCOMPS";"segment_EPS",#N/A,FALSE,"TXTCOMPS";"valuation",#N/A,FALSE,"TXTCOMPS"}</definedName>
    <definedName name="eg" localSheetId="3" hidden="1">{"comps",#N/A,FALSE,"TXTCOMPS";"segment_EPS",#N/A,FALSE,"TXTCOMPS";"valuation",#N/A,FALSE,"TXTCOMPS"}</definedName>
    <definedName name="eg" localSheetId="7" hidden="1">{"comps",#N/A,FALSE,"TXTCOMPS";"segment_EPS",#N/A,FALSE,"TXTCOMPS";"valuation",#N/A,FALSE,"TXTCOMPS"}</definedName>
    <definedName name="eg" localSheetId="12" hidden="1">{"comps",#N/A,FALSE,"TXTCOMPS";"segment_EPS",#N/A,FALSE,"TXTCOMPS";"valuation",#N/A,FALSE,"TXTCOMPS"}</definedName>
    <definedName name="eg" hidden="1">{"comps",#N/A,FALSE,"TXTCOMPS";"segment_EPS",#N/A,FALSE,"TXTCOMPS";"valuation",#N/A,FALSE,"TXTCOMPS"}</definedName>
    <definedName name="EN">#REF!</definedName>
    <definedName name="EOK">#REF!</definedName>
    <definedName name="EPS_Curr_Qtr">#REF!</definedName>
    <definedName name="EPS_Curr_Yr">#REF!</definedName>
    <definedName name="EPS_Growth_Rate">#REF!</definedName>
    <definedName name="EPS_Lst_Yr">#REF!</definedName>
    <definedName name="eps_LT_CAGR">#REF!</definedName>
    <definedName name="EPS_Next_Yr">#REF!</definedName>
    <definedName name="EPS_Qtr_Date">#REF!</definedName>
    <definedName name="EPSContribution">#REF!</definedName>
    <definedName name="Equity_Ticker">#REF!</definedName>
    <definedName name="ESV">#REF!</definedName>
    <definedName name="evtab" localSheetId="2" hidden="1">{#N/A,#N/A,FALSE,"COVER";#N/A,#N/A,FALSE,"PF ASSUMPT";#N/A,#N/A,FALSE,"PF EPS";#N/A,#N/A,FALSE,"CASHFLOWS";#N/A,#N/A,FALSE,"BALANCESHEET"}</definedName>
    <definedName name="evtab" localSheetId="10" hidden="1">{#N/A,#N/A,FALSE,"COVER";#N/A,#N/A,FALSE,"PF ASSUMPT";#N/A,#N/A,FALSE,"PF EPS";#N/A,#N/A,FALSE,"CASHFLOWS";#N/A,#N/A,FALSE,"BALANCESHEET"}</definedName>
    <definedName name="evtab" localSheetId="6" hidden="1">{#N/A,#N/A,FALSE,"COVER";#N/A,#N/A,FALSE,"PF ASSUMPT";#N/A,#N/A,FALSE,"PF EPS";#N/A,#N/A,FALSE,"CASHFLOWS";#N/A,#N/A,FALSE,"BALANCESHEET"}</definedName>
    <definedName name="evtab" localSheetId="8" hidden="1">{#N/A,#N/A,FALSE,"COVER";#N/A,#N/A,FALSE,"PF ASSUMPT";#N/A,#N/A,FALSE,"PF EPS";#N/A,#N/A,FALSE,"CASHFLOWS";#N/A,#N/A,FALSE,"BALANCESHEET"}</definedName>
    <definedName name="evtab" localSheetId="9" hidden="1">{#N/A,#N/A,FALSE,"COVER";#N/A,#N/A,FALSE,"PF ASSUMPT";#N/A,#N/A,FALSE,"PF EPS";#N/A,#N/A,FALSE,"CASHFLOWS";#N/A,#N/A,FALSE,"BALANCESHEET"}</definedName>
    <definedName name="evtab" localSheetId="3" hidden="1">{#N/A,#N/A,FALSE,"COVER";#N/A,#N/A,FALSE,"PF ASSUMPT";#N/A,#N/A,FALSE,"PF EPS";#N/A,#N/A,FALSE,"CASHFLOWS";#N/A,#N/A,FALSE,"BALANCESHEET"}</definedName>
    <definedName name="evtab" localSheetId="7" hidden="1">{#N/A,#N/A,FALSE,"COVER";#N/A,#N/A,FALSE,"PF ASSUMPT";#N/A,#N/A,FALSE,"PF EPS";#N/A,#N/A,FALSE,"CASHFLOWS";#N/A,#N/A,FALSE,"BALANCESHEET"}</definedName>
    <definedName name="evtab" localSheetId="12" hidden="1">{#N/A,#N/A,FALSE,"COVER";#N/A,#N/A,FALSE,"PF ASSUMPT";#N/A,#N/A,FALSE,"PF EPS";#N/A,#N/A,FALSE,"CASHFLOWS";#N/A,#N/A,FALSE,"BALANCESHEET"}</definedName>
    <definedName name="evtab" hidden="1">{#N/A,#N/A,FALSE,"COVER";#N/A,#N/A,FALSE,"PF ASSUMPT";#N/A,#N/A,FALSE,"PF EPS";#N/A,#N/A,FALSE,"CASHFLOWS";#N/A,#N/A,FALSE,"BALANCESHEET"}</definedName>
    <definedName name="ExcPostTaxOther">#REF!</definedName>
    <definedName name="f" localSheetId="2" hidden="1">{"cover a","1q",FALSE,"Cover";"Op Earn Mgd Q1",#N/A,FALSE,"Op-Earn (Mng)";"Op Earn Rpt Q1",#N/A,FALSE,"Op-Earn (Rpt)";"Loans",#N/A,FALSE,"Loans";"Credit Costs",#N/A,FALSE,"CCosts";"Net Interest Margin",#N/A,FALSE,"Margin";"Nonint Income",#N/A,FALSE,"NonII";"Nonint Exp",#N/A,FALSE,"NonIE";"Valuation",#N/A,FALSE,"Valuation"}</definedName>
    <definedName name="f" localSheetId="10" hidden="1">{"cover a","1q",FALSE,"Cover";"Op Earn Mgd Q1",#N/A,FALSE,"Op-Earn (Mng)";"Op Earn Rpt Q1",#N/A,FALSE,"Op-Earn (Rpt)";"Loans",#N/A,FALSE,"Loans";"Credit Costs",#N/A,FALSE,"CCosts";"Net Interest Margin",#N/A,FALSE,"Margin";"Nonint Income",#N/A,FALSE,"NonII";"Nonint Exp",#N/A,FALSE,"NonIE";"Valuation",#N/A,FALSE,"Valuation"}</definedName>
    <definedName name="f" localSheetId="6" hidden="1">{"cover a","1q",FALSE,"Cover";"Op Earn Mgd Q1",#N/A,FALSE,"Op-Earn (Mng)";"Op Earn Rpt Q1",#N/A,FALSE,"Op-Earn (Rpt)";"Loans",#N/A,FALSE,"Loans";"Credit Costs",#N/A,FALSE,"CCosts";"Net Interest Margin",#N/A,FALSE,"Margin";"Nonint Income",#N/A,FALSE,"NonII";"Nonint Exp",#N/A,FALSE,"NonIE";"Valuation",#N/A,FALSE,"Valuation"}</definedName>
    <definedName name="f" localSheetId="8" hidden="1">{"cover a","1q",FALSE,"Cover";"Op Earn Mgd Q1",#N/A,FALSE,"Op-Earn (Mng)";"Op Earn Rpt Q1",#N/A,FALSE,"Op-Earn (Rpt)";"Loans",#N/A,FALSE,"Loans";"Credit Costs",#N/A,FALSE,"CCosts";"Net Interest Margin",#N/A,FALSE,"Margin";"Nonint Income",#N/A,FALSE,"NonII";"Nonint Exp",#N/A,FALSE,"NonIE";"Valuation",#N/A,FALSE,"Valuation"}</definedName>
    <definedName name="f" localSheetId="9" hidden="1">{"cover a","1q",FALSE,"Cover";"Op Earn Mgd Q1",#N/A,FALSE,"Op-Earn (Mng)";"Op Earn Rpt Q1",#N/A,FALSE,"Op-Earn (Rpt)";"Loans",#N/A,FALSE,"Loans";"Credit Costs",#N/A,FALSE,"CCosts";"Net Interest Margin",#N/A,FALSE,"Margin";"Nonint Income",#N/A,FALSE,"NonII";"Nonint Exp",#N/A,FALSE,"NonIE";"Valuation",#N/A,FALSE,"Valuation"}</definedName>
    <definedName name="f" localSheetId="3" hidden="1">{"comps",#N/A,FALSE,"TXTCOMPS";"segment_EPS",#N/A,FALSE,"TXTCOMPS";"valuation",#N/A,FALSE,"TXTCOMPS"}</definedName>
    <definedName name="f" localSheetId="7" hidden="1">{"cover a","1q",FALSE,"Cover";"Op Earn Mgd Q1",#N/A,FALSE,"Op-Earn (Mng)";"Op Earn Rpt Q1",#N/A,FALSE,"Op-Earn (Rpt)";"Loans",#N/A,FALSE,"Loans";"Credit Costs",#N/A,FALSE,"CCosts";"Net Interest Margin",#N/A,FALSE,"Margin";"Nonint Income",#N/A,FALSE,"NonII";"Nonint Exp",#N/A,FALSE,"NonIE";"Valuation",#N/A,FALSE,"Valuation"}</definedName>
    <definedName name="f" localSheetId="12" hidden="1">{"comps",#N/A,FALSE,"TXTCOMPS";"segment_EPS",#N/A,FALSE,"TXTCOMPS";"valuation",#N/A,FALSE,"TXTCOMPS"}</definedName>
    <definedName name="f" hidden="1">{"cover a","1q",FALSE,"Cover";"Op Earn Mgd Q1",#N/A,FALSE,"Op-Earn (Mng)";"Op Earn Rpt Q1",#N/A,FALSE,"Op-Earn (Rpt)";"Loans",#N/A,FALSE,"Loans";"Credit Costs",#N/A,FALSE,"CCosts";"Net Interest Margin",#N/A,FALSE,"Margin";"Nonint Income",#N/A,FALSE,"NonII";"Nonint Exp",#N/A,FALSE,"NonIE";"Valuation",#N/A,FALSE,"Valuation"}</definedName>
    <definedName name="ｆ" hidden="1">"iQShowAnnual"</definedName>
    <definedName name="fasdfsdasd" localSheetId="2" hidden="1">{"comps",#N/A,FALSE,"TXTCOMPS";"segment_EPS",#N/A,FALSE,"TXTCOMPS";"valuation",#N/A,FALSE,"TXTCOMPS"}</definedName>
    <definedName name="fasdfsdasd" localSheetId="10" hidden="1">{"comps",#N/A,FALSE,"TXTCOMPS";"segment_EPS",#N/A,FALSE,"TXTCOMPS";"valuation",#N/A,FALSE,"TXTCOMPS"}</definedName>
    <definedName name="fasdfsdasd" localSheetId="6" hidden="1">{"comps",#N/A,FALSE,"TXTCOMPS";"segment_EPS",#N/A,FALSE,"TXTCOMPS";"valuation",#N/A,FALSE,"TXTCOMPS"}</definedName>
    <definedName name="fasdfsdasd" localSheetId="8" hidden="1">{"comps",#N/A,FALSE,"TXTCOMPS";"segment_EPS",#N/A,FALSE,"TXTCOMPS";"valuation",#N/A,FALSE,"TXTCOMPS"}</definedName>
    <definedName name="fasdfsdasd" localSheetId="9" hidden="1">{"comps",#N/A,FALSE,"TXTCOMPS";"segment_EPS",#N/A,FALSE,"TXTCOMPS";"valuation",#N/A,FALSE,"TXTCOMPS"}</definedName>
    <definedName name="fasdfsdasd" localSheetId="3" hidden="1">{"comps",#N/A,FALSE,"TXTCOMPS";"segment_EPS",#N/A,FALSE,"TXTCOMPS";"valuation",#N/A,FALSE,"TXTCOMPS"}</definedName>
    <definedName name="fasdfsdasd" localSheetId="7" hidden="1">{"comps",#N/A,FALSE,"TXTCOMPS";"segment_EPS",#N/A,FALSE,"TXTCOMPS";"valuation",#N/A,FALSE,"TXTCOMPS"}</definedName>
    <definedName name="fasdfsdasd" localSheetId="12" hidden="1">{"comps",#N/A,FALSE,"TXTCOMPS";"segment_EPS",#N/A,FALSE,"TXTCOMPS";"valuation",#N/A,FALSE,"TXTCOMPS"}</definedName>
    <definedName name="fasdfsdasd" hidden="1">{"comps",#N/A,FALSE,"TXTCOMPS";"segment_EPS",#N/A,FALSE,"TXTCOMPS";"valuation",#N/A,FALSE,"TXTCOMPS"}</definedName>
    <definedName name="FDP_0_1_aUrv" localSheetId="2" hidden="1">#REF!</definedName>
    <definedName name="FDP_0_1_aUrv" localSheetId="10" hidden="1">#REF!</definedName>
    <definedName name="FDP_0_1_aUrv" localSheetId="6" hidden="1">#REF!</definedName>
    <definedName name="FDP_0_1_aUrv" localSheetId="8" hidden="1">#REF!</definedName>
    <definedName name="FDP_0_1_aUrv" localSheetId="9" hidden="1">#REF!</definedName>
    <definedName name="FDP_0_1_aUrv" localSheetId="3" hidden="1">#REF!</definedName>
    <definedName name="FDP_0_1_aUrv" localSheetId="7" hidden="1">#REF!</definedName>
    <definedName name="FDP_0_1_aUrv" localSheetId="12" hidden="1">#REF!</definedName>
    <definedName name="FDP_0_1_aUrv" hidden="1">#REF!</definedName>
    <definedName name="FDP_1_1_aUrv" localSheetId="2" hidden="1">#REF!</definedName>
    <definedName name="FDP_1_1_aUrv" localSheetId="10" hidden="1">#REF!</definedName>
    <definedName name="FDP_1_1_aUrv" localSheetId="6" hidden="1">#REF!</definedName>
    <definedName name="FDP_1_1_aUrv" localSheetId="8" hidden="1">#REF!</definedName>
    <definedName name="FDP_1_1_aUrv" localSheetId="9" hidden="1">#REF!</definedName>
    <definedName name="FDP_1_1_aUrv" localSheetId="3" hidden="1">#REF!</definedName>
    <definedName name="FDP_1_1_aUrv" localSheetId="7" hidden="1">#REF!</definedName>
    <definedName name="FDP_1_1_aUrv" localSheetId="12" hidden="1">#REF!</definedName>
    <definedName name="FDP_1_1_aUrv" hidden="1">#REF!</definedName>
    <definedName name="FDP_10_1_aUrv" localSheetId="2" hidden="1">#REF!</definedName>
    <definedName name="FDP_10_1_aUrv" localSheetId="10" hidden="1">#REF!</definedName>
    <definedName name="FDP_10_1_aUrv" localSheetId="6" hidden="1">#REF!</definedName>
    <definedName name="FDP_10_1_aUrv" localSheetId="8" hidden="1">#REF!</definedName>
    <definedName name="FDP_10_1_aUrv" localSheetId="9" hidden="1">#REF!</definedName>
    <definedName name="FDP_10_1_aUrv" localSheetId="3" hidden="1">#REF!</definedName>
    <definedName name="FDP_10_1_aUrv" localSheetId="7" hidden="1">#REF!</definedName>
    <definedName name="FDP_10_1_aUrv" localSheetId="12" hidden="1">#REF!</definedName>
    <definedName name="FDP_10_1_aUrv" hidden="1">#REF!</definedName>
    <definedName name="FDP_100_1_aUrv" localSheetId="2" hidden="1">#REF!</definedName>
    <definedName name="FDP_100_1_aUrv" localSheetId="10" hidden="1">#REF!</definedName>
    <definedName name="FDP_100_1_aUrv" localSheetId="6" hidden="1">#REF!</definedName>
    <definedName name="FDP_100_1_aUrv" localSheetId="8" hidden="1">#REF!</definedName>
    <definedName name="FDP_100_1_aUrv" localSheetId="3" hidden="1">#REF!</definedName>
    <definedName name="FDP_100_1_aUrv" localSheetId="7" hidden="1">#REF!</definedName>
    <definedName name="FDP_100_1_aUrv" localSheetId="12" hidden="1">#REF!</definedName>
    <definedName name="FDP_100_1_aUrv" hidden="1">#REF!</definedName>
    <definedName name="FDP_101_1_aUrv" localSheetId="2" hidden="1">#REF!</definedName>
    <definedName name="FDP_101_1_aUrv" localSheetId="10" hidden="1">#REF!</definedName>
    <definedName name="FDP_101_1_aUrv" localSheetId="6" hidden="1">#REF!</definedName>
    <definedName name="FDP_101_1_aUrv" localSheetId="8" hidden="1">#REF!</definedName>
    <definedName name="FDP_101_1_aUrv" localSheetId="3" hidden="1">#REF!</definedName>
    <definedName name="FDP_101_1_aUrv" localSheetId="7" hidden="1">#REF!</definedName>
    <definedName name="FDP_101_1_aUrv" localSheetId="12" hidden="1">#REF!</definedName>
    <definedName name="FDP_101_1_aUrv" hidden="1">#REF!</definedName>
    <definedName name="FDP_102_1_aUrv" localSheetId="2" hidden="1">#REF!</definedName>
    <definedName name="FDP_102_1_aUrv" localSheetId="10" hidden="1">#REF!</definedName>
    <definedName name="FDP_102_1_aUrv" localSheetId="6" hidden="1">#REF!</definedName>
    <definedName name="FDP_102_1_aUrv" localSheetId="8" hidden="1">#REF!</definedName>
    <definedName name="FDP_102_1_aUrv" localSheetId="3" hidden="1">#REF!</definedName>
    <definedName name="FDP_102_1_aUrv" localSheetId="7" hidden="1">#REF!</definedName>
    <definedName name="FDP_102_1_aUrv" localSheetId="12" hidden="1">#REF!</definedName>
    <definedName name="FDP_102_1_aUrv" hidden="1">#REF!</definedName>
    <definedName name="FDP_103_1_aUrv" localSheetId="2" hidden="1">#REF!</definedName>
    <definedName name="FDP_103_1_aUrv" localSheetId="10" hidden="1">#REF!</definedName>
    <definedName name="FDP_103_1_aUrv" localSheetId="6" hidden="1">#REF!</definedName>
    <definedName name="FDP_103_1_aUrv" localSheetId="8" hidden="1">#REF!</definedName>
    <definedName name="FDP_103_1_aUrv" localSheetId="3" hidden="1">#REF!</definedName>
    <definedName name="FDP_103_1_aUrv" localSheetId="7" hidden="1">#REF!</definedName>
    <definedName name="FDP_103_1_aUrv" localSheetId="12" hidden="1">#REF!</definedName>
    <definedName name="FDP_103_1_aUrv" hidden="1">#REF!</definedName>
    <definedName name="FDP_104_1_aUrv" localSheetId="2" hidden="1">#REF!</definedName>
    <definedName name="FDP_104_1_aUrv" localSheetId="10" hidden="1">#REF!</definedName>
    <definedName name="FDP_104_1_aUrv" localSheetId="6" hidden="1">#REF!</definedName>
    <definedName name="FDP_104_1_aUrv" localSheetId="8" hidden="1">#REF!</definedName>
    <definedName name="FDP_104_1_aUrv" localSheetId="3" hidden="1">#REF!</definedName>
    <definedName name="FDP_104_1_aUrv" localSheetId="7" hidden="1">#REF!</definedName>
    <definedName name="FDP_104_1_aUrv" localSheetId="12" hidden="1">#REF!</definedName>
    <definedName name="FDP_104_1_aUrv" hidden="1">#REF!</definedName>
    <definedName name="FDP_105_1_aUrv" localSheetId="2" hidden="1">#REF!</definedName>
    <definedName name="FDP_105_1_aUrv" localSheetId="10" hidden="1">#REF!</definedName>
    <definedName name="FDP_105_1_aUrv" localSheetId="6" hidden="1">#REF!</definedName>
    <definedName name="FDP_105_1_aUrv" localSheetId="8" hidden="1">#REF!</definedName>
    <definedName name="FDP_105_1_aUrv" localSheetId="3" hidden="1">#REF!</definedName>
    <definedName name="FDP_105_1_aUrv" localSheetId="7" hidden="1">#REF!</definedName>
    <definedName name="FDP_105_1_aUrv" localSheetId="12" hidden="1">#REF!</definedName>
    <definedName name="FDP_105_1_aUrv" hidden="1">#REF!</definedName>
    <definedName name="FDP_106_1_aUrv" localSheetId="2" hidden="1">#REF!</definedName>
    <definedName name="FDP_106_1_aUrv" localSheetId="10" hidden="1">#REF!</definedName>
    <definedName name="FDP_106_1_aUrv" localSheetId="6" hidden="1">#REF!</definedName>
    <definedName name="FDP_106_1_aUrv" localSheetId="8" hidden="1">#REF!</definedName>
    <definedName name="FDP_106_1_aUrv" localSheetId="3" hidden="1">#REF!</definedName>
    <definedName name="FDP_106_1_aUrv" localSheetId="7" hidden="1">#REF!</definedName>
    <definedName name="FDP_106_1_aUrv" localSheetId="12" hidden="1">#REF!</definedName>
    <definedName name="FDP_106_1_aUrv" hidden="1">#REF!</definedName>
    <definedName name="FDP_107_1_aUrv" localSheetId="2" hidden="1">#REF!</definedName>
    <definedName name="FDP_107_1_aUrv" localSheetId="10" hidden="1">#REF!</definedName>
    <definedName name="FDP_107_1_aUrv" localSheetId="6" hidden="1">#REF!</definedName>
    <definedName name="FDP_107_1_aUrv" localSheetId="8" hidden="1">#REF!</definedName>
    <definedName name="FDP_107_1_aUrv" localSheetId="3" hidden="1">#REF!</definedName>
    <definedName name="FDP_107_1_aUrv" localSheetId="7" hidden="1">#REF!</definedName>
    <definedName name="FDP_107_1_aUrv" localSheetId="12" hidden="1">#REF!</definedName>
    <definedName name="FDP_107_1_aUrv" hidden="1">#REF!</definedName>
    <definedName name="FDP_108_1_aUrv" localSheetId="2" hidden="1">#REF!</definedName>
    <definedName name="FDP_108_1_aUrv" localSheetId="10" hidden="1">#REF!</definedName>
    <definedName name="FDP_108_1_aUrv" localSheetId="6" hidden="1">#REF!</definedName>
    <definedName name="FDP_108_1_aUrv" localSheetId="8" hidden="1">#REF!</definedName>
    <definedName name="FDP_108_1_aUrv" localSheetId="3" hidden="1">#REF!</definedName>
    <definedName name="FDP_108_1_aUrv" localSheetId="7" hidden="1">#REF!</definedName>
    <definedName name="FDP_108_1_aUrv" localSheetId="12" hidden="1">#REF!</definedName>
    <definedName name="FDP_108_1_aUrv" hidden="1">#REF!</definedName>
    <definedName name="FDP_109_1_aUrv" localSheetId="2" hidden="1">#REF!</definedName>
    <definedName name="FDP_109_1_aUrv" localSheetId="10" hidden="1">#REF!</definedName>
    <definedName name="FDP_109_1_aUrv" localSheetId="6" hidden="1">#REF!</definedName>
    <definedName name="FDP_109_1_aUrv" localSheetId="8" hidden="1">#REF!</definedName>
    <definedName name="FDP_109_1_aUrv" localSheetId="3" hidden="1">#REF!</definedName>
    <definedName name="FDP_109_1_aUrv" localSheetId="7" hidden="1">#REF!</definedName>
    <definedName name="FDP_109_1_aUrv" localSheetId="12" hidden="1">#REF!</definedName>
    <definedName name="FDP_109_1_aUrv" hidden="1">#REF!</definedName>
    <definedName name="FDP_11_1_aDrv" localSheetId="2" hidden="1">#REF!</definedName>
    <definedName name="FDP_11_1_aDrv" localSheetId="10" hidden="1">#REF!</definedName>
    <definedName name="FDP_11_1_aDrv" localSheetId="6" hidden="1">#REF!</definedName>
    <definedName name="FDP_11_1_aDrv" localSheetId="8" hidden="1">#REF!</definedName>
    <definedName name="FDP_11_1_aDrv" localSheetId="3" hidden="1">#REF!</definedName>
    <definedName name="FDP_11_1_aDrv" localSheetId="7" hidden="1">#REF!</definedName>
    <definedName name="FDP_11_1_aDrv" localSheetId="12" hidden="1">#REF!</definedName>
    <definedName name="FDP_11_1_aDrv" hidden="1">#REF!</definedName>
    <definedName name="FDP_110_1_aUrv" localSheetId="2" hidden="1">#REF!</definedName>
    <definedName name="FDP_110_1_aUrv" localSheetId="10" hidden="1">#REF!</definedName>
    <definedName name="FDP_110_1_aUrv" localSheetId="6" hidden="1">#REF!</definedName>
    <definedName name="FDP_110_1_aUrv" localSheetId="8" hidden="1">#REF!</definedName>
    <definedName name="FDP_110_1_aUrv" localSheetId="3" hidden="1">#REF!</definedName>
    <definedName name="FDP_110_1_aUrv" localSheetId="7" hidden="1">#REF!</definedName>
    <definedName name="FDP_110_1_aUrv" localSheetId="12" hidden="1">#REF!</definedName>
    <definedName name="FDP_110_1_aUrv" hidden="1">#REF!</definedName>
    <definedName name="FDP_111_1_aUrv" localSheetId="2" hidden="1">#REF!</definedName>
    <definedName name="FDP_111_1_aUrv" localSheetId="10" hidden="1">#REF!</definedName>
    <definedName name="FDP_111_1_aUrv" localSheetId="6" hidden="1">#REF!</definedName>
    <definedName name="FDP_111_1_aUrv" localSheetId="8" hidden="1">#REF!</definedName>
    <definedName name="FDP_111_1_aUrv" localSheetId="3" hidden="1">#REF!</definedName>
    <definedName name="FDP_111_1_aUrv" localSheetId="7" hidden="1">#REF!</definedName>
    <definedName name="FDP_111_1_aUrv" localSheetId="12" hidden="1">#REF!</definedName>
    <definedName name="FDP_111_1_aUrv" hidden="1">#REF!</definedName>
    <definedName name="FDP_112_1_aUrv" localSheetId="2" hidden="1">#REF!</definedName>
    <definedName name="FDP_112_1_aUrv" localSheetId="10" hidden="1">#REF!</definedName>
    <definedName name="FDP_112_1_aUrv" localSheetId="6" hidden="1">#REF!</definedName>
    <definedName name="FDP_112_1_aUrv" localSheetId="8" hidden="1">#REF!</definedName>
    <definedName name="FDP_112_1_aUrv" localSheetId="3" hidden="1">#REF!</definedName>
    <definedName name="FDP_112_1_aUrv" localSheetId="7" hidden="1">#REF!</definedName>
    <definedName name="FDP_112_1_aUrv" localSheetId="12" hidden="1">#REF!</definedName>
    <definedName name="FDP_112_1_aUrv" hidden="1">#REF!</definedName>
    <definedName name="FDP_113_1_aUrv" localSheetId="2" hidden="1">#REF!</definedName>
    <definedName name="FDP_113_1_aUrv" localSheetId="10" hidden="1">#REF!</definedName>
    <definedName name="FDP_113_1_aUrv" localSheetId="6" hidden="1">#REF!</definedName>
    <definedName name="FDP_113_1_aUrv" localSheetId="8" hidden="1">#REF!</definedName>
    <definedName name="FDP_113_1_aUrv" localSheetId="3" hidden="1">#REF!</definedName>
    <definedName name="FDP_113_1_aUrv" localSheetId="7" hidden="1">#REF!</definedName>
    <definedName name="FDP_113_1_aUrv" localSheetId="12" hidden="1">#REF!</definedName>
    <definedName name="FDP_113_1_aUrv" hidden="1">#REF!</definedName>
    <definedName name="FDP_114_1_aUrv" localSheetId="2" hidden="1">#REF!</definedName>
    <definedName name="FDP_114_1_aUrv" localSheetId="10" hidden="1">#REF!</definedName>
    <definedName name="FDP_114_1_aUrv" localSheetId="6" hidden="1">#REF!</definedName>
    <definedName name="FDP_114_1_aUrv" localSheetId="8" hidden="1">#REF!</definedName>
    <definedName name="FDP_114_1_aUrv" localSheetId="3" hidden="1">#REF!</definedName>
    <definedName name="FDP_114_1_aUrv" localSheetId="7" hidden="1">#REF!</definedName>
    <definedName name="FDP_114_1_aUrv" localSheetId="12" hidden="1">#REF!</definedName>
    <definedName name="FDP_114_1_aUrv" hidden="1">#REF!</definedName>
    <definedName name="FDP_115_1_aUrv" localSheetId="2" hidden="1">#REF!</definedName>
    <definedName name="FDP_115_1_aUrv" localSheetId="10" hidden="1">#REF!</definedName>
    <definedName name="FDP_115_1_aUrv" localSheetId="6" hidden="1">#REF!</definedName>
    <definedName name="FDP_115_1_aUrv" localSheetId="8" hidden="1">#REF!</definedName>
    <definedName name="FDP_115_1_aUrv" localSheetId="3" hidden="1">#REF!</definedName>
    <definedName name="FDP_115_1_aUrv" localSheetId="7" hidden="1">#REF!</definedName>
    <definedName name="FDP_115_1_aUrv" localSheetId="12" hidden="1">#REF!</definedName>
    <definedName name="FDP_115_1_aUrv" hidden="1">#REF!</definedName>
    <definedName name="FDP_116_1_aUrv" localSheetId="2" hidden="1">#REF!</definedName>
    <definedName name="FDP_116_1_aUrv" localSheetId="10" hidden="1">#REF!</definedName>
    <definedName name="FDP_116_1_aUrv" localSheetId="6" hidden="1">#REF!</definedName>
    <definedName name="FDP_116_1_aUrv" localSheetId="8" hidden="1">#REF!</definedName>
    <definedName name="FDP_116_1_aUrv" localSheetId="3" hidden="1">#REF!</definedName>
    <definedName name="FDP_116_1_aUrv" localSheetId="7" hidden="1">#REF!</definedName>
    <definedName name="FDP_116_1_aUrv" localSheetId="12" hidden="1">#REF!</definedName>
    <definedName name="FDP_116_1_aUrv" hidden="1">#REF!</definedName>
    <definedName name="FDP_117_1_aUrv" localSheetId="2" hidden="1">#REF!</definedName>
    <definedName name="FDP_117_1_aUrv" localSheetId="10" hidden="1">#REF!</definedName>
    <definedName name="FDP_117_1_aUrv" localSheetId="6" hidden="1">#REF!</definedName>
    <definedName name="FDP_117_1_aUrv" localSheetId="8" hidden="1">#REF!</definedName>
    <definedName name="FDP_117_1_aUrv" localSheetId="3" hidden="1">#REF!</definedName>
    <definedName name="FDP_117_1_aUrv" localSheetId="7" hidden="1">#REF!</definedName>
    <definedName name="FDP_117_1_aUrv" localSheetId="12" hidden="1">#REF!</definedName>
    <definedName name="FDP_117_1_aUrv" hidden="1">#REF!</definedName>
    <definedName name="FDP_118_1_aUrv" localSheetId="2" hidden="1">#REF!</definedName>
    <definedName name="FDP_118_1_aUrv" localSheetId="10" hidden="1">#REF!</definedName>
    <definedName name="FDP_118_1_aUrv" localSheetId="6" hidden="1">#REF!</definedName>
    <definedName name="FDP_118_1_aUrv" localSheetId="8" hidden="1">#REF!</definedName>
    <definedName name="FDP_118_1_aUrv" localSheetId="3" hidden="1">#REF!</definedName>
    <definedName name="FDP_118_1_aUrv" localSheetId="7" hidden="1">#REF!</definedName>
    <definedName name="FDP_118_1_aUrv" localSheetId="12" hidden="1">#REF!</definedName>
    <definedName name="FDP_118_1_aUrv" hidden="1">#REF!</definedName>
    <definedName name="FDP_119_1_aUrv" localSheetId="2" hidden="1">#REF!</definedName>
    <definedName name="FDP_119_1_aUrv" localSheetId="10" hidden="1">#REF!</definedName>
    <definedName name="FDP_119_1_aUrv" localSheetId="6" hidden="1">#REF!</definedName>
    <definedName name="FDP_119_1_aUrv" localSheetId="8" hidden="1">#REF!</definedName>
    <definedName name="FDP_119_1_aUrv" localSheetId="3" hidden="1">#REF!</definedName>
    <definedName name="FDP_119_1_aUrv" localSheetId="7" hidden="1">#REF!</definedName>
    <definedName name="FDP_119_1_aUrv" localSheetId="12" hidden="1">#REF!</definedName>
    <definedName name="FDP_119_1_aUrv" hidden="1">#REF!</definedName>
    <definedName name="FDP_12_1_aDrv" localSheetId="2" hidden="1">#REF!</definedName>
    <definedName name="FDP_12_1_aDrv" localSheetId="10" hidden="1">#REF!</definedName>
    <definedName name="FDP_12_1_aDrv" localSheetId="6" hidden="1">#REF!</definedName>
    <definedName name="FDP_12_1_aDrv" localSheetId="8" hidden="1">#REF!</definedName>
    <definedName name="FDP_12_1_aDrv" localSheetId="3" hidden="1">#REF!</definedName>
    <definedName name="FDP_12_1_aDrv" localSheetId="7" hidden="1">#REF!</definedName>
    <definedName name="FDP_12_1_aDrv" localSheetId="12" hidden="1">#REF!</definedName>
    <definedName name="FDP_12_1_aDrv" hidden="1">#REF!</definedName>
    <definedName name="FDP_120_1_aUrv" localSheetId="2" hidden="1">#REF!</definedName>
    <definedName name="FDP_120_1_aUrv" localSheetId="10" hidden="1">#REF!</definedName>
    <definedName name="FDP_120_1_aUrv" localSheetId="6" hidden="1">#REF!</definedName>
    <definedName name="FDP_120_1_aUrv" localSheetId="8" hidden="1">#REF!</definedName>
    <definedName name="FDP_120_1_aUrv" localSheetId="3" hidden="1">#REF!</definedName>
    <definedName name="FDP_120_1_aUrv" localSheetId="7" hidden="1">#REF!</definedName>
    <definedName name="FDP_120_1_aUrv" localSheetId="12" hidden="1">#REF!</definedName>
    <definedName name="FDP_120_1_aUrv" hidden="1">#REF!</definedName>
    <definedName name="FDP_121_1_aUrv" localSheetId="2" hidden="1">#REF!</definedName>
    <definedName name="FDP_121_1_aUrv" localSheetId="10" hidden="1">#REF!</definedName>
    <definedName name="FDP_121_1_aUrv" localSheetId="6" hidden="1">#REF!</definedName>
    <definedName name="FDP_121_1_aUrv" localSheetId="8" hidden="1">#REF!</definedName>
    <definedName name="FDP_121_1_aUrv" localSheetId="3" hidden="1">#REF!</definedName>
    <definedName name="FDP_121_1_aUrv" localSheetId="7" hidden="1">#REF!</definedName>
    <definedName name="FDP_121_1_aUrv" localSheetId="12" hidden="1">#REF!</definedName>
    <definedName name="FDP_121_1_aUrv" hidden="1">#REF!</definedName>
    <definedName name="FDP_122_1_aUrv" localSheetId="2" hidden="1">#REF!</definedName>
    <definedName name="FDP_122_1_aUrv" localSheetId="10" hidden="1">#REF!</definedName>
    <definedName name="FDP_122_1_aUrv" localSheetId="6" hidden="1">#REF!</definedName>
    <definedName name="FDP_122_1_aUrv" localSheetId="8" hidden="1">#REF!</definedName>
    <definedName name="FDP_122_1_aUrv" localSheetId="3" hidden="1">#REF!</definedName>
    <definedName name="FDP_122_1_aUrv" localSheetId="7" hidden="1">#REF!</definedName>
    <definedName name="FDP_122_1_aUrv" localSheetId="12" hidden="1">#REF!</definedName>
    <definedName name="FDP_122_1_aUrv" hidden="1">#REF!</definedName>
    <definedName name="FDP_123_1_aUrv" localSheetId="2" hidden="1">#REF!</definedName>
    <definedName name="FDP_123_1_aUrv" localSheetId="10" hidden="1">#REF!</definedName>
    <definedName name="FDP_123_1_aUrv" localSheetId="6" hidden="1">#REF!</definedName>
    <definedName name="FDP_123_1_aUrv" localSheetId="8" hidden="1">#REF!</definedName>
    <definedName name="FDP_123_1_aUrv" localSheetId="3" hidden="1">#REF!</definedName>
    <definedName name="FDP_123_1_aUrv" localSheetId="7" hidden="1">#REF!</definedName>
    <definedName name="FDP_123_1_aUrv" localSheetId="12" hidden="1">#REF!</definedName>
    <definedName name="FDP_123_1_aUrv" hidden="1">#REF!</definedName>
    <definedName name="FDP_124_1_aUrv" localSheetId="2" hidden="1">#REF!</definedName>
    <definedName name="FDP_124_1_aUrv" localSheetId="10" hidden="1">#REF!</definedName>
    <definedName name="FDP_124_1_aUrv" localSheetId="6" hidden="1">#REF!</definedName>
    <definedName name="FDP_124_1_aUrv" localSheetId="8" hidden="1">#REF!</definedName>
    <definedName name="FDP_124_1_aUrv" localSheetId="3" hidden="1">#REF!</definedName>
    <definedName name="FDP_124_1_aUrv" localSheetId="7" hidden="1">#REF!</definedName>
    <definedName name="FDP_124_1_aUrv" localSheetId="12" hidden="1">#REF!</definedName>
    <definedName name="FDP_124_1_aUrv" hidden="1">#REF!</definedName>
    <definedName name="FDP_125_1_aUrv" localSheetId="2" hidden="1">#REF!</definedName>
    <definedName name="FDP_125_1_aUrv" localSheetId="10" hidden="1">#REF!</definedName>
    <definedName name="FDP_125_1_aUrv" localSheetId="6" hidden="1">#REF!</definedName>
    <definedName name="FDP_125_1_aUrv" localSheetId="8" hidden="1">#REF!</definedName>
    <definedName name="FDP_125_1_aUrv" localSheetId="3" hidden="1">#REF!</definedName>
    <definedName name="FDP_125_1_aUrv" localSheetId="7" hidden="1">#REF!</definedName>
    <definedName name="FDP_125_1_aUrv" localSheetId="12" hidden="1">#REF!</definedName>
    <definedName name="FDP_125_1_aUrv" hidden="1">#REF!</definedName>
    <definedName name="FDP_126_1_aUrv" localSheetId="2" hidden="1">#REF!</definedName>
    <definedName name="FDP_126_1_aUrv" localSheetId="10" hidden="1">#REF!</definedName>
    <definedName name="FDP_126_1_aUrv" localSheetId="6" hidden="1">#REF!</definedName>
    <definedName name="FDP_126_1_aUrv" localSheetId="8" hidden="1">#REF!</definedName>
    <definedName name="FDP_126_1_aUrv" localSheetId="3" hidden="1">#REF!</definedName>
    <definedName name="FDP_126_1_aUrv" localSheetId="7" hidden="1">#REF!</definedName>
    <definedName name="FDP_126_1_aUrv" localSheetId="12" hidden="1">#REF!</definedName>
    <definedName name="FDP_126_1_aUrv" hidden="1">#REF!</definedName>
    <definedName name="FDP_127_1_aUrv" localSheetId="2" hidden="1">#REF!</definedName>
    <definedName name="FDP_127_1_aUrv" localSheetId="10" hidden="1">#REF!</definedName>
    <definedName name="FDP_127_1_aUrv" localSheetId="6" hidden="1">#REF!</definedName>
    <definedName name="FDP_127_1_aUrv" localSheetId="8" hidden="1">#REF!</definedName>
    <definedName name="FDP_127_1_aUrv" localSheetId="3" hidden="1">#REF!</definedName>
    <definedName name="FDP_127_1_aUrv" localSheetId="7" hidden="1">#REF!</definedName>
    <definedName name="FDP_127_1_aUrv" localSheetId="12" hidden="1">#REF!</definedName>
    <definedName name="FDP_127_1_aUrv" hidden="1">#REF!</definedName>
    <definedName name="FDP_128_1_aUrv" localSheetId="2" hidden="1">#REF!</definedName>
    <definedName name="FDP_128_1_aUrv" localSheetId="10" hidden="1">#REF!</definedName>
    <definedName name="FDP_128_1_aUrv" localSheetId="6" hidden="1">#REF!</definedName>
    <definedName name="FDP_128_1_aUrv" localSheetId="8" hidden="1">#REF!</definedName>
    <definedName name="FDP_128_1_aUrv" localSheetId="3" hidden="1">#REF!</definedName>
    <definedName name="FDP_128_1_aUrv" localSheetId="7" hidden="1">#REF!</definedName>
    <definedName name="FDP_128_1_aUrv" localSheetId="12" hidden="1">#REF!</definedName>
    <definedName name="FDP_128_1_aUrv" hidden="1">#REF!</definedName>
    <definedName name="FDP_129_1_aUrv" localSheetId="2" hidden="1">#REF!</definedName>
    <definedName name="FDP_129_1_aUrv" localSheetId="10" hidden="1">#REF!</definedName>
    <definedName name="FDP_129_1_aUrv" localSheetId="6" hidden="1">#REF!</definedName>
    <definedName name="FDP_129_1_aUrv" localSheetId="8" hidden="1">#REF!</definedName>
    <definedName name="FDP_129_1_aUrv" localSheetId="3" hidden="1">#REF!</definedName>
    <definedName name="FDP_129_1_aUrv" localSheetId="7" hidden="1">#REF!</definedName>
    <definedName name="FDP_129_1_aUrv" localSheetId="12" hidden="1">#REF!</definedName>
    <definedName name="FDP_129_1_aUrv" hidden="1">#REF!</definedName>
    <definedName name="FDP_13_1_aDrv" localSheetId="2" hidden="1">#REF!</definedName>
    <definedName name="FDP_13_1_aDrv" localSheetId="10" hidden="1">#REF!</definedName>
    <definedName name="FDP_13_1_aDrv" localSheetId="6" hidden="1">#REF!</definedName>
    <definedName name="FDP_13_1_aDrv" localSheetId="8" hidden="1">#REF!</definedName>
    <definedName name="FDP_13_1_aDrv" localSheetId="3" hidden="1">#REF!</definedName>
    <definedName name="FDP_13_1_aDrv" localSheetId="7" hidden="1">#REF!</definedName>
    <definedName name="FDP_13_1_aDrv" localSheetId="12" hidden="1">#REF!</definedName>
    <definedName name="FDP_13_1_aDrv" hidden="1">#REF!</definedName>
    <definedName name="FDP_130_1_aUrv" localSheetId="2" hidden="1">#REF!</definedName>
    <definedName name="FDP_130_1_aUrv" localSheetId="10" hidden="1">#REF!</definedName>
    <definedName name="FDP_130_1_aUrv" localSheetId="6" hidden="1">#REF!</definedName>
    <definedName name="FDP_130_1_aUrv" localSheetId="8" hidden="1">#REF!</definedName>
    <definedName name="FDP_130_1_aUrv" localSheetId="3" hidden="1">#REF!</definedName>
    <definedName name="FDP_130_1_aUrv" localSheetId="7" hidden="1">#REF!</definedName>
    <definedName name="FDP_130_1_aUrv" localSheetId="12" hidden="1">#REF!</definedName>
    <definedName name="FDP_130_1_aUrv" hidden="1">#REF!</definedName>
    <definedName name="FDP_131_1_aUrv" localSheetId="2" hidden="1">#REF!</definedName>
    <definedName name="FDP_131_1_aUrv" localSheetId="10" hidden="1">#REF!</definedName>
    <definedName name="FDP_131_1_aUrv" localSheetId="6" hidden="1">#REF!</definedName>
    <definedName name="FDP_131_1_aUrv" localSheetId="8" hidden="1">#REF!</definedName>
    <definedName name="FDP_131_1_aUrv" localSheetId="3" hidden="1">#REF!</definedName>
    <definedName name="FDP_131_1_aUrv" localSheetId="7" hidden="1">#REF!</definedName>
    <definedName name="FDP_131_1_aUrv" localSheetId="12" hidden="1">#REF!</definedName>
    <definedName name="FDP_131_1_aUrv" hidden="1">#REF!</definedName>
    <definedName name="FDP_132_1_aUrv" localSheetId="2" hidden="1">#REF!</definedName>
    <definedName name="FDP_132_1_aUrv" localSheetId="10" hidden="1">#REF!</definedName>
    <definedName name="FDP_132_1_aUrv" localSheetId="6" hidden="1">#REF!</definedName>
    <definedName name="FDP_132_1_aUrv" localSheetId="8" hidden="1">#REF!</definedName>
    <definedName name="FDP_132_1_aUrv" localSheetId="3" hidden="1">#REF!</definedName>
    <definedName name="FDP_132_1_aUrv" localSheetId="7" hidden="1">#REF!</definedName>
    <definedName name="FDP_132_1_aUrv" localSheetId="12" hidden="1">#REF!</definedName>
    <definedName name="FDP_132_1_aUrv" hidden="1">#REF!</definedName>
    <definedName name="FDP_133_1_aUrv" localSheetId="2" hidden="1">#REF!</definedName>
    <definedName name="FDP_133_1_aUrv" localSheetId="10" hidden="1">#REF!</definedName>
    <definedName name="FDP_133_1_aUrv" localSheetId="6" hidden="1">#REF!</definedName>
    <definedName name="FDP_133_1_aUrv" localSheetId="8" hidden="1">#REF!</definedName>
    <definedName name="FDP_133_1_aUrv" localSheetId="3" hidden="1">#REF!</definedName>
    <definedName name="FDP_133_1_aUrv" localSheetId="7" hidden="1">#REF!</definedName>
    <definedName name="FDP_133_1_aUrv" localSheetId="12" hidden="1">#REF!</definedName>
    <definedName name="FDP_133_1_aUrv" hidden="1">#REF!</definedName>
    <definedName name="FDP_134_1_aUrv" localSheetId="2" hidden="1">#REF!</definedName>
    <definedName name="FDP_134_1_aUrv" localSheetId="10" hidden="1">#REF!</definedName>
    <definedName name="FDP_134_1_aUrv" localSheetId="6" hidden="1">#REF!</definedName>
    <definedName name="FDP_134_1_aUrv" localSheetId="8" hidden="1">#REF!</definedName>
    <definedName name="FDP_134_1_aUrv" localSheetId="3" hidden="1">#REF!</definedName>
    <definedName name="FDP_134_1_aUrv" localSheetId="7" hidden="1">#REF!</definedName>
    <definedName name="FDP_134_1_aUrv" localSheetId="12" hidden="1">#REF!</definedName>
    <definedName name="FDP_134_1_aUrv" hidden="1">#REF!</definedName>
    <definedName name="FDP_135_1_aUrv" localSheetId="2" hidden="1">#REF!</definedName>
    <definedName name="FDP_135_1_aUrv" localSheetId="10" hidden="1">#REF!</definedName>
    <definedName name="FDP_135_1_aUrv" localSheetId="6" hidden="1">#REF!</definedName>
    <definedName name="FDP_135_1_aUrv" localSheetId="8" hidden="1">#REF!</definedName>
    <definedName name="FDP_135_1_aUrv" localSheetId="3" hidden="1">#REF!</definedName>
    <definedName name="FDP_135_1_aUrv" localSheetId="7" hidden="1">#REF!</definedName>
    <definedName name="FDP_135_1_aUrv" localSheetId="12" hidden="1">#REF!</definedName>
    <definedName name="FDP_135_1_aUrv" hidden="1">#REF!</definedName>
    <definedName name="FDP_136_1_aSrv" localSheetId="2" hidden="1">#REF!</definedName>
    <definedName name="FDP_136_1_aSrv" localSheetId="10" hidden="1">#REF!</definedName>
    <definedName name="FDP_136_1_aSrv" localSheetId="6" hidden="1">#REF!</definedName>
    <definedName name="FDP_136_1_aSrv" localSheetId="8" hidden="1">#REF!</definedName>
    <definedName name="FDP_136_1_aSrv" localSheetId="3" hidden="1">#REF!</definedName>
    <definedName name="FDP_136_1_aSrv" localSheetId="7" hidden="1">#REF!</definedName>
    <definedName name="FDP_136_1_aSrv" localSheetId="12" hidden="1">#REF!</definedName>
    <definedName name="FDP_136_1_aSrv" hidden="1">#REF!</definedName>
    <definedName name="FDP_137_1_aUrv" localSheetId="2" hidden="1">#REF!</definedName>
    <definedName name="FDP_137_1_aUrv" localSheetId="10" hidden="1">#REF!</definedName>
    <definedName name="FDP_137_1_aUrv" localSheetId="6" hidden="1">#REF!</definedName>
    <definedName name="FDP_137_1_aUrv" localSheetId="8" hidden="1">#REF!</definedName>
    <definedName name="FDP_137_1_aUrv" localSheetId="3" hidden="1">#REF!</definedName>
    <definedName name="FDP_137_1_aUrv" localSheetId="7" hidden="1">#REF!</definedName>
    <definedName name="FDP_137_1_aUrv" localSheetId="12" hidden="1">#REF!</definedName>
    <definedName name="FDP_137_1_aUrv" hidden="1">#REF!</definedName>
    <definedName name="FDP_138_1_aUrv" localSheetId="2" hidden="1">#REF!</definedName>
    <definedName name="FDP_138_1_aUrv" localSheetId="10" hidden="1">#REF!</definedName>
    <definedName name="FDP_138_1_aUrv" localSheetId="6" hidden="1">#REF!</definedName>
    <definedName name="FDP_138_1_aUrv" localSheetId="8" hidden="1">#REF!</definedName>
    <definedName name="FDP_138_1_aUrv" localSheetId="3" hidden="1">#REF!</definedName>
    <definedName name="FDP_138_1_aUrv" localSheetId="7" hidden="1">#REF!</definedName>
    <definedName name="FDP_138_1_aUrv" localSheetId="12" hidden="1">#REF!</definedName>
    <definedName name="FDP_138_1_aUrv" hidden="1">#REF!</definedName>
    <definedName name="FDP_139_1_aUrv" localSheetId="2" hidden="1">#REF!</definedName>
    <definedName name="FDP_139_1_aUrv" localSheetId="10" hidden="1">#REF!</definedName>
    <definedName name="FDP_139_1_aUrv" localSheetId="6" hidden="1">#REF!</definedName>
    <definedName name="FDP_139_1_aUrv" localSheetId="8" hidden="1">#REF!</definedName>
    <definedName name="FDP_139_1_aUrv" localSheetId="3" hidden="1">#REF!</definedName>
    <definedName name="FDP_139_1_aUrv" localSheetId="7" hidden="1">#REF!</definedName>
    <definedName name="FDP_139_1_aUrv" localSheetId="12" hidden="1">#REF!</definedName>
    <definedName name="FDP_139_1_aUrv" hidden="1">#REF!</definedName>
    <definedName name="FDP_14_1_aDrv" localSheetId="2" hidden="1">#REF!</definedName>
    <definedName name="FDP_14_1_aDrv" localSheetId="10" hidden="1">#REF!</definedName>
    <definedName name="FDP_14_1_aDrv" localSheetId="6" hidden="1">#REF!</definedName>
    <definedName name="FDP_14_1_aDrv" localSheetId="8" hidden="1">#REF!</definedName>
    <definedName name="FDP_14_1_aDrv" localSheetId="3" hidden="1">#REF!</definedName>
    <definedName name="FDP_14_1_aDrv" localSheetId="7" hidden="1">#REF!</definedName>
    <definedName name="FDP_14_1_aDrv" localSheetId="12" hidden="1">#REF!</definedName>
    <definedName name="FDP_14_1_aDrv" hidden="1">#REF!</definedName>
    <definedName name="FDP_140_1_aUrv" localSheetId="2" hidden="1">#REF!</definedName>
    <definedName name="FDP_140_1_aUrv" localSheetId="10" hidden="1">#REF!</definedName>
    <definedName name="FDP_140_1_aUrv" localSheetId="6" hidden="1">#REF!</definedName>
    <definedName name="FDP_140_1_aUrv" localSheetId="8" hidden="1">#REF!</definedName>
    <definedName name="FDP_140_1_aUrv" localSheetId="3" hidden="1">#REF!</definedName>
    <definedName name="FDP_140_1_aUrv" localSheetId="7" hidden="1">#REF!</definedName>
    <definedName name="FDP_140_1_aUrv" localSheetId="12" hidden="1">#REF!</definedName>
    <definedName name="FDP_140_1_aUrv" hidden="1">#REF!</definedName>
    <definedName name="FDP_141_1_aSrv" localSheetId="2" hidden="1">#REF!</definedName>
    <definedName name="FDP_141_1_aSrv" localSheetId="10" hidden="1">#REF!</definedName>
    <definedName name="FDP_141_1_aSrv" localSheetId="6" hidden="1">#REF!</definedName>
    <definedName name="FDP_141_1_aSrv" localSheetId="8" hidden="1">#REF!</definedName>
    <definedName name="FDP_141_1_aSrv" localSheetId="3" hidden="1">#REF!</definedName>
    <definedName name="FDP_141_1_aSrv" localSheetId="7" hidden="1">#REF!</definedName>
    <definedName name="FDP_141_1_aSrv" localSheetId="12" hidden="1">#REF!</definedName>
    <definedName name="FDP_141_1_aSrv" hidden="1">#REF!</definedName>
    <definedName name="FDP_142_1_aUrv" localSheetId="2" hidden="1">#REF!</definedName>
    <definedName name="FDP_142_1_aUrv" localSheetId="10" hidden="1">#REF!</definedName>
    <definedName name="FDP_142_1_aUrv" localSheetId="6" hidden="1">#REF!</definedName>
    <definedName name="FDP_142_1_aUrv" localSheetId="8" hidden="1">#REF!</definedName>
    <definedName name="FDP_142_1_aUrv" localSheetId="3" hidden="1">#REF!</definedName>
    <definedName name="FDP_142_1_aUrv" localSheetId="7" hidden="1">#REF!</definedName>
    <definedName name="FDP_142_1_aUrv" localSheetId="12" hidden="1">#REF!</definedName>
    <definedName name="FDP_142_1_aUrv" hidden="1">#REF!</definedName>
    <definedName name="FDP_143_1_aUrv" localSheetId="2" hidden="1">#REF!</definedName>
    <definedName name="FDP_143_1_aUrv" localSheetId="10" hidden="1">#REF!</definedName>
    <definedName name="FDP_143_1_aUrv" localSheetId="6" hidden="1">#REF!</definedName>
    <definedName name="FDP_143_1_aUrv" localSheetId="8" hidden="1">#REF!</definedName>
    <definedName name="FDP_143_1_aUrv" localSheetId="3" hidden="1">#REF!</definedName>
    <definedName name="FDP_143_1_aUrv" localSheetId="7" hidden="1">#REF!</definedName>
    <definedName name="FDP_143_1_aUrv" localSheetId="12" hidden="1">#REF!</definedName>
    <definedName name="FDP_143_1_aUrv" hidden="1">#REF!</definedName>
    <definedName name="FDP_144_1_aUrv" localSheetId="2" hidden="1">#REF!</definedName>
    <definedName name="FDP_144_1_aUrv" localSheetId="10" hidden="1">#REF!</definedName>
    <definedName name="FDP_144_1_aUrv" localSheetId="6" hidden="1">#REF!</definedName>
    <definedName name="FDP_144_1_aUrv" localSheetId="8" hidden="1">#REF!</definedName>
    <definedName name="FDP_144_1_aUrv" localSheetId="3" hidden="1">#REF!</definedName>
    <definedName name="FDP_144_1_aUrv" localSheetId="7" hidden="1">#REF!</definedName>
    <definedName name="FDP_144_1_aUrv" localSheetId="12" hidden="1">#REF!</definedName>
    <definedName name="FDP_144_1_aUrv" hidden="1">#REF!</definedName>
    <definedName name="FDP_145_1_aUrv" localSheetId="2" hidden="1">#REF!</definedName>
    <definedName name="FDP_145_1_aUrv" localSheetId="10" hidden="1">#REF!</definedName>
    <definedName name="FDP_145_1_aUrv" localSheetId="6" hidden="1">#REF!</definedName>
    <definedName name="FDP_145_1_aUrv" localSheetId="8" hidden="1">#REF!</definedName>
    <definedName name="FDP_145_1_aUrv" localSheetId="3" hidden="1">#REF!</definedName>
    <definedName name="FDP_145_1_aUrv" localSheetId="7" hidden="1">#REF!</definedName>
    <definedName name="FDP_145_1_aUrv" localSheetId="12" hidden="1">#REF!</definedName>
    <definedName name="FDP_145_1_aUrv" hidden="1">#REF!</definedName>
    <definedName name="FDP_146_1_aUrv" localSheetId="2" hidden="1">#REF!</definedName>
    <definedName name="FDP_146_1_aUrv" localSheetId="10" hidden="1">#REF!</definedName>
    <definedName name="FDP_146_1_aUrv" localSheetId="6" hidden="1">#REF!</definedName>
    <definedName name="FDP_146_1_aUrv" localSheetId="8" hidden="1">#REF!</definedName>
    <definedName name="FDP_146_1_aUrv" localSheetId="3" hidden="1">#REF!</definedName>
    <definedName name="FDP_146_1_aUrv" localSheetId="7" hidden="1">#REF!</definedName>
    <definedName name="FDP_146_1_aUrv" localSheetId="12" hidden="1">#REF!</definedName>
    <definedName name="FDP_146_1_aUrv" hidden="1">#REF!</definedName>
    <definedName name="FDP_147_1_aUrv" localSheetId="2" hidden="1">#REF!</definedName>
    <definedName name="FDP_147_1_aUrv" localSheetId="10" hidden="1">#REF!</definedName>
    <definedName name="FDP_147_1_aUrv" localSheetId="6" hidden="1">#REF!</definedName>
    <definedName name="FDP_147_1_aUrv" localSheetId="8" hidden="1">#REF!</definedName>
    <definedName name="FDP_147_1_aUrv" localSheetId="3" hidden="1">#REF!</definedName>
    <definedName name="FDP_147_1_aUrv" localSheetId="7" hidden="1">#REF!</definedName>
    <definedName name="FDP_147_1_aUrv" localSheetId="12" hidden="1">#REF!</definedName>
    <definedName name="FDP_147_1_aUrv" hidden="1">#REF!</definedName>
    <definedName name="FDP_148_1_aUrv" localSheetId="2" hidden="1">#REF!</definedName>
    <definedName name="FDP_148_1_aUrv" localSheetId="10" hidden="1">#REF!</definedName>
    <definedName name="FDP_148_1_aUrv" localSheetId="6" hidden="1">#REF!</definedName>
    <definedName name="FDP_148_1_aUrv" localSheetId="8" hidden="1">#REF!</definedName>
    <definedName name="FDP_148_1_aUrv" localSheetId="3" hidden="1">#REF!</definedName>
    <definedName name="FDP_148_1_aUrv" localSheetId="7" hidden="1">#REF!</definedName>
    <definedName name="FDP_148_1_aUrv" localSheetId="12" hidden="1">#REF!</definedName>
    <definedName name="FDP_148_1_aUrv" hidden="1">#REF!</definedName>
    <definedName name="FDP_149_1_aUrv" localSheetId="2" hidden="1">#REF!</definedName>
    <definedName name="FDP_149_1_aUrv" localSheetId="10" hidden="1">#REF!</definedName>
    <definedName name="FDP_149_1_aUrv" localSheetId="6" hidden="1">#REF!</definedName>
    <definedName name="FDP_149_1_aUrv" localSheetId="8" hidden="1">#REF!</definedName>
    <definedName name="FDP_149_1_aUrv" localSheetId="3" hidden="1">#REF!</definedName>
    <definedName name="FDP_149_1_aUrv" localSheetId="7" hidden="1">#REF!</definedName>
    <definedName name="FDP_149_1_aUrv" localSheetId="12" hidden="1">#REF!</definedName>
    <definedName name="FDP_149_1_aUrv" hidden="1">#REF!</definedName>
    <definedName name="FDP_15_1_aUrv" localSheetId="2" hidden="1">#REF!</definedName>
    <definedName name="FDP_15_1_aUrv" localSheetId="10" hidden="1">#REF!</definedName>
    <definedName name="FDP_15_1_aUrv" localSheetId="6" hidden="1">#REF!</definedName>
    <definedName name="FDP_15_1_aUrv" localSheetId="8" hidden="1">#REF!</definedName>
    <definedName name="FDP_15_1_aUrv" localSheetId="3" hidden="1">#REF!</definedName>
    <definedName name="FDP_15_1_aUrv" localSheetId="7" hidden="1">#REF!</definedName>
    <definedName name="FDP_15_1_aUrv" localSheetId="12" hidden="1">#REF!</definedName>
    <definedName name="FDP_15_1_aUrv" hidden="1">#REF!</definedName>
    <definedName name="FDP_150_1_aUrv" localSheetId="2" hidden="1">#REF!</definedName>
    <definedName name="FDP_150_1_aUrv" localSheetId="10" hidden="1">#REF!</definedName>
    <definedName name="FDP_150_1_aUrv" localSheetId="6" hidden="1">#REF!</definedName>
    <definedName name="FDP_150_1_aUrv" localSheetId="8" hidden="1">#REF!</definedName>
    <definedName name="FDP_150_1_aUrv" localSheetId="3" hidden="1">#REF!</definedName>
    <definedName name="FDP_150_1_aUrv" localSheetId="7" hidden="1">#REF!</definedName>
    <definedName name="FDP_150_1_aUrv" localSheetId="12" hidden="1">#REF!</definedName>
    <definedName name="FDP_150_1_aUrv" hidden="1">#REF!</definedName>
    <definedName name="FDP_151_1_aUrv" localSheetId="2" hidden="1">#REF!</definedName>
    <definedName name="FDP_151_1_aUrv" localSheetId="10" hidden="1">#REF!</definedName>
    <definedName name="FDP_151_1_aUrv" localSheetId="6" hidden="1">#REF!</definedName>
    <definedName name="FDP_151_1_aUrv" localSheetId="8" hidden="1">#REF!</definedName>
    <definedName name="FDP_151_1_aUrv" localSheetId="3" hidden="1">#REF!</definedName>
    <definedName name="FDP_151_1_aUrv" localSheetId="7" hidden="1">#REF!</definedName>
    <definedName name="FDP_151_1_aUrv" localSheetId="12" hidden="1">#REF!</definedName>
    <definedName name="FDP_151_1_aUrv" hidden="1">#REF!</definedName>
    <definedName name="FDP_152_1_aUrv" localSheetId="2" hidden="1">#REF!</definedName>
    <definedName name="FDP_152_1_aUrv" localSheetId="10" hidden="1">#REF!</definedName>
    <definedName name="FDP_152_1_aUrv" localSheetId="6" hidden="1">#REF!</definedName>
    <definedName name="FDP_152_1_aUrv" localSheetId="8" hidden="1">#REF!</definedName>
    <definedName name="FDP_152_1_aUrv" localSheetId="3" hidden="1">#REF!</definedName>
    <definedName name="FDP_152_1_aUrv" localSheetId="7" hidden="1">#REF!</definedName>
    <definedName name="FDP_152_1_aUrv" localSheetId="12" hidden="1">#REF!</definedName>
    <definedName name="FDP_152_1_aUrv" hidden="1">#REF!</definedName>
    <definedName name="FDP_153_1_aUrv" localSheetId="2" hidden="1">#REF!</definedName>
    <definedName name="FDP_153_1_aUrv" localSheetId="10" hidden="1">#REF!</definedName>
    <definedName name="FDP_153_1_aUrv" localSheetId="6" hidden="1">#REF!</definedName>
    <definedName name="FDP_153_1_aUrv" localSheetId="8" hidden="1">#REF!</definedName>
    <definedName name="FDP_153_1_aUrv" localSheetId="3" hidden="1">#REF!</definedName>
    <definedName name="FDP_153_1_aUrv" localSheetId="7" hidden="1">#REF!</definedName>
    <definedName name="FDP_153_1_aUrv" localSheetId="12" hidden="1">#REF!</definedName>
    <definedName name="FDP_153_1_aUrv" hidden="1">#REF!</definedName>
    <definedName name="FDP_154_1_aUrv" localSheetId="2" hidden="1">#REF!</definedName>
    <definedName name="FDP_154_1_aUrv" localSheetId="10" hidden="1">#REF!</definedName>
    <definedName name="FDP_154_1_aUrv" localSheetId="6" hidden="1">#REF!</definedName>
    <definedName name="FDP_154_1_aUrv" localSheetId="8" hidden="1">#REF!</definedName>
    <definedName name="FDP_154_1_aUrv" localSheetId="3" hidden="1">#REF!</definedName>
    <definedName name="FDP_154_1_aUrv" localSheetId="7" hidden="1">#REF!</definedName>
    <definedName name="FDP_154_1_aUrv" localSheetId="12" hidden="1">#REF!</definedName>
    <definedName name="FDP_154_1_aUrv" hidden="1">#REF!</definedName>
    <definedName name="FDP_155_1_aSrv" localSheetId="2" hidden="1">#REF!</definedName>
    <definedName name="FDP_155_1_aSrv" localSheetId="10" hidden="1">#REF!</definedName>
    <definedName name="FDP_155_1_aSrv" localSheetId="6" hidden="1">#REF!</definedName>
    <definedName name="FDP_155_1_aSrv" localSheetId="8" hidden="1">#REF!</definedName>
    <definedName name="FDP_155_1_aSrv" localSheetId="3" hidden="1">#REF!</definedName>
    <definedName name="FDP_155_1_aSrv" localSheetId="7" hidden="1">#REF!</definedName>
    <definedName name="FDP_155_1_aSrv" localSheetId="12" hidden="1">#REF!</definedName>
    <definedName name="FDP_155_1_aSrv" hidden="1">#REF!</definedName>
    <definedName name="FDP_156_1_aUrv" localSheetId="2" hidden="1">#REF!</definedName>
    <definedName name="FDP_156_1_aUrv" localSheetId="10" hidden="1">#REF!</definedName>
    <definedName name="FDP_156_1_aUrv" localSheetId="6" hidden="1">#REF!</definedName>
    <definedName name="FDP_156_1_aUrv" localSheetId="8" hidden="1">#REF!</definedName>
    <definedName name="FDP_156_1_aUrv" localSheetId="3" hidden="1">#REF!</definedName>
    <definedName name="FDP_156_1_aUrv" localSheetId="7" hidden="1">#REF!</definedName>
    <definedName name="FDP_156_1_aUrv" localSheetId="12" hidden="1">#REF!</definedName>
    <definedName name="FDP_156_1_aUrv" hidden="1">#REF!</definedName>
    <definedName name="FDP_157_1_aSrv" localSheetId="2" hidden="1">#REF!</definedName>
    <definedName name="FDP_157_1_aSrv" localSheetId="10" hidden="1">#REF!</definedName>
    <definedName name="FDP_157_1_aSrv" localSheetId="6" hidden="1">#REF!</definedName>
    <definedName name="FDP_157_1_aSrv" localSheetId="8" hidden="1">#REF!</definedName>
    <definedName name="FDP_157_1_aSrv" localSheetId="3" hidden="1">#REF!</definedName>
    <definedName name="FDP_157_1_aSrv" localSheetId="7" hidden="1">#REF!</definedName>
    <definedName name="FDP_157_1_aSrv" localSheetId="12" hidden="1">#REF!</definedName>
    <definedName name="FDP_157_1_aSrv" hidden="1">#REF!</definedName>
    <definedName name="FDP_158_1_aUrv" localSheetId="2" hidden="1">#REF!</definedName>
    <definedName name="FDP_158_1_aUrv" localSheetId="10" hidden="1">#REF!</definedName>
    <definedName name="FDP_158_1_aUrv" localSheetId="6" hidden="1">#REF!</definedName>
    <definedName name="FDP_158_1_aUrv" localSheetId="8" hidden="1">#REF!</definedName>
    <definedName name="FDP_158_1_aUrv" localSheetId="3" hidden="1">#REF!</definedName>
    <definedName name="FDP_158_1_aUrv" localSheetId="7" hidden="1">#REF!</definedName>
    <definedName name="FDP_158_1_aUrv" localSheetId="12" hidden="1">#REF!</definedName>
    <definedName name="FDP_158_1_aUrv" hidden="1">#REF!</definedName>
    <definedName name="FDP_159_1_aSrv" localSheetId="2" hidden="1">#REF!</definedName>
    <definedName name="FDP_159_1_aSrv" localSheetId="10" hidden="1">#REF!</definedName>
    <definedName name="FDP_159_1_aSrv" localSheetId="6" hidden="1">#REF!</definedName>
    <definedName name="FDP_159_1_aSrv" localSheetId="8" hidden="1">#REF!</definedName>
    <definedName name="FDP_159_1_aSrv" localSheetId="3" hidden="1">#REF!</definedName>
    <definedName name="FDP_159_1_aSrv" localSheetId="7" hidden="1">#REF!</definedName>
    <definedName name="FDP_159_1_aSrv" localSheetId="12" hidden="1">#REF!</definedName>
    <definedName name="FDP_159_1_aSrv" hidden="1">#REF!</definedName>
    <definedName name="FDP_16_1_aDrv" localSheetId="2" hidden="1">#REF!</definedName>
    <definedName name="FDP_16_1_aDrv" localSheetId="10" hidden="1">#REF!</definedName>
    <definedName name="FDP_16_1_aDrv" localSheetId="6" hidden="1">#REF!</definedName>
    <definedName name="FDP_16_1_aDrv" localSheetId="8" hidden="1">#REF!</definedName>
    <definedName name="FDP_16_1_aDrv" localSheetId="3" hidden="1">#REF!</definedName>
    <definedName name="FDP_16_1_aDrv" localSheetId="7" hidden="1">#REF!</definedName>
    <definedName name="FDP_16_1_aDrv" localSheetId="12" hidden="1">#REF!</definedName>
    <definedName name="FDP_16_1_aDrv" hidden="1">#REF!</definedName>
    <definedName name="FDP_160_1_aUrv" localSheetId="2" hidden="1">#REF!</definedName>
    <definedName name="FDP_160_1_aUrv" localSheetId="10" hidden="1">#REF!</definedName>
    <definedName name="FDP_160_1_aUrv" localSheetId="6" hidden="1">#REF!</definedName>
    <definedName name="FDP_160_1_aUrv" localSheetId="8" hidden="1">#REF!</definedName>
    <definedName name="FDP_160_1_aUrv" localSheetId="3" hidden="1">#REF!</definedName>
    <definedName name="FDP_160_1_aUrv" localSheetId="7" hidden="1">#REF!</definedName>
    <definedName name="FDP_160_1_aUrv" localSheetId="12" hidden="1">#REF!</definedName>
    <definedName name="FDP_160_1_aUrv" hidden="1">#REF!</definedName>
    <definedName name="FDP_161_1_aSrv" localSheetId="2" hidden="1">#REF!</definedName>
    <definedName name="FDP_161_1_aSrv" localSheetId="10" hidden="1">#REF!</definedName>
    <definedName name="FDP_161_1_aSrv" localSheetId="6" hidden="1">#REF!</definedName>
    <definedName name="FDP_161_1_aSrv" localSheetId="8" hidden="1">#REF!</definedName>
    <definedName name="FDP_161_1_aSrv" localSheetId="3" hidden="1">#REF!</definedName>
    <definedName name="FDP_161_1_aSrv" localSheetId="7" hidden="1">#REF!</definedName>
    <definedName name="FDP_161_1_aSrv" localSheetId="12" hidden="1">#REF!</definedName>
    <definedName name="FDP_161_1_aSrv" hidden="1">#REF!</definedName>
    <definedName name="FDP_162_1_aUrv" localSheetId="2" hidden="1">#REF!</definedName>
    <definedName name="FDP_162_1_aUrv" localSheetId="10" hidden="1">#REF!</definedName>
    <definedName name="FDP_162_1_aUrv" localSheetId="6" hidden="1">#REF!</definedName>
    <definedName name="FDP_162_1_aUrv" localSheetId="8" hidden="1">#REF!</definedName>
    <definedName name="FDP_162_1_aUrv" localSheetId="3" hidden="1">#REF!</definedName>
    <definedName name="FDP_162_1_aUrv" localSheetId="7" hidden="1">#REF!</definedName>
    <definedName name="FDP_162_1_aUrv" localSheetId="12" hidden="1">#REF!</definedName>
    <definedName name="FDP_162_1_aUrv" hidden="1">#REF!</definedName>
    <definedName name="FDP_163_1_aSrv" localSheetId="2" hidden="1">#REF!</definedName>
    <definedName name="FDP_163_1_aSrv" localSheetId="10" hidden="1">#REF!</definedName>
    <definedName name="FDP_163_1_aSrv" localSheetId="6" hidden="1">#REF!</definedName>
    <definedName name="FDP_163_1_aSrv" localSheetId="8" hidden="1">#REF!</definedName>
    <definedName name="FDP_163_1_aSrv" localSheetId="3" hidden="1">#REF!</definedName>
    <definedName name="FDP_163_1_aSrv" localSheetId="7" hidden="1">#REF!</definedName>
    <definedName name="FDP_163_1_aSrv" localSheetId="12" hidden="1">#REF!</definedName>
    <definedName name="FDP_163_1_aSrv" hidden="1">#REF!</definedName>
    <definedName name="FDP_164_1_aUrv" localSheetId="2" hidden="1">#REF!</definedName>
    <definedName name="FDP_164_1_aUrv" localSheetId="10" hidden="1">#REF!</definedName>
    <definedName name="FDP_164_1_aUrv" localSheetId="6" hidden="1">#REF!</definedName>
    <definedName name="FDP_164_1_aUrv" localSheetId="8" hidden="1">#REF!</definedName>
    <definedName name="FDP_164_1_aUrv" localSheetId="3" hidden="1">#REF!</definedName>
    <definedName name="FDP_164_1_aUrv" localSheetId="7" hidden="1">#REF!</definedName>
    <definedName name="FDP_164_1_aUrv" localSheetId="12" hidden="1">#REF!</definedName>
    <definedName name="FDP_164_1_aUrv" hidden="1">#REF!</definedName>
    <definedName name="FDP_165_1_aSrv" localSheetId="2" hidden="1">#REF!</definedName>
    <definedName name="FDP_165_1_aSrv" localSheetId="10" hidden="1">#REF!</definedName>
    <definedName name="FDP_165_1_aSrv" localSheetId="6" hidden="1">#REF!</definedName>
    <definedName name="FDP_165_1_aSrv" localSheetId="8" hidden="1">#REF!</definedName>
    <definedName name="FDP_165_1_aSrv" localSheetId="3" hidden="1">#REF!</definedName>
    <definedName name="FDP_165_1_aSrv" localSheetId="7" hidden="1">#REF!</definedName>
    <definedName name="FDP_165_1_aSrv" localSheetId="12" hidden="1">#REF!</definedName>
    <definedName name="FDP_165_1_aSrv" hidden="1">#REF!</definedName>
    <definedName name="FDP_166_1_aDrv" localSheetId="2" hidden="1">#REF!</definedName>
    <definedName name="FDP_166_1_aDrv" localSheetId="10" hidden="1">#REF!</definedName>
    <definedName name="FDP_166_1_aDrv" localSheetId="6" hidden="1">#REF!</definedName>
    <definedName name="FDP_166_1_aDrv" localSheetId="8" hidden="1">#REF!</definedName>
    <definedName name="FDP_166_1_aDrv" localSheetId="3" hidden="1">#REF!</definedName>
    <definedName name="FDP_166_1_aDrv" localSheetId="7" hidden="1">#REF!</definedName>
    <definedName name="FDP_166_1_aDrv" localSheetId="12" hidden="1">#REF!</definedName>
    <definedName name="FDP_166_1_aDrv" hidden="1">#REF!</definedName>
    <definedName name="FDP_167_1_aDrv" localSheetId="2" hidden="1">#REF!</definedName>
    <definedName name="FDP_167_1_aDrv" localSheetId="10" hidden="1">#REF!</definedName>
    <definedName name="FDP_167_1_aDrv" localSheetId="6" hidden="1">#REF!</definedName>
    <definedName name="FDP_167_1_aDrv" localSheetId="8" hidden="1">#REF!</definedName>
    <definedName name="FDP_167_1_aDrv" localSheetId="3" hidden="1">#REF!</definedName>
    <definedName name="FDP_167_1_aDrv" localSheetId="7" hidden="1">#REF!</definedName>
    <definedName name="FDP_167_1_aDrv" localSheetId="12" hidden="1">#REF!</definedName>
    <definedName name="FDP_167_1_aDrv" hidden="1">#REF!</definedName>
    <definedName name="FDP_168_1_aDrv" localSheetId="2" hidden="1">#REF!</definedName>
    <definedName name="FDP_168_1_aDrv" localSheetId="10" hidden="1">#REF!</definedName>
    <definedName name="FDP_168_1_aDrv" localSheetId="6" hidden="1">#REF!</definedName>
    <definedName name="FDP_168_1_aDrv" localSheetId="8" hidden="1">#REF!</definedName>
    <definedName name="FDP_168_1_aDrv" localSheetId="3" hidden="1">#REF!</definedName>
    <definedName name="FDP_168_1_aDrv" localSheetId="7" hidden="1">#REF!</definedName>
    <definedName name="FDP_168_1_aDrv" localSheetId="12" hidden="1">#REF!</definedName>
    <definedName name="FDP_168_1_aDrv" hidden="1">#REF!</definedName>
    <definedName name="FDP_169_1_aDrv" localSheetId="2" hidden="1">#REF!</definedName>
    <definedName name="FDP_169_1_aDrv" localSheetId="10" hidden="1">#REF!</definedName>
    <definedName name="FDP_169_1_aDrv" localSheetId="6" hidden="1">#REF!</definedName>
    <definedName name="FDP_169_1_aDrv" localSheetId="8" hidden="1">#REF!</definedName>
    <definedName name="FDP_169_1_aDrv" localSheetId="3" hidden="1">#REF!</definedName>
    <definedName name="FDP_169_1_aDrv" localSheetId="7" hidden="1">#REF!</definedName>
    <definedName name="FDP_169_1_aDrv" localSheetId="12" hidden="1">#REF!</definedName>
    <definedName name="FDP_169_1_aDrv" hidden="1">#REF!</definedName>
    <definedName name="FDP_17_1_aUrv" localSheetId="2" hidden="1">#REF!</definedName>
    <definedName name="FDP_17_1_aUrv" localSheetId="10" hidden="1">#REF!</definedName>
    <definedName name="FDP_17_1_aUrv" localSheetId="6" hidden="1">#REF!</definedName>
    <definedName name="FDP_17_1_aUrv" localSheetId="8" hidden="1">#REF!</definedName>
    <definedName name="FDP_17_1_aUrv" localSheetId="3" hidden="1">#REF!</definedName>
    <definedName name="FDP_17_1_aUrv" localSheetId="7" hidden="1">#REF!</definedName>
    <definedName name="FDP_17_1_aUrv" localSheetId="12" hidden="1">#REF!</definedName>
    <definedName name="FDP_17_1_aUrv" hidden="1">#REF!</definedName>
    <definedName name="FDP_170_1_aDrv" localSheetId="2" hidden="1">#REF!</definedName>
    <definedName name="FDP_170_1_aDrv" localSheetId="10" hidden="1">#REF!</definedName>
    <definedName name="FDP_170_1_aDrv" localSheetId="6" hidden="1">#REF!</definedName>
    <definedName name="FDP_170_1_aDrv" localSheetId="8" hidden="1">#REF!</definedName>
    <definedName name="FDP_170_1_aDrv" localSheetId="3" hidden="1">#REF!</definedName>
    <definedName name="FDP_170_1_aDrv" localSheetId="7" hidden="1">#REF!</definedName>
    <definedName name="FDP_170_1_aDrv" localSheetId="12" hidden="1">#REF!</definedName>
    <definedName name="FDP_170_1_aDrv" hidden="1">#REF!</definedName>
    <definedName name="FDP_171_1_aDrv" localSheetId="2" hidden="1">#REF!</definedName>
    <definedName name="FDP_171_1_aDrv" localSheetId="10" hidden="1">#REF!</definedName>
    <definedName name="FDP_171_1_aDrv" localSheetId="6" hidden="1">#REF!</definedName>
    <definedName name="FDP_171_1_aDrv" localSheetId="8" hidden="1">#REF!</definedName>
    <definedName name="FDP_171_1_aDrv" localSheetId="3" hidden="1">#REF!</definedName>
    <definedName name="FDP_171_1_aDrv" localSheetId="7" hidden="1">#REF!</definedName>
    <definedName name="FDP_171_1_aDrv" localSheetId="12" hidden="1">#REF!</definedName>
    <definedName name="FDP_171_1_aDrv" hidden="1">#REF!</definedName>
    <definedName name="FDP_172_1_aDrv" localSheetId="2" hidden="1">#REF!</definedName>
    <definedName name="FDP_172_1_aDrv" localSheetId="10" hidden="1">#REF!</definedName>
    <definedName name="FDP_172_1_aDrv" localSheetId="6" hidden="1">#REF!</definedName>
    <definedName name="FDP_172_1_aDrv" localSheetId="8" hidden="1">#REF!</definedName>
    <definedName name="FDP_172_1_aDrv" localSheetId="3" hidden="1">#REF!</definedName>
    <definedName name="FDP_172_1_aDrv" localSheetId="7" hidden="1">#REF!</definedName>
    <definedName name="FDP_172_1_aDrv" localSheetId="12" hidden="1">#REF!</definedName>
    <definedName name="FDP_172_1_aDrv" hidden="1">#REF!</definedName>
    <definedName name="FDP_173_1_aDrv" localSheetId="2" hidden="1">#REF!</definedName>
    <definedName name="FDP_173_1_aDrv" localSheetId="10" hidden="1">#REF!</definedName>
    <definedName name="FDP_173_1_aDrv" localSheetId="6" hidden="1">#REF!</definedName>
    <definedName name="FDP_173_1_aDrv" localSheetId="8" hidden="1">#REF!</definedName>
    <definedName name="FDP_173_1_aDrv" localSheetId="3" hidden="1">#REF!</definedName>
    <definedName name="FDP_173_1_aDrv" localSheetId="7" hidden="1">#REF!</definedName>
    <definedName name="FDP_173_1_aDrv" localSheetId="12" hidden="1">#REF!</definedName>
    <definedName name="FDP_173_1_aDrv" hidden="1">#REF!</definedName>
    <definedName name="FDP_174_1_aDrv" localSheetId="2" hidden="1">#REF!</definedName>
    <definedName name="FDP_174_1_aDrv" localSheetId="10" hidden="1">#REF!</definedName>
    <definedName name="FDP_174_1_aDrv" localSheetId="6" hidden="1">#REF!</definedName>
    <definedName name="FDP_174_1_aDrv" localSheetId="8" hidden="1">#REF!</definedName>
    <definedName name="FDP_174_1_aDrv" localSheetId="3" hidden="1">#REF!</definedName>
    <definedName name="FDP_174_1_aDrv" localSheetId="7" hidden="1">#REF!</definedName>
    <definedName name="FDP_174_1_aDrv" localSheetId="12" hidden="1">#REF!</definedName>
    <definedName name="FDP_174_1_aDrv" hidden="1">#REF!</definedName>
    <definedName name="FDP_175_1_aDrv" localSheetId="2" hidden="1">#REF!</definedName>
    <definedName name="FDP_175_1_aDrv" localSheetId="10" hidden="1">#REF!</definedName>
    <definedName name="FDP_175_1_aDrv" localSheetId="6" hidden="1">#REF!</definedName>
    <definedName name="FDP_175_1_aDrv" localSheetId="8" hidden="1">#REF!</definedName>
    <definedName name="FDP_175_1_aDrv" localSheetId="3" hidden="1">#REF!</definedName>
    <definedName name="FDP_175_1_aDrv" localSheetId="7" hidden="1">#REF!</definedName>
    <definedName name="FDP_175_1_aDrv" localSheetId="12" hidden="1">#REF!</definedName>
    <definedName name="FDP_175_1_aDrv" hidden="1">#REF!</definedName>
    <definedName name="FDP_176_1_aDrv" localSheetId="2" hidden="1">#REF!</definedName>
    <definedName name="FDP_176_1_aDrv" localSheetId="10" hidden="1">#REF!</definedName>
    <definedName name="FDP_176_1_aDrv" localSheetId="6" hidden="1">#REF!</definedName>
    <definedName name="FDP_176_1_aDrv" localSheetId="8" hidden="1">#REF!</definedName>
    <definedName name="FDP_176_1_aDrv" localSheetId="3" hidden="1">#REF!</definedName>
    <definedName name="FDP_176_1_aDrv" localSheetId="7" hidden="1">#REF!</definedName>
    <definedName name="FDP_176_1_aDrv" localSheetId="12" hidden="1">#REF!</definedName>
    <definedName name="FDP_176_1_aDrv" hidden="1">#REF!</definedName>
    <definedName name="FDP_177_1_aDrv" localSheetId="2" hidden="1">#REF!</definedName>
    <definedName name="FDP_177_1_aDrv" localSheetId="10" hidden="1">#REF!</definedName>
    <definedName name="FDP_177_1_aDrv" localSheetId="6" hidden="1">#REF!</definedName>
    <definedName name="FDP_177_1_aDrv" localSheetId="8" hidden="1">#REF!</definedName>
    <definedName name="FDP_177_1_aDrv" localSheetId="3" hidden="1">#REF!</definedName>
    <definedName name="FDP_177_1_aDrv" localSheetId="7" hidden="1">#REF!</definedName>
    <definedName name="FDP_177_1_aDrv" localSheetId="12" hidden="1">#REF!</definedName>
    <definedName name="FDP_177_1_aDrv" hidden="1">#REF!</definedName>
    <definedName name="FDP_178_1_aDrv" localSheetId="2" hidden="1">#REF!</definedName>
    <definedName name="FDP_178_1_aDrv" localSheetId="10" hidden="1">#REF!</definedName>
    <definedName name="FDP_178_1_aDrv" localSheetId="6" hidden="1">#REF!</definedName>
    <definedName name="FDP_178_1_aDrv" localSheetId="8" hidden="1">#REF!</definedName>
    <definedName name="FDP_178_1_aDrv" localSheetId="3" hidden="1">#REF!</definedName>
    <definedName name="FDP_178_1_aDrv" localSheetId="7" hidden="1">#REF!</definedName>
    <definedName name="FDP_178_1_aDrv" localSheetId="12" hidden="1">#REF!</definedName>
    <definedName name="FDP_178_1_aDrv" hidden="1">#REF!</definedName>
    <definedName name="FDP_179_1_aUrv" localSheetId="2" hidden="1">#REF!</definedName>
    <definedName name="FDP_179_1_aUrv" localSheetId="10" hidden="1">#REF!</definedName>
    <definedName name="FDP_179_1_aUrv" localSheetId="6" hidden="1">#REF!</definedName>
    <definedName name="FDP_179_1_aUrv" localSheetId="8" hidden="1">#REF!</definedName>
    <definedName name="FDP_179_1_aUrv" localSheetId="3" hidden="1">#REF!</definedName>
    <definedName name="FDP_179_1_aUrv" localSheetId="7" hidden="1">#REF!</definedName>
    <definedName name="FDP_179_1_aUrv" localSheetId="12" hidden="1">#REF!</definedName>
    <definedName name="FDP_179_1_aUrv" hidden="1">#REF!</definedName>
    <definedName name="FDP_18_1_aUrv" localSheetId="2" hidden="1">#REF!</definedName>
    <definedName name="FDP_18_1_aUrv" localSheetId="10" hidden="1">#REF!</definedName>
    <definedName name="FDP_18_1_aUrv" localSheetId="6" hidden="1">#REF!</definedName>
    <definedName name="FDP_18_1_aUrv" localSheetId="8" hidden="1">#REF!</definedName>
    <definedName name="FDP_18_1_aUrv" localSheetId="3" hidden="1">#REF!</definedName>
    <definedName name="FDP_18_1_aUrv" localSheetId="7" hidden="1">#REF!</definedName>
    <definedName name="FDP_18_1_aUrv" localSheetId="12" hidden="1">#REF!</definedName>
    <definedName name="FDP_18_1_aUrv" hidden="1">#REF!</definedName>
    <definedName name="FDP_180_1_aUrv" localSheetId="2" hidden="1">#REF!</definedName>
    <definedName name="FDP_180_1_aUrv" localSheetId="10" hidden="1">#REF!</definedName>
    <definedName name="FDP_180_1_aUrv" localSheetId="6" hidden="1">#REF!</definedName>
    <definedName name="FDP_180_1_aUrv" localSheetId="8" hidden="1">#REF!</definedName>
    <definedName name="FDP_180_1_aUrv" localSheetId="3" hidden="1">#REF!</definedName>
    <definedName name="FDP_180_1_aUrv" localSheetId="7" hidden="1">#REF!</definedName>
    <definedName name="FDP_180_1_aUrv" localSheetId="12" hidden="1">#REF!</definedName>
    <definedName name="FDP_180_1_aUrv" hidden="1">#REF!</definedName>
    <definedName name="FDP_181_1_aUrv" localSheetId="2" hidden="1">#REF!</definedName>
    <definedName name="FDP_181_1_aUrv" localSheetId="10" hidden="1">#REF!</definedName>
    <definedName name="FDP_181_1_aUrv" localSheetId="6" hidden="1">#REF!</definedName>
    <definedName name="FDP_181_1_aUrv" localSheetId="8" hidden="1">#REF!</definedName>
    <definedName name="FDP_181_1_aUrv" localSheetId="3" hidden="1">#REF!</definedName>
    <definedName name="FDP_181_1_aUrv" localSheetId="7" hidden="1">#REF!</definedName>
    <definedName name="FDP_181_1_aUrv" localSheetId="12" hidden="1">#REF!</definedName>
    <definedName name="FDP_181_1_aUrv" hidden="1">#REF!</definedName>
    <definedName name="FDP_182_1_aDrv" localSheetId="2" hidden="1">#REF!</definedName>
    <definedName name="FDP_182_1_aDrv" localSheetId="10" hidden="1">#REF!</definedName>
    <definedName name="FDP_182_1_aDrv" localSheetId="6" hidden="1">#REF!</definedName>
    <definedName name="FDP_182_1_aDrv" localSheetId="8" hidden="1">#REF!</definedName>
    <definedName name="FDP_182_1_aDrv" localSheetId="3" hidden="1">#REF!</definedName>
    <definedName name="FDP_182_1_aDrv" localSheetId="7" hidden="1">#REF!</definedName>
    <definedName name="FDP_182_1_aDrv" localSheetId="12" hidden="1">#REF!</definedName>
    <definedName name="FDP_182_1_aDrv" hidden="1">#REF!</definedName>
    <definedName name="FDP_183_1_aDrv" localSheetId="2" hidden="1">#REF!</definedName>
    <definedName name="FDP_183_1_aDrv" localSheetId="10" hidden="1">#REF!</definedName>
    <definedName name="FDP_183_1_aDrv" localSheetId="6" hidden="1">#REF!</definedName>
    <definedName name="FDP_183_1_aDrv" localSheetId="8" hidden="1">#REF!</definedName>
    <definedName name="FDP_183_1_aDrv" localSheetId="3" hidden="1">#REF!</definedName>
    <definedName name="FDP_183_1_aDrv" localSheetId="7" hidden="1">#REF!</definedName>
    <definedName name="FDP_183_1_aDrv" localSheetId="12" hidden="1">#REF!</definedName>
    <definedName name="FDP_183_1_aDrv" hidden="1">#REF!</definedName>
    <definedName name="FDP_184_1_aUdv" localSheetId="2" hidden="1">#REF!</definedName>
    <definedName name="FDP_184_1_aUdv" localSheetId="10" hidden="1">#REF!</definedName>
    <definedName name="FDP_184_1_aUdv" localSheetId="6" hidden="1">#REF!</definedName>
    <definedName name="FDP_184_1_aUdv" localSheetId="8" hidden="1">#REF!</definedName>
    <definedName name="FDP_184_1_aUdv" localSheetId="3" hidden="1">#REF!</definedName>
    <definedName name="FDP_184_1_aUdv" localSheetId="7" hidden="1">#REF!</definedName>
    <definedName name="FDP_184_1_aUdv" localSheetId="12" hidden="1">#REF!</definedName>
    <definedName name="FDP_184_1_aUdv" hidden="1">#REF!</definedName>
    <definedName name="FDP_185_1_aUdv" localSheetId="2" hidden="1">#REF!</definedName>
    <definedName name="FDP_185_1_aUdv" localSheetId="10" hidden="1">#REF!</definedName>
    <definedName name="FDP_185_1_aUdv" localSheetId="6" hidden="1">#REF!</definedName>
    <definedName name="FDP_185_1_aUdv" localSheetId="8" hidden="1">#REF!</definedName>
    <definedName name="FDP_185_1_aUdv" localSheetId="3" hidden="1">#REF!</definedName>
    <definedName name="FDP_185_1_aUdv" localSheetId="7" hidden="1">#REF!</definedName>
    <definedName name="FDP_185_1_aUdv" localSheetId="12" hidden="1">#REF!</definedName>
    <definedName name="FDP_185_1_aUdv" hidden="1">#REF!</definedName>
    <definedName name="FDP_186_1_aUdv" localSheetId="2" hidden="1">#REF!</definedName>
    <definedName name="FDP_186_1_aUdv" localSheetId="10" hidden="1">#REF!</definedName>
    <definedName name="FDP_186_1_aUdv" localSheetId="6" hidden="1">#REF!</definedName>
    <definedName name="FDP_186_1_aUdv" localSheetId="8" hidden="1">#REF!</definedName>
    <definedName name="FDP_186_1_aUdv" localSheetId="3" hidden="1">#REF!</definedName>
    <definedName name="FDP_186_1_aUdv" localSheetId="7" hidden="1">#REF!</definedName>
    <definedName name="FDP_186_1_aUdv" localSheetId="12" hidden="1">#REF!</definedName>
    <definedName name="FDP_186_1_aUdv" hidden="1">#REF!</definedName>
    <definedName name="FDP_187_1_aUdv" localSheetId="2" hidden="1">#REF!</definedName>
    <definedName name="FDP_187_1_aUdv" localSheetId="10" hidden="1">#REF!</definedName>
    <definedName name="FDP_187_1_aUdv" localSheetId="6" hidden="1">#REF!</definedName>
    <definedName name="FDP_187_1_aUdv" localSheetId="8" hidden="1">#REF!</definedName>
    <definedName name="FDP_187_1_aUdv" localSheetId="3" hidden="1">#REF!</definedName>
    <definedName name="FDP_187_1_aUdv" localSheetId="7" hidden="1">#REF!</definedName>
    <definedName name="FDP_187_1_aUdv" localSheetId="12" hidden="1">#REF!</definedName>
    <definedName name="FDP_187_1_aUdv" hidden="1">#REF!</definedName>
    <definedName name="FDP_188_1_aUdv" localSheetId="2" hidden="1">#REF!</definedName>
    <definedName name="FDP_188_1_aUdv" localSheetId="10" hidden="1">#REF!</definedName>
    <definedName name="FDP_188_1_aUdv" localSheetId="6" hidden="1">#REF!</definedName>
    <definedName name="FDP_188_1_aUdv" localSheetId="8" hidden="1">#REF!</definedName>
    <definedName name="FDP_188_1_aUdv" localSheetId="3" hidden="1">#REF!</definedName>
    <definedName name="FDP_188_1_aUdv" localSheetId="7" hidden="1">#REF!</definedName>
    <definedName name="FDP_188_1_aUdv" localSheetId="12" hidden="1">#REF!</definedName>
    <definedName name="FDP_188_1_aUdv" hidden="1">#REF!</definedName>
    <definedName name="FDP_189_1_aUdv" localSheetId="2" hidden="1">#REF!</definedName>
    <definedName name="FDP_189_1_aUdv" localSheetId="10" hidden="1">#REF!</definedName>
    <definedName name="FDP_189_1_aUdv" localSheetId="6" hidden="1">#REF!</definedName>
    <definedName name="FDP_189_1_aUdv" localSheetId="8" hidden="1">#REF!</definedName>
    <definedName name="FDP_189_1_aUdv" localSheetId="3" hidden="1">#REF!</definedName>
    <definedName name="FDP_189_1_aUdv" localSheetId="7" hidden="1">#REF!</definedName>
    <definedName name="FDP_189_1_aUdv" localSheetId="12" hidden="1">#REF!</definedName>
    <definedName name="FDP_189_1_aUdv" hidden="1">#REF!</definedName>
    <definedName name="FDP_19_1_aDrv" localSheetId="2" hidden="1">#REF!</definedName>
    <definedName name="FDP_19_1_aDrv" localSheetId="10" hidden="1">#REF!</definedName>
    <definedName name="FDP_19_1_aDrv" localSheetId="6" hidden="1">#REF!</definedName>
    <definedName name="FDP_19_1_aDrv" localSheetId="8" hidden="1">#REF!</definedName>
    <definedName name="FDP_19_1_aDrv" localSheetId="3" hidden="1">#REF!</definedName>
    <definedName name="FDP_19_1_aDrv" localSheetId="7" hidden="1">#REF!</definedName>
    <definedName name="FDP_19_1_aDrv" localSheetId="12" hidden="1">#REF!</definedName>
    <definedName name="FDP_19_1_aDrv" hidden="1">#REF!</definedName>
    <definedName name="FDP_190_1_aUdv" localSheetId="2" hidden="1">#REF!</definedName>
    <definedName name="FDP_190_1_aUdv" localSheetId="10" hidden="1">#REF!</definedName>
    <definedName name="FDP_190_1_aUdv" localSheetId="6" hidden="1">#REF!</definedName>
    <definedName name="FDP_190_1_aUdv" localSheetId="8" hidden="1">#REF!</definedName>
    <definedName name="FDP_190_1_aUdv" localSheetId="3" hidden="1">#REF!</definedName>
    <definedName name="FDP_190_1_aUdv" localSheetId="7" hidden="1">#REF!</definedName>
    <definedName name="FDP_190_1_aUdv" localSheetId="12" hidden="1">#REF!</definedName>
    <definedName name="FDP_190_1_aUdv" hidden="1">#REF!</definedName>
    <definedName name="FDP_191_1_aUdv" localSheetId="2" hidden="1">#REF!</definedName>
    <definedName name="FDP_191_1_aUdv" localSheetId="10" hidden="1">#REF!</definedName>
    <definedName name="FDP_191_1_aUdv" localSheetId="6" hidden="1">#REF!</definedName>
    <definedName name="FDP_191_1_aUdv" localSheetId="8" hidden="1">#REF!</definedName>
    <definedName name="FDP_191_1_aUdv" localSheetId="3" hidden="1">#REF!</definedName>
    <definedName name="FDP_191_1_aUdv" localSheetId="7" hidden="1">#REF!</definedName>
    <definedName name="FDP_191_1_aUdv" localSheetId="12" hidden="1">#REF!</definedName>
    <definedName name="FDP_191_1_aUdv" hidden="1">#REF!</definedName>
    <definedName name="FDP_192_1_aUdv" localSheetId="2" hidden="1">#REF!</definedName>
    <definedName name="FDP_192_1_aUdv" localSheetId="10" hidden="1">#REF!</definedName>
    <definedName name="FDP_192_1_aUdv" localSheetId="6" hidden="1">#REF!</definedName>
    <definedName name="FDP_192_1_aUdv" localSheetId="8" hidden="1">#REF!</definedName>
    <definedName name="FDP_192_1_aUdv" localSheetId="3" hidden="1">#REF!</definedName>
    <definedName name="FDP_192_1_aUdv" localSheetId="7" hidden="1">#REF!</definedName>
    <definedName name="FDP_192_1_aUdv" localSheetId="12" hidden="1">#REF!</definedName>
    <definedName name="FDP_192_1_aUdv" hidden="1">#REF!</definedName>
    <definedName name="FDP_193_1_aUdv" localSheetId="2" hidden="1">#REF!</definedName>
    <definedName name="FDP_193_1_aUdv" localSheetId="10" hidden="1">#REF!</definedName>
    <definedName name="FDP_193_1_aUdv" localSheetId="6" hidden="1">#REF!</definedName>
    <definedName name="FDP_193_1_aUdv" localSheetId="8" hidden="1">#REF!</definedName>
    <definedName name="FDP_193_1_aUdv" localSheetId="3" hidden="1">#REF!</definedName>
    <definedName name="FDP_193_1_aUdv" localSheetId="7" hidden="1">#REF!</definedName>
    <definedName name="FDP_193_1_aUdv" localSheetId="12" hidden="1">#REF!</definedName>
    <definedName name="FDP_193_1_aUdv" hidden="1">#REF!</definedName>
    <definedName name="FDP_194_1_aUdv" localSheetId="2" hidden="1">#REF!</definedName>
    <definedName name="FDP_194_1_aUdv" localSheetId="10" hidden="1">#REF!</definedName>
    <definedName name="FDP_194_1_aUdv" localSheetId="6" hidden="1">#REF!</definedName>
    <definedName name="FDP_194_1_aUdv" localSheetId="8" hidden="1">#REF!</definedName>
    <definedName name="FDP_194_1_aUdv" localSheetId="3" hidden="1">#REF!</definedName>
    <definedName name="FDP_194_1_aUdv" localSheetId="7" hidden="1">#REF!</definedName>
    <definedName name="FDP_194_1_aUdv" localSheetId="12" hidden="1">#REF!</definedName>
    <definedName name="FDP_194_1_aUdv" hidden="1">#REF!</definedName>
    <definedName name="FDP_195_1_aUdv" localSheetId="2" hidden="1">#REF!</definedName>
    <definedName name="FDP_195_1_aUdv" localSheetId="10" hidden="1">#REF!</definedName>
    <definedName name="FDP_195_1_aUdv" localSheetId="6" hidden="1">#REF!</definedName>
    <definedName name="FDP_195_1_aUdv" localSheetId="8" hidden="1">#REF!</definedName>
    <definedName name="FDP_195_1_aUdv" localSheetId="3" hidden="1">#REF!</definedName>
    <definedName name="FDP_195_1_aUdv" localSheetId="7" hidden="1">#REF!</definedName>
    <definedName name="FDP_195_1_aUdv" localSheetId="12" hidden="1">#REF!</definedName>
    <definedName name="FDP_195_1_aUdv" hidden="1">#REF!</definedName>
    <definedName name="FDP_196_1_aUdv" localSheetId="2" hidden="1">#REF!</definedName>
    <definedName name="FDP_196_1_aUdv" localSheetId="10" hidden="1">#REF!</definedName>
    <definedName name="FDP_196_1_aUdv" localSheetId="6" hidden="1">#REF!</definedName>
    <definedName name="FDP_196_1_aUdv" localSheetId="8" hidden="1">#REF!</definedName>
    <definedName name="FDP_196_1_aUdv" localSheetId="3" hidden="1">#REF!</definedName>
    <definedName name="FDP_196_1_aUdv" localSheetId="7" hidden="1">#REF!</definedName>
    <definedName name="FDP_196_1_aUdv" localSheetId="12" hidden="1">#REF!</definedName>
    <definedName name="FDP_196_1_aUdv" hidden="1">#REF!</definedName>
    <definedName name="FDP_197_1_aUdv" localSheetId="2" hidden="1">#REF!</definedName>
    <definedName name="FDP_197_1_aUdv" localSheetId="10" hidden="1">#REF!</definedName>
    <definedName name="FDP_197_1_aUdv" localSheetId="6" hidden="1">#REF!</definedName>
    <definedName name="FDP_197_1_aUdv" localSheetId="8" hidden="1">#REF!</definedName>
    <definedName name="FDP_197_1_aUdv" localSheetId="3" hidden="1">#REF!</definedName>
    <definedName name="FDP_197_1_aUdv" localSheetId="7" hidden="1">#REF!</definedName>
    <definedName name="FDP_197_1_aUdv" localSheetId="12" hidden="1">#REF!</definedName>
    <definedName name="FDP_197_1_aUdv" hidden="1">#REF!</definedName>
    <definedName name="FDP_198_1_aUdv" localSheetId="2" hidden="1">#REF!</definedName>
    <definedName name="FDP_198_1_aUdv" localSheetId="10" hidden="1">#REF!</definedName>
    <definedName name="FDP_198_1_aUdv" localSheetId="6" hidden="1">#REF!</definedName>
    <definedName name="FDP_198_1_aUdv" localSheetId="8" hidden="1">#REF!</definedName>
    <definedName name="FDP_198_1_aUdv" localSheetId="3" hidden="1">#REF!</definedName>
    <definedName name="FDP_198_1_aUdv" localSheetId="7" hidden="1">#REF!</definedName>
    <definedName name="FDP_198_1_aUdv" localSheetId="12" hidden="1">#REF!</definedName>
    <definedName name="FDP_198_1_aUdv" hidden="1">#REF!</definedName>
    <definedName name="FDP_199_1_aUdv" localSheetId="2" hidden="1">#REF!</definedName>
    <definedName name="FDP_199_1_aUdv" localSheetId="10" hidden="1">#REF!</definedName>
    <definedName name="FDP_199_1_aUdv" localSheetId="6" hidden="1">#REF!</definedName>
    <definedName name="FDP_199_1_aUdv" localSheetId="8" hidden="1">#REF!</definedName>
    <definedName name="FDP_199_1_aUdv" localSheetId="3" hidden="1">#REF!</definedName>
    <definedName name="FDP_199_1_aUdv" localSheetId="7" hidden="1">#REF!</definedName>
    <definedName name="FDP_199_1_aUdv" localSheetId="12" hidden="1">#REF!</definedName>
    <definedName name="FDP_199_1_aUdv" hidden="1">#REF!</definedName>
    <definedName name="FDP_2_1_aUrv" localSheetId="2" hidden="1">#REF!</definedName>
    <definedName name="FDP_2_1_aUrv" localSheetId="10" hidden="1">#REF!</definedName>
    <definedName name="FDP_2_1_aUrv" localSheetId="6" hidden="1">#REF!</definedName>
    <definedName name="FDP_2_1_aUrv" localSheetId="8" hidden="1">#REF!</definedName>
    <definedName name="FDP_2_1_aUrv" localSheetId="3" hidden="1">#REF!</definedName>
    <definedName name="FDP_2_1_aUrv" localSheetId="7" hidden="1">#REF!</definedName>
    <definedName name="FDP_2_1_aUrv" localSheetId="12" hidden="1">#REF!</definedName>
    <definedName name="FDP_2_1_aUrv" hidden="1">#REF!</definedName>
    <definedName name="FDP_20_1_aDrv" localSheetId="2" hidden="1">#REF!</definedName>
    <definedName name="FDP_20_1_aDrv" localSheetId="10" hidden="1">#REF!</definedName>
    <definedName name="FDP_20_1_aDrv" localSheetId="6" hidden="1">#REF!</definedName>
    <definedName name="FDP_20_1_aDrv" localSheetId="8" hidden="1">#REF!</definedName>
    <definedName name="FDP_20_1_aDrv" localSheetId="3" hidden="1">#REF!</definedName>
    <definedName name="FDP_20_1_aDrv" localSheetId="7" hidden="1">#REF!</definedName>
    <definedName name="FDP_20_1_aDrv" localSheetId="12" hidden="1">#REF!</definedName>
    <definedName name="FDP_20_1_aDrv" hidden="1">#REF!</definedName>
    <definedName name="FDP_200_1_aDdv" localSheetId="2" hidden="1">#REF!</definedName>
    <definedName name="FDP_200_1_aDdv" localSheetId="10" hidden="1">#REF!</definedName>
    <definedName name="FDP_200_1_aDdv" localSheetId="6" hidden="1">#REF!</definedName>
    <definedName name="FDP_200_1_aDdv" localSheetId="8" hidden="1">#REF!</definedName>
    <definedName name="FDP_200_1_aDdv" localSheetId="3" hidden="1">#REF!</definedName>
    <definedName name="FDP_200_1_aDdv" localSheetId="7" hidden="1">#REF!</definedName>
    <definedName name="FDP_200_1_aDdv" localSheetId="12" hidden="1">#REF!</definedName>
    <definedName name="FDP_200_1_aDdv" hidden="1">#REF!</definedName>
    <definedName name="FDP_201_1_aDdv" localSheetId="2" hidden="1">#REF!</definedName>
    <definedName name="FDP_201_1_aDdv" localSheetId="10" hidden="1">#REF!</definedName>
    <definedName name="FDP_201_1_aDdv" localSheetId="6" hidden="1">#REF!</definedName>
    <definedName name="FDP_201_1_aDdv" localSheetId="8" hidden="1">#REF!</definedName>
    <definedName name="FDP_201_1_aDdv" localSheetId="3" hidden="1">#REF!</definedName>
    <definedName name="FDP_201_1_aDdv" localSheetId="7" hidden="1">#REF!</definedName>
    <definedName name="FDP_201_1_aDdv" localSheetId="12" hidden="1">#REF!</definedName>
    <definedName name="FDP_201_1_aDdv" hidden="1">#REF!</definedName>
    <definedName name="FDP_202_1_aDdv" localSheetId="2" hidden="1">#REF!</definedName>
    <definedName name="FDP_202_1_aDdv" localSheetId="10" hidden="1">#REF!</definedName>
    <definedName name="FDP_202_1_aDdv" localSheetId="6" hidden="1">#REF!</definedName>
    <definedName name="FDP_202_1_aDdv" localSheetId="8" hidden="1">#REF!</definedName>
    <definedName name="FDP_202_1_aDdv" localSheetId="3" hidden="1">#REF!</definedName>
    <definedName name="FDP_202_1_aDdv" localSheetId="7" hidden="1">#REF!</definedName>
    <definedName name="FDP_202_1_aDdv" localSheetId="12" hidden="1">#REF!</definedName>
    <definedName name="FDP_202_1_aDdv" hidden="1">#REF!</definedName>
    <definedName name="FDP_203_1_aDdv" localSheetId="2" hidden="1">#REF!</definedName>
    <definedName name="FDP_203_1_aDdv" localSheetId="10" hidden="1">#REF!</definedName>
    <definedName name="FDP_203_1_aDdv" localSheetId="6" hidden="1">#REF!</definedName>
    <definedName name="FDP_203_1_aDdv" localSheetId="8" hidden="1">#REF!</definedName>
    <definedName name="FDP_203_1_aDdv" localSheetId="3" hidden="1">#REF!</definedName>
    <definedName name="FDP_203_1_aDdv" localSheetId="7" hidden="1">#REF!</definedName>
    <definedName name="FDP_203_1_aDdv" localSheetId="12" hidden="1">#REF!</definedName>
    <definedName name="FDP_203_1_aDdv" hidden="1">#REF!</definedName>
    <definedName name="FDP_204_1_aUrv" localSheetId="2" hidden="1">#REF!</definedName>
    <definedName name="FDP_204_1_aUrv" localSheetId="10" hidden="1">#REF!</definedName>
    <definedName name="FDP_204_1_aUrv" localSheetId="6" hidden="1">#REF!</definedName>
    <definedName name="FDP_204_1_aUrv" localSheetId="8" hidden="1">#REF!</definedName>
    <definedName name="FDP_204_1_aUrv" localSheetId="3" hidden="1">#REF!</definedName>
    <definedName name="FDP_204_1_aUrv" localSheetId="7" hidden="1">#REF!</definedName>
    <definedName name="FDP_204_1_aUrv" localSheetId="12" hidden="1">#REF!</definedName>
    <definedName name="FDP_204_1_aUrv" hidden="1">#REF!</definedName>
    <definedName name="FDP_205_1_aUrv" localSheetId="2" hidden="1">#REF!</definedName>
    <definedName name="FDP_205_1_aUrv" localSheetId="10" hidden="1">#REF!</definedName>
    <definedName name="FDP_205_1_aUrv" localSheetId="6" hidden="1">#REF!</definedName>
    <definedName name="FDP_205_1_aUrv" localSheetId="8" hidden="1">#REF!</definedName>
    <definedName name="FDP_205_1_aUrv" localSheetId="3" hidden="1">#REF!</definedName>
    <definedName name="FDP_205_1_aUrv" localSheetId="7" hidden="1">#REF!</definedName>
    <definedName name="FDP_205_1_aUrv" localSheetId="12" hidden="1">#REF!</definedName>
    <definedName name="FDP_205_1_aUrv" hidden="1">#REF!</definedName>
    <definedName name="FDP_206_1_aDrv" localSheetId="2" hidden="1">#REF!</definedName>
    <definedName name="FDP_206_1_aDrv" localSheetId="10" hidden="1">#REF!</definedName>
    <definedName name="FDP_206_1_aDrv" localSheetId="6" hidden="1">#REF!</definedName>
    <definedName name="FDP_206_1_aDrv" localSheetId="8" hidden="1">#REF!</definedName>
    <definedName name="FDP_206_1_aDrv" localSheetId="3" hidden="1">#REF!</definedName>
    <definedName name="FDP_206_1_aDrv" localSheetId="7" hidden="1">#REF!</definedName>
    <definedName name="FDP_206_1_aDrv" localSheetId="12" hidden="1">#REF!</definedName>
    <definedName name="FDP_206_1_aDrv" hidden="1">#REF!</definedName>
    <definedName name="FDP_21_1_aDrv" localSheetId="2" hidden="1">#REF!</definedName>
    <definedName name="FDP_21_1_aDrv" localSheetId="10" hidden="1">#REF!</definedName>
    <definedName name="FDP_21_1_aDrv" localSheetId="6" hidden="1">#REF!</definedName>
    <definedName name="FDP_21_1_aDrv" localSheetId="8" hidden="1">#REF!</definedName>
    <definedName name="FDP_21_1_aDrv" localSheetId="3" hidden="1">#REF!</definedName>
    <definedName name="FDP_21_1_aDrv" localSheetId="7" hidden="1">#REF!</definedName>
    <definedName name="FDP_21_1_aDrv" localSheetId="12" hidden="1">#REF!</definedName>
    <definedName name="FDP_21_1_aDrv" hidden="1">#REF!</definedName>
    <definedName name="FDP_22_1_aDrv" localSheetId="2" hidden="1">#REF!</definedName>
    <definedName name="FDP_22_1_aDrv" localSheetId="10" hidden="1">#REF!</definedName>
    <definedName name="FDP_22_1_aDrv" localSheetId="6" hidden="1">#REF!</definedName>
    <definedName name="FDP_22_1_aDrv" localSheetId="8" hidden="1">#REF!</definedName>
    <definedName name="FDP_22_1_aDrv" localSheetId="3" hidden="1">#REF!</definedName>
    <definedName name="FDP_22_1_aDrv" localSheetId="7" hidden="1">#REF!</definedName>
    <definedName name="FDP_22_1_aDrv" localSheetId="12" hidden="1">#REF!</definedName>
    <definedName name="FDP_22_1_aDrv" hidden="1">#REF!</definedName>
    <definedName name="FDP_23_1_aDrv" localSheetId="2" hidden="1">#REF!</definedName>
    <definedName name="FDP_23_1_aDrv" localSheetId="10" hidden="1">#REF!</definedName>
    <definedName name="FDP_23_1_aDrv" localSheetId="6" hidden="1">#REF!</definedName>
    <definedName name="FDP_23_1_aDrv" localSheetId="8" hidden="1">#REF!</definedName>
    <definedName name="FDP_23_1_aDrv" localSheetId="3" hidden="1">#REF!</definedName>
    <definedName name="FDP_23_1_aDrv" localSheetId="7" hidden="1">#REF!</definedName>
    <definedName name="FDP_23_1_aDrv" localSheetId="12" hidden="1">#REF!</definedName>
    <definedName name="FDP_23_1_aDrv" hidden="1">#REF!</definedName>
    <definedName name="FDP_24_1_aDrv" localSheetId="2" hidden="1">#REF!</definedName>
    <definedName name="FDP_24_1_aDrv" localSheetId="10" hidden="1">#REF!</definedName>
    <definedName name="FDP_24_1_aDrv" localSheetId="6" hidden="1">#REF!</definedName>
    <definedName name="FDP_24_1_aDrv" localSheetId="8" hidden="1">#REF!</definedName>
    <definedName name="FDP_24_1_aDrv" localSheetId="3" hidden="1">#REF!</definedName>
    <definedName name="FDP_24_1_aDrv" localSheetId="7" hidden="1">#REF!</definedName>
    <definedName name="FDP_24_1_aDrv" localSheetId="12" hidden="1">#REF!</definedName>
    <definedName name="FDP_24_1_aDrv" hidden="1">#REF!</definedName>
    <definedName name="FDP_25_1_aUrv" localSheetId="2" hidden="1">#REF!</definedName>
    <definedName name="FDP_25_1_aUrv" localSheetId="10" hidden="1">#REF!</definedName>
    <definedName name="FDP_25_1_aUrv" localSheetId="6" hidden="1">#REF!</definedName>
    <definedName name="FDP_25_1_aUrv" localSheetId="8" hidden="1">#REF!</definedName>
    <definedName name="FDP_25_1_aUrv" localSheetId="3" hidden="1">#REF!</definedName>
    <definedName name="FDP_25_1_aUrv" localSheetId="7" hidden="1">#REF!</definedName>
    <definedName name="FDP_25_1_aUrv" localSheetId="12" hidden="1">#REF!</definedName>
    <definedName name="FDP_25_1_aUrv" hidden="1">#REF!</definedName>
    <definedName name="FDP_26_1_aUrv" localSheetId="2" hidden="1">#REF!</definedName>
    <definedName name="FDP_26_1_aUrv" localSheetId="10" hidden="1">#REF!</definedName>
    <definedName name="FDP_26_1_aUrv" localSheetId="6" hidden="1">#REF!</definedName>
    <definedName name="FDP_26_1_aUrv" localSheetId="8" hidden="1">#REF!</definedName>
    <definedName name="FDP_26_1_aUrv" localSheetId="3" hidden="1">#REF!</definedName>
    <definedName name="FDP_26_1_aUrv" localSheetId="7" hidden="1">#REF!</definedName>
    <definedName name="FDP_26_1_aUrv" localSheetId="12" hidden="1">#REF!</definedName>
    <definedName name="FDP_26_1_aUrv" hidden="1">#REF!</definedName>
    <definedName name="FDP_27_1_aDrv" localSheetId="2" hidden="1">#REF!</definedName>
    <definedName name="FDP_27_1_aDrv" localSheetId="10" hidden="1">#REF!</definedName>
    <definedName name="FDP_27_1_aDrv" localSheetId="6" hidden="1">#REF!</definedName>
    <definedName name="FDP_27_1_aDrv" localSheetId="8" hidden="1">#REF!</definedName>
    <definedName name="FDP_27_1_aDrv" localSheetId="3" hidden="1">#REF!</definedName>
    <definedName name="FDP_27_1_aDrv" localSheetId="7" hidden="1">#REF!</definedName>
    <definedName name="FDP_27_1_aDrv" localSheetId="12" hidden="1">#REF!</definedName>
    <definedName name="FDP_27_1_aDrv" hidden="1">#REF!</definedName>
    <definedName name="FDP_28_1_aUrv" localSheetId="2" hidden="1">#REF!</definedName>
    <definedName name="FDP_28_1_aUrv" localSheetId="10" hidden="1">#REF!</definedName>
    <definedName name="FDP_28_1_aUrv" localSheetId="6" hidden="1">#REF!</definedName>
    <definedName name="FDP_28_1_aUrv" localSheetId="8" hidden="1">#REF!</definedName>
    <definedName name="FDP_28_1_aUrv" localSheetId="3" hidden="1">#REF!</definedName>
    <definedName name="FDP_28_1_aUrv" localSheetId="7" hidden="1">#REF!</definedName>
    <definedName name="FDP_28_1_aUrv" localSheetId="12" hidden="1">#REF!</definedName>
    <definedName name="FDP_28_1_aUrv" hidden="1">#REF!</definedName>
    <definedName name="FDP_29_1_aUrv" localSheetId="2" hidden="1">#REF!</definedName>
    <definedName name="FDP_29_1_aUrv" localSheetId="10" hidden="1">#REF!</definedName>
    <definedName name="FDP_29_1_aUrv" localSheetId="6" hidden="1">#REF!</definedName>
    <definedName name="FDP_29_1_aUrv" localSheetId="8" hidden="1">#REF!</definedName>
    <definedName name="FDP_29_1_aUrv" localSheetId="3" hidden="1">#REF!</definedName>
    <definedName name="FDP_29_1_aUrv" localSheetId="7" hidden="1">#REF!</definedName>
    <definedName name="FDP_29_1_aUrv" localSheetId="12" hidden="1">#REF!</definedName>
    <definedName name="FDP_29_1_aUrv" hidden="1">#REF!</definedName>
    <definedName name="FDP_3_1_aUrv" localSheetId="2" hidden="1">#REF!</definedName>
    <definedName name="FDP_3_1_aUrv" localSheetId="10" hidden="1">#REF!</definedName>
    <definedName name="FDP_3_1_aUrv" localSheetId="6" hidden="1">#REF!</definedName>
    <definedName name="FDP_3_1_aUrv" localSheetId="8" hidden="1">#REF!</definedName>
    <definedName name="FDP_3_1_aUrv" localSheetId="3" hidden="1">#REF!</definedName>
    <definedName name="FDP_3_1_aUrv" localSheetId="7" hidden="1">#REF!</definedName>
    <definedName name="FDP_3_1_aUrv" localSheetId="12" hidden="1">#REF!</definedName>
    <definedName name="FDP_3_1_aUrv" hidden="1">#REF!</definedName>
    <definedName name="FDP_30_1_aUrv" localSheetId="2" hidden="1">#REF!</definedName>
    <definedName name="FDP_30_1_aUrv" localSheetId="10" hidden="1">#REF!</definedName>
    <definedName name="FDP_30_1_aUrv" localSheetId="6" hidden="1">#REF!</definedName>
    <definedName name="FDP_30_1_aUrv" localSheetId="8" hidden="1">#REF!</definedName>
    <definedName name="FDP_30_1_aUrv" localSheetId="3" hidden="1">#REF!</definedName>
    <definedName name="FDP_30_1_aUrv" localSheetId="7" hidden="1">#REF!</definedName>
    <definedName name="FDP_30_1_aUrv" localSheetId="12" hidden="1">#REF!</definedName>
    <definedName name="FDP_30_1_aUrv" hidden="1">#REF!</definedName>
    <definedName name="FDP_31_1_aUrv" localSheetId="2" hidden="1">#REF!</definedName>
    <definedName name="FDP_31_1_aUrv" localSheetId="10" hidden="1">#REF!</definedName>
    <definedName name="FDP_31_1_aUrv" localSheetId="6" hidden="1">#REF!</definedName>
    <definedName name="FDP_31_1_aUrv" localSheetId="8" hidden="1">#REF!</definedName>
    <definedName name="FDP_31_1_aUrv" localSheetId="3" hidden="1">#REF!</definedName>
    <definedName name="FDP_31_1_aUrv" localSheetId="7" hidden="1">#REF!</definedName>
    <definedName name="FDP_31_1_aUrv" localSheetId="12" hidden="1">#REF!</definedName>
    <definedName name="FDP_31_1_aUrv" hidden="1">#REF!</definedName>
    <definedName name="FDP_32_1_aUrv" localSheetId="2" hidden="1">#REF!</definedName>
    <definedName name="FDP_32_1_aUrv" localSheetId="10" hidden="1">#REF!</definedName>
    <definedName name="FDP_32_1_aUrv" localSheetId="6" hidden="1">#REF!</definedName>
    <definedName name="FDP_32_1_aUrv" localSheetId="8" hidden="1">#REF!</definedName>
    <definedName name="FDP_32_1_aUrv" localSheetId="3" hidden="1">#REF!</definedName>
    <definedName name="FDP_32_1_aUrv" localSheetId="7" hidden="1">#REF!</definedName>
    <definedName name="FDP_32_1_aUrv" localSheetId="12" hidden="1">#REF!</definedName>
    <definedName name="FDP_32_1_aUrv" hidden="1">#REF!</definedName>
    <definedName name="FDP_33_1_aDrv" localSheetId="2" hidden="1">#REF!</definedName>
    <definedName name="FDP_33_1_aDrv" localSheetId="10" hidden="1">#REF!</definedName>
    <definedName name="FDP_33_1_aDrv" localSheetId="6" hidden="1">#REF!</definedName>
    <definedName name="FDP_33_1_aDrv" localSheetId="8" hidden="1">#REF!</definedName>
    <definedName name="FDP_33_1_aDrv" localSheetId="3" hidden="1">#REF!</definedName>
    <definedName name="FDP_33_1_aDrv" localSheetId="7" hidden="1">#REF!</definedName>
    <definedName name="FDP_33_1_aDrv" localSheetId="12" hidden="1">#REF!</definedName>
    <definedName name="FDP_33_1_aDrv" hidden="1">#REF!</definedName>
    <definedName name="FDP_34_1_aUrv" localSheetId="2" hidden="1">#REF!</definedName>
    <definedName name="FDP_34_1_aUrv" localSheetId="10" hidden="1">#REF!</definedName>
    <definedName name="FDP_34_1_aUrv" localSheetId="6" hidden="1">#REF!</definedName>
    <definedName name="FDP_34_1_aUrv" localSheetId="8" hidden="1">#REF!</definedName>
    <definedName name="FDP_34_1_aUrv" localSheetId="3" hidden="1">#REF!</definedName>
    <definedName name="FDP_34_1_aUrv" localSheetId="7" hidden="1">#REF!</definedName>
    <definedName name="FDP_34_1_aUrv" localSheetId="12" hidden="1">#REF!</definedName>
    <definedName name="FDP_34_1_aUrv" hidden="1">#REF!</definedName>
    <definedName name="FDP_35_1_aUrv" localSheetId="2" hidden="1">#REF!</definedName>
    <definedName name="FDP_35_1_aUrv" localSheetId="10" hidden="1">#REF!</definedName>
    <definedName name="FDP_35_1_aUrv" localSheetId="6" hidden="1">#REF!</definedName>
    <definedName name="FDP_35_1_aUrv" localSheetId="8" hidden="1">#REF!</definedName>
    <definedName name="FDP_35_1_aUrv" localSheetId="3" hidden="1">#REF!</definedName>
    <definedName name="FDP_35_1_aUrv" localSheetId="7" hidden="1">#REF!</definedName>
    <definedName name="FDP_35_1_aUrv" localSheetId="12" hidden="1">#REF!</definedName>
    <definedName name="FDP_35_1_aUrv" hidden="1">#REF!</definedName>
    <definedName name="FDP_36_1_aUrv" localSheetId="2" hidden="1">#REF!</definedName>
    <definedName name="FDP_36_1_aUrv" localSheetId="10" hidden="1">#REF!</definedName>
    <definedName name="FDP_36_1_aUrv" localSheetId="6" hidden="1">#REF!</definedName>
    <definedName name="FDP_36_1_aUrv" localSheetId="8" hidden="1">#REF!</definedName>
    <definedName name="FDP_36_1_aUrv" localSheetId="3" hidden="1">#REF!</definedName>
    <definedName name="FDP_36_1_aUrv" localSheetId="7" hidden="1">#REF!</definedName>
    <definedName name="FDP_36_1_aUrv" localSheetId="12" hidden="1">#REF!</definedName>
    <definedName name="FDP_36_1_aUrv" hidden="1">#REF!</definedName>
    <definedName name="FDP_37_1_aUrv" localSheetId="2" hidden="1">#REF!</definedName>
    <definedName name="FDP_37_1_aUrv" localSheetId="10" hidden="1">#REF!</definedName>
    <definedName name="FDP_37_1_aUrv" localSheetId="6" hidden="1">#REF!</definedName>
    <definedName name="FDP_37_1_aUrv" localSheetId="8" hidden="1">#REF!</definedName>
    <definedName name="FDP_37_1_aUrv" localSheetId="3" hidden="1">#REF!</definedName>
    <definedName name="FDP_37_1_aUrv" localSheetId="7" hidden="1">#REF!</definedName>
    <definedName name="FDP_37_1_aUrv" localSheetId="12" hidden="1">#REF!</definedName>
    <definedName name="FDP_37_1_aUrv" hidden="1">#REF!</definedName>
    <definedName name="FDP_38_1_aUrv" localSheetId="2" hidden="1">#REF!</definedName>
    <definedName name="FDP_38_1_aUrv" localSheetId="10" hidden="1">#REF!</definedName>
    <definedName name="FDP_38_1_aUrv" localSheetId="6" hidden="1">#REF!</definedName>
    <definedName name="FDP_38_1_aUrv" localSheetId="8" hidden="1">#REF!</definedName>
    <definedName name="FDP_38_1_aUrv" localSheetId="3" hidden="1">#REF!</definedName>
    <definedName name="FDP_38_1_aUrv" localSheetId="7" hidden="1">#REF!</definedName>
    <definedName name="FDP_38_1_aUrv" localSheetId="12" hidden="1">#REF!</definedName>
    <definedName name="FDP_38_1_aUrv" hidden="1">#REF!</definedName>
    <definedName name="FDP_39_1_aSrv" localSheetId="2" hidden="1">#REF!</definedName>
    <definedName name="FDP_39_1_aSrv" localSheetId="10" hidden="1">#REF!</definedName>
    <definedName name="FDP_39_1_aSrv" localSheetId="6" hidden="1">#REF!</definedName>
    <definedName name="FDP_39_1_aSrv" localSheetId="8" hidden="1">#REF!</definedName>
    <definedName name="FDP_39_1_aSrv" localSheetId="3" hidden="1">#REF!</definedName>
    <definedName name="FDP_39_1_aSrv" localSheetId="7" hidden="1">#REF!</definedName>
    <definedName name="FDP_39_1_aSrv" localSheetId="12" hidden="1">#REF!</definedName>
    <definedName name="FDP_39_1_aSrv" hidden="1">#REF!</definedName>
    <definedName name="FDP_4_1_aSrv" localSheetId="2" hidden="1">#REF!</definedName>
    <definedName name="FDP_4_1_aSrv" localSheetId="10" hidden="1">#REF!</definedName>
    <definedName name="FDP_4_1_aSrv" localSheetId="6" hidden="1">#REF!</definedName>
    <definedName name="FDP_4_1_aSrv" localSheetId="8" hidden="1">#REF!</definedName>
    <definedName name="FDP_4_1_aSrv" localSheetId="3" hidden="1">#REF!</definedName>
    <definedName name="FDP_4_1_aSrv" localSheetId="7" hidden="1">#REF!</definedName>
    <definedName name="FDP_4_1_aSrv" localSheetId="12" hidden="1">#REF!</definedName>
    <definedName name="FDP_4_1_aSrv" hidden="1">#REF!</definedName>
    <definedName name="FDP_40_1_aUrv" localSheetId="2" hidden="1">#REF!</definedName>
    <definedName name="FDP_40_1_aUrv" localSheetId="10" hidden="1">#REF!</definedName>
    <definedName name="FDP_40_1_aUrv" localSheetId="6" hidden="1">#REF!</definedName>
    <definedName name="FDP_40_1_aUrv" localSheetId="8" hidden="1">#REF!</definedName>
    <definedName name="FDP_40_1_aUrv" localSheetId="3" hidden="1">#REF!</definedName>
    <definedName name="FDP_40_1_aUrv" localSheetId="7" hidden="1">#REF!</definedName>
    <definedName name="FDP_40_1_aUrv" localSheetId="12" hidden="1">#REF!</definedName>
    <definedName name="FDP_40_1_aUrv" hidden="1">#REF!</definedName>
    <definedName name="FDP_41_1_aUrv" localSheetId="2" hidden="1">#REF!</definedName>
    <definedName name="FDP_41_1_aUrv" localSheetId="10" hidden="1">#REF!</definedName>
    <definedName name="FDP_41_1_aUrv" localSheetId="6" hidden="1">#REF!</definedName>
    <definedName name="FDP_41_1_aUrv" localSheetId="8" hidden="1">#REF!</definedName>
    <definedName name="FDP_41_1_aUrv" localSheetId="3" hidden="1">#REF!</definedName>
    <definedName name="FDP_41_1_aUrv" localSheetId="7" hidden="1">#REF!</definedName>
    <definedName name="FDP_41_1_aUrv" localSheetId="12" hidden="1">#REF!</definedName>
    <definedName name="FDP_41_1_aUrv" hidden="1">#REF!</definedName>
    <definedName name="FDP_42_1_aUrv" localSheetId="2" hidden="1">#REF!</definedName>
    <definedName name="FDP_42_1_aUrv" localSheetId="10" hidden="1">#REF!</definedName>
    <definedName name="FDP_42_1_aUrv" localSheetId="6" hidden="1">#REF!</definedName>
    <definedName name="FDP_42_1_aUrv" localSheetId="8" hidden="1">#REF!</definedName>
    <definedName name="FDP_42_1_aUrv" localSheetId="3" hidden="1">#REF!</definedName>
    <definedName name="FDP_42_1_aUrv" localSheetId="7" hidden="1">#REF!</definedName>
    <definedName name="FDP_42_1_aUrv" localSheetId="12" hidden="1">#REF!</definedName>
    <definedName name="FDP_42_1_aUrv" hidden="1">#REF!</definedName>
    <definedName name="FDP_43_1_aUrv" localSheetId="2" hidden="1">#REF!</definedName>
    <definedName name="FDP_43_1_aUrv" localSheetId="10" hidden="1">#REF!</definedName>
    <definedName name="FDP_43_1_aUrv" localSheetId="6" hidden="1">#REF!</definedName>
    <definedName name="FDP_43_1_aUrv" localSheetId="8" hidden="1">#REF!</definedName>
    <definedName name="FDP_43_1_aUrv" localSheetId="3" hidden="1">#REF!</definedName>
    <definedName name="FDP_43_1_aUrv" localSheetId="7" hidden="1">#REF!</definedName>
    <definedName name="FDP_43_1_aUrv" localSheetId="12" hidden="1">#REF!</definedName>
    <definedName name="FDP_43_1_aUrv" hidden="1">#REF!</definedName>
    <definedName name="FDP_44_1_aUrv" localSheetId="2" hidden="1">#REF!</definedName>
    <definedName name="FDP_44_1_aUrv" localSheetId="10" hidden="1">#REF!</definedName>
    <definedName name="FDP_44_1_aUrv" localSheetId="6" hidden="1">#REF!</definedName>
    <definedName name="FDP_44_1_aUrv" localSheetId="8" hidden="1">#REF!</definedName>
    <definedName name="FDP_44_1_aUrv" localSheetId="3" hidden="1">#REF!</definedName>
    <definedName name="FDP_44_1_aUrv" localSheetId="7" hidden="1">#REF!</definedName>
    <definedName name="FDP_44_1_aUrv" localSheetId="12" hidden="1">#REF!</definedName>
    <definedName name="FDP_44_1_aUrv" hidden="1">#REF!</definedName>
    <definedName name="FDP_45_1_aSrv" localSheetId="2" hidden="1">#REF!</definedName>
    <definedName name="FDP_45_1_aSrv" localSheetId="10" hidden="1">#REF!</definedName>
    <definedName name="FDP_45_1_aSrv" localSheetId="6" hidden="1">#REF!</definedName>
    <definedName name="FDP_45_1_aSrv" localSheetId="8" hidden="1">#REF!</definedName>
    <definedName name="FDP_45_1_aSrv" localSheetId="3" hidden="1">#REF!</definedName>
    <definedName name="FDP_45_1_aSrv" localSheetId="7" hidden="1">#REF!</definedName>
    <definedName name="FDP_45_1_aSrv" localSheetId="12" hidden="1">#REF!</definedName>
    <definedName name="FDP_45_1_aSrv" hidden="1">#REF!</definedName>
    <definedName name="FDP_46_1_aSrv" localSheetId="2" hidden="1">#REF!</definedName>
    <definedName name="FDP_46_1_aSrv" localSheetId="10" hidden="1">#REF!</definedName>
    <definedName name="FDP_46_1_aSrv" localSheetId="6" hidden="1">#REF!</definedName>
    <definedName name="FDP_46_1_aSrv" localSheetId="8" hidden="1">#REF!</definedName>
    <definedName name="FDP_46_1_aSrv" localSheetId="3" hidden="1">#REF!</definedName>
    <definedName name="FDP_46_1_aSrv" localSheetId="7" hidden="1">#REF!</definedName>
    <definedName name="FDP_46_1_aSrv" localSheetId="12" hidden="1">#REF!</definedName>
    <definedName name="FDP_46_1_aSrv" hidden="1">#REF!</definedName>
    <definedName name="FDP_47_1_aUrv" localSheetId="2" hidden="1">#REF!</definedName>
    <definedName name="FDP_47_1_aUrv" localSheetId="10" hidden="1">#REF!</definedName>
    <definedName name="FDP_47_1_aUrv" localSheetId="6" hidden="1">#REF!</definedName>
    <definedName name="FDP_47_1_aUrv" localSheetId="8" hidden="1">#REF!</definedName>
    <definedName name="FDP_47_1_aUrv" localSheetId="3" hidden="1">#REF!</definedName>
    <definedName name="FDP_47_1_aUrv" localSheetId="7" hidden="1">#REF!</definedName>
    <definedName name="FDP_47_1_aUrv" localSheetId="12" hidden="1">#REF!</definedName>
    <definedName name="FDP_47_1_aUrv" hidden="1">#REF!</definedName>
    <definedName name="FDP_48_1_aUrv" localSheetId="2" hidden="1">#REF!</definedName>
    <definedName name="FDP_48_1_aUrv" localSheetId="10" hidden="1">#REF!</definedName>
    <definedName name="FDP_48_1_aUrv" localSheetId="6" hidden="1">#REF!</definedName>
    <definedName name="FDP_48_1_aUrv" localSheetId="8" hidden="1">#REF!</definedName>
    <definedName name="FDP_48_1_aUrv" localSheetId="3" hidden="1">#REF!</definedName>
    <definedName name="FDP_48_1_aUrv" localSheetId="7" hidden="1">#REF!</definedName>
    <definedName name="FDP_48_1_aUrv" localSheetId="12" hidden="1">#REF!</definedName>
    <definedName name="FDP_48_1_aUrv" hidden="1">#REF!</definedName>
    <definedName name="FDP_49_1_aUrv" localSheetId="2" hidden="1">#REF!</definedName>
    <definedName name="FDP_49_1_aUrv" localSheetId="10" hidden="1">#REF!</definedName>
    <definedName name="FDP_49_1_aUrv" localSheetId="6" hidden="1">#REF!</definedName>
    <definedName name="FDP_49_1_aUrv" localSheetId="8" hidden="1">#REF!</definedName>
    <definedName name="FDP_49_1_aUrv" localSheetId="3" hidden="1">#REF!</definedName>
    <definedName name="FDP_49_1_aUrv" localSheetId="7" hidden="1">#REF!</definedName>
    <definedName name="FDP_49_1_aUrv" localSheetId="12" hidden="1">#REF!</definedName>
    <definedName name="FDP_49_1_aUrv" hidden="1">#REF!</definedName>
    <definedName name="FDP_5_1_aDrv" localSheetId="2" hidden="1">#REF!</definedName>
    <definedName name="FDP_5_1_aDrv" localSheetId="10" hidden="1">#REF!</definedName>
    <definedName name="FDP_5_1_aDrv" localSheetId="6" hidden="1">#REF!</definedName>
    <definedName name="FDP_5_1_aDrv" localSheetId="8" hidden="1">#REF!</definedName>
    <definedName name="FDP_5_1_aDrv" localSheetId="3" hidden="1">#REF!</definedName>
    <definedName name="FDP_5_1_aDrv" localSheetId="7" hidden="1">#REF!</definedName>
    <definedName name="FDP_5_1_aDrv" localSheetId="12" hidden="1">#REF!</definedName>
    <definedName name="FDP_5_1_aDrv" hidden="1">#REF!</definedName>
    <definedName name="FDP_50_1_aUrv" localSheetId="2" hidden="1">#REF!</definedName>
    <definedName name="FDP_50_1_aUrv" localSheetId="10" hidden="1">#REF!</definedName>
    <definedName name="FDP_50_1_aUrv" localSheetId="6" hidden="1">#REF!</definedName>
    <definedName name="FDP_50_1_aUrv" localSheetId="8" hidden="1">#REF!</definedName>
    <definedName name="FDP_50_1_aUrv" localSheetId="3" hidden="1">#REF!</definedName>
    <definedName name="FDP_50_1_aUrv" localSheetId="7" hidden="1">#REF!</definedName>
    <definedName name="FDP_50_1_aUrv" localSheetId="12" hidden="1">#REF!</definedName>
    <definedName name="FDP_50_1_aUrv" hidden="1">#REF!</definedName>
    <definedName name="FDP_51_1_aUrv" localSheetId="2" hidden="1">#REF!</definedName>
    <definedName name="FDP_51_1_aUrv" localSheetId="10" hidden="1">#REF!</definedName>
    <definedName name="FDP_51_1_aUrv" localSheetId="6" hidden="1">#REF!</definedName>
    <definedName name="FDP_51_1_aUrv" localSheetId="8" hidden="1">#REF!</definedName>
    <definedName name="FDP_51_1_aUrv" localSheetId="3" hidden="1">#REF!</definedName>
    <definedName name="FDP_51_1_aUrv" localSheetId="7" hidden="1">#REF!</definedName>
    <definedName name="FDP_51_1_aUrv" localSheetId="12" hidden="1">#REF!</definedName>
    <definedName name="FDP_51_1_aUrv" hidden="1">#REF!</definedName>
    <definedName name="FDP_52_1_aSrv" localSheetId="2" hidden="1">#REF!</definedName>
    <definedName name="FDP_52_1_aSrv" localSheetId="10" hidden="1">#REF!</definedName>
    <definedName name="FDP_52_1_aSrv" localSheetId="6" hidden="1">#REF!</definedName>
    <definedName name="FDP_52_1_aSrv" localSheetId="8" hidden="1">#REF!</definedName>
    <definedName name="FDP_52_1_aSrv" localSheetId="3" hidden="1">#REF!</definedName>
    <definedName name="FDP_52_1_aSrv" localSheetId="7" hidden="1">#REF!</definedName>
    <definedName name="FDP_52_1_aSrv" localSheetId="12" hidden="1">#REF!</definedName>
    <definedName name="FDP_52_1_aSrv" hidden="1">#REF!</definedName>
    <definedName name="FDP_53_1_aUrv" localSheetId="2" hidden="1">#REF!</definedName>
    <definedName name="FDP_53_1_aUrv" localSheetId="10" hidden="1">#REF!</definedName>
    <definedName name="FDP_53_1_aUrv" localSheetId="6" hidden="1">#REF!</definedName>
    <definedName name="FDP_53_1_aUrv" localSheetId="8" hidden="1">#REF!</definedName>
    <definedName name="FDP_53_1_aUrv" localSheetId="3" hidden="1">#REF!</definedName>
    <definedName name="FDP_53_1_aUrv" localSheetId="7" hidden="1">#REF!</definedName>
    <definedName name="FDP_53_1_aUrv" localSheetId="12" hidden="1">#REF!</definedName>
    <definedName name="FDP_53_1_aUrv" hidden="1">#REF!</definedName>
    <definedName name="FDP_54_1_aUrv" localSheetId="2" hidden="1">#REF!</definedName>
    <definedName name="FDP_54_1_aUrv" localSheetId="10" hidden="1">#REF!</definedName>
    <definedName name="FDP_54_1_aUrv" localSheetId="6" hidden="1">#REF!</definedName>
    <definedName name="FDP_54_1_aUrv" localSheetId="8" hidden="1">#REF!</definedName>
    <definedName name="FDP_54_1_aUrv" localSheetId="3" hidden="1">#REF!</definedName>
    <definedName name="FDP_54_1_aUrv" localSheetId="7" hidden="1">#REF!</definedName>
    <definedName name="FDP_54_1_aUrv" localSheetId="12" hidden="1">#REF!</definedName>
    <definedName name="FDP_54_1_aUrv" hidden="1">#REF!</definedName>
    <definedName name="FDP_55_1_aUrv" localSheetId="2" hidden="1">#REF!</definedName>
    <definedName name="FDP_55_1_aUrv" localSheetId="10" hidden="1">#REF!</definedName>
    <definedName name="FDP_55_1_aUrv" localSheetId="6" hidden="1">#REF!</definedName>
    <definedName name="FDP_55_1_aUrv" localSheetId="8" hidden="1">#REF!</definedName>
    <definedName name="FDP_55_1_aUrv" localSheetId="3" hidden="1">#REF!</definedName>
    <definedName name="FDP_55_1_aUrv" localSheetId="7" hidden="1">#REF!</definedName>
    <definedName name="FDP_55_1_aUrv" localSheetId="12" hidden="1">#REF!</definedName>
    <definedName name="FDP_55_1_aUrv" hidden="1">#REF!</definedName>
    <definedName name="FDP_56_1_aUrv" localSheetId="2" hidden="1">#REF!</definedName>
    <definedName name="FDP_56_1_aUrv" localSheetId="10" hidden="1">#REF!</definedName>
    <definedName name="FDP_56_1_aUrv" localSheetId="6" hidden="1">#REF!</definedName>
    <definedName name="FDP_56_1_aUrv" localSheetId="8" hidden="1">#REF!</definedName>
    <definedName name="FDP_56_1_aUrv" localSheetId="3" hidden="1">#REF!</definedName>
    <definedName name="FDP_56_1_aUrv" localSheetId="7" hidden="1">#REF!</definedName>
    <definedName name="FDP_56_1_aUrv" localSheetId="12" hidden="1">#REF!</definedName>
    <definedName name="FDP_56_1_aUrv" hidden="1">#REF!</definedName>
    <definedName name="FDP_57_1_aUrv" localSheetId="2" hidden="1">#REF!</definedName>
    <definedName name="FDP_57_1_aUrv" localSheetId="10" hidden="1">#REF!</definedName>
    <definedName name="FDP_57_1_aUrv" localSheetId="6" hidden="1">#REF!</definedName>
    <definedName name="FDP_57_1_aUrv" localSheetId="8" hidden="1">#REF!</definedName>
    <definedName name="FDP_57_1_aUrv" localSheetId="3" hidden="1">#REF!</definedName>
    <definedName name="FDP_57_1_aUrv" localSheetId="7" hidden="1">#REF!</definedName>
    <definedName name="FDP_57_1_aUrv" localSheetId="12" hidden="1">#REF!</definedName>
    <definedName name="FDP_57_1_aUrv" hidden="1">#REF!</definedName>
    <definedName name="FDP_58_1_aUrv" localSheetId="2" hidden="1">#REF!</definedName>
    <definedName name="FDP_58_1_aUrv" localSheetId="10" hidden="1">#REF!</definedName>
    <definedName name="FDP_58_1_aUrv" localSheetId="6" hidden="1">#REF!</definedName>
    <definedName name="FDP_58_1_aUrv" localSheetId="8" hidden="1">#REF!</definedName>
    <definedName name="FDP_58_1_aUrv" localSheetId="3" hidden="1">#REF!</definedName>
    <definedName name="FDP_58_1_aUrv" localSheetId="7" hidden="1">#REF!</definedName>
    <definedName name="FDP_58_1_aUrv" localSheetId="12" hidden="1">#REF!</definedName>
    <definedName name="FDP_58_1_aUrv" hidden="1">#REF!</definedName>
    <definedName name="FDP_59_1_aUrv" localSheetId="2" hidden="1">#REF!</definedName>
    <definedName name="FDP_59_1_aUrv" localSheetId="10" hidden="1">#REF!</definedName>
    <definedName name="FDP_59_1_aUrv" localSheetId="6" hidden="1">#REF!</definedName>
    <definedName name="FDP_59_1_aUrv" localSheetId="8" hidden="1">#REF!</definedName>
    <definedName name="FDP_59_1_aUrv" localSheetId="3" hidden="1">#REF!</definedName>
    <definedName name="FDP_59_1_aUrv" localSheetId="7" hidden="1">#REF!</definedName>
    <definedName name="FDP_59_1_aUrv" localSheetId="12" hidden="1">#REF!</definedName>
    <definedName name="FDP_59_1_aUrv" hidden="1">#REF!</definedName>
    <definedName name="FDP_6_1_aSrv" localSheetId="2" hidden="1">#REF!</definedName>
    <definedName name="FDP_6_1_aSrv" localSheetId="10" hidden="1">#REF!</definedName>
    <definedName name="FDP_6_1_aSrv" localSheetId="6" hidden="1">#REF!</definedName>
    <definedName name="FDP_6_1_aSrv" localSheetId="8" hidden="1">#REF!</definedName>
    <definedName name="FDP_6_1_aSrv" localSheetId="3" hidden="1">#REF!</definedName>
    <definedName name="FDP_6_1_aSrv" localSheetId="7" hidden="1">#REF!</definedName>
    <definedName name="FDP_6_1_aSrv" localSheetId="12" hidden="1">#REF!</definedName>
    <definedName name="FDP_6_1_aSrv" hidden="1">#REF!</definedName>
    <definedName name="FDP_60_1_aUrv" localSheetId="2" hidden="1">#REF!</definedName>
    <definedName name="FDP_60_1_aUrv" localSheetId="10" hidden="1">#REF!</definedName>
    <definedName name="FDP_60_1_aUrv" localSheetId="6" hidden="1">#REF!</definedName>
    <definedName name="FDP_60_1_aUrv" localSheetId="8" hidden="1">#REF!</definedName>
    <definedName name="FDP_60_1_aUrv" localSheetId="3" hidden="1">#REF!</definedName>
    <definedName name="FDP_60_1_aUrv" localSheetId="7" hidden="1">#REF!</definedName>
    <definedName name="FDP_60_1_aUrv" localSheetId="12" hidden="1">#REF!</definedName>
    <definedName name="FDP_60_1_aUrv" hidden="1">#REF!</definedName>
    <definedName name="FDP_61_1_aUrv" localSheetId="2" hidden="1">#REF!</definedName>
    <definedName name="FDP_61_1_aUrv" localSheetId="10" hidden="1">#REF!</definedName>
    <definedName name="FDP_61_1_aUrv" localSheetId="6" hidden="1">#REF!</definedName>
    <definedName name="FDP_61_1_aUrv" localSheetId="8" hidden="1">#REF!</definedName>
    <definedName name="FDP_61_1_aUrv" localSheetId="3" hidden="1">#REF!</definedName>
    <definedName name="FDP_61_1_aUrv" localSheetId="7" hidden="1">#REF!</definedName>
    <definedName name="FDP_61_1_aUrv" localSheetId="12" hidden="1">#REF!</definedName>
    <definedName name="FDP_61_1_aUrv" hidden="1">#REF!</definedName>
    <definedName name="FDP_62_1_aUrv" localSheetId="2" hidden="1">#REF!</definedName>
    <definedName name="FDP_62_1_aUrv" localSheetId="10" hidden="1">#REF!</definedName>
    <definedName name="FDP_62_1_aUrv" localSheetId="6" hidden="1">#REF!</definedName>
    <definedName name="FDP_62_1_aUrv" localSheetId="8" hidden="1">#REF!</definedName>
    <definedName name="FDP_62_1_aUrv" localSheetId="3" hidden="1">#REF!</definedName>
    <definedName name="FDP_62_1_aUrv" localSheetId="7" hidden="1">#REF!</definedName>
    <definedName name="FDP_62_1_aUrv" localSheetId="12" hidden="1">#REF!</definedName>
    <definedName name="FDP_62_1_aUrv" hidden="1">#REF!</definedName>
    <definedName name="FDP_63_1_aUrv" localSheetId="2" hidden="1">#REF!</definedName>
    <definedName name="FDP_63_1_aUrv" localSheetId="10" hidden="1">#REF!</definedName>
    <definedName name="FDP_63_1_aUrv" localSheetId="6" hidden="1">#REF!</definedName>
    <definedName name="FDP_63_1_aUrv" localSheetId="8" hidden="1">#REF!</definedName>
    <definedName name="FDP_63_1_aUrv" localSheetId="3" hidden="1">#REF!</definedName>
    <definedName name="FDP_63_1_aUrv" localSheetId="7" hidden="1">#REF!</definedName>
    <definedName name="FDP_63_1_aUrv" localSheetId="12" hidden="1">#REF!</definedName>
    <definedName name="FDP_63_1_aUrv" hidden="1">#REF!</definedName>
    <definedName name="FDP_64_1_aUrv" localSheetId="2" hidden="1">#REF!</definedName>
    <definedName name="FDP_64_1_aUrv" localSheetId="10" hidden="1">#REF!</definedName>
    <definedName name="FDP_64_1_aUrv" localSheetId="6" hidden="1">#REF!</definedName>
    <definedName name="FDP_64_1_aUrv" localSheetId="8" hidden="1">#REF!</definedName>
    <definedName name="FDP_64_1_aUrv" localSheetId="3" hidden="1">#REF!</definedName>
    <definedName name="FDP_64_1_aUrv" localSheetId="7" hidden="1">#REF!</definedName>
    <definedName name="FDP_64_1_aUrv" localSheetId="12" hidden="1">#REF!</definedName>
    <definedName name="FDP_64_1_aUrv" hidden="1">#REF!</definedName>
    <definedName name="FDP_65_1_aSrv" localSheetId="2" hidden="1">#REF!</definedName>
    <definedName name="FDP_65_1_aSrv" localSheetId="10" hidden="1">#REF!</definedName>
    <definedName name="FDP_65_1_aSrv" localSheetId="6" hidden="1">#REF!</definedName>
    <definedName name="FDP_65_1_aSrv" localSheetId="8" hidden="1">#REF!</definedName>
    <definedName name="FDP_65_1_aSrv" localSheetId="3" hidden="1">#REF!</definedName>
    <definedName name="FDP_65_1_aSrv" localSheetId="7" hidden="1">#REF!</definedName>
    <definedName name="FDP_65_1_aSrv" localSheetId="12" hidden="1">#REF!</definedName>
    <definedName name="FDP_65_1_aSrv" hidden="1">#REF!</definedName>
    <definedName name="FDP_66_1_aSrv" localSheetId="2" hidden="1">#REF!</definedName>
    <definedName name="FDP_66_1_aSrv" localSheetId="10" hidden="1">#REF!</definedName>
    <definedName name="FDP_66_1_aSrv" localSheetId="6" hidden="1">#REF!</definedName>
    <definedName name="FDP_66_1_aSrv" localSheetId="8" hidden="1">#REF!</definedName>
    <definedName name="FDP_66_1_aSrv" localSheetId="3" hidden="1">#REF!</definedName>
    <definedName name="FDP_66_1_aSrv" localSheetId="7" hidden="1">#REF!</definedName>
    <definedName name="FDP_66_1_aSrv" localSheetId="12" hidden="1">#REF!</definedName>
    <definedName name="FDP_66_1_aSrv" hidden="1">#REF!</definedName>
    <definedName name="FDP_67_1_aUrv" localSheetId="2" hidden="1">#REF!</definedName>
    <definedName name="FDP_67_1_aUrv" localSheetId="10" hidden="1">#REF!</definedName>
    <definedName name="FDP_67_1_aUrv" localSheetId="6" hidden="1">#REF!</definedName>
    <definedName name="FDP_67_1_aUrv" localSheetId="8" hidden="1">#REF!</definedName>
    <definedName name="FDP_67_1_aUrv" localSheetId="3" hidden="1">#REF!</definedName>
    <definedName name="FDP_67_1_aUrv" localSheetId="7" hidden="1">#REF!</definedName>
    <definedName name="FDP_67_1_aUrv" localSheetId="12" hidden="1">#REF!</definedName>
    <definedName name="FDP_67_1_aUrv" hidden="1">#REF!</definedName>
    <definedName name="FDP_68_1_aSrv" localSheetId="2" hidden="1">#REF!</definedName>
    <definedName name="FDP_68_1_aSrv" localSheetId="10" hidden="1">#REF!</definedName>
    <definedName name="FDP_68_1_aSrv" localSheetId="6" hidden="1">#REF!</definedName>
    <definedName name="FDP_68_1_aSrv" localSheetId="8" hidden="1">#REF!</definedName>
    <definedName name="FDP_68_1_aSrv" localSheetId="3" hidden="1">#REF!</definedName>
    <definedName name="FDP_68_1_aSrv" localSheetId="7" hidden="1">#REF!</definedName>
    <definedName name="FDP_68_1_aSrv" localSheetId="12" hidden="1">#REF!</definedName>
    <definedName name="FDP_68_1_aSrv" hidden="1">#REF!</definedName>
    <definedName name="FDP_69_1_aSrv" localSheetId="2" hidden="1">#REF!</definedName>
    <definedName name="FDP_69_1_aSrv" localSheetId="10" hidden="1">#REF!</definedName>
    <definedName name="FDP_69_1_aSrv" localSheetId="6" hidden="1">#REF!</definedName>
    <definedName name="FDP_69_1_aSrv" localSheetId="8" hidden="1">#REF!</definedName>
    <definedName name="FDP_69_1_aSrv" localSheetId="3" hidden="1">#REF!</definedName>
    <definedName name="FDP_69_1_aSrv" localSheetId="7" hidden="1">#REF!</definedName>
    <definedName name="FDP_69_1_aSrv" localSheetId="12" hidden="1">#REF!</definedName>
    <definedName name="FDP_69_1_aSrv" hidden="1">#REF!</definedName>
    <definedName name="FDP_7_1_aSrv" localSheetId="2" hidden="1">#REF!</definedName>
    <definedName name="FDP_7_1_aSrv" localSheetId="10" hidden="1">#REF!</definedName>
    <definedName name="FDP_7_1_aSrv" localSheetId="6" hidden="1">#REF!</definedName>
    <definedName name="FDP_7_1_aSrv" localSheetId="8" hidden="1">#REF!</definedName>
    <definedName name="FDP_7_1_aSrv" localSheetId="3" hidden="1">#REF!</definedName>
    <definedName name="FDP_7_1_aSrv" localSheetId="7" hidden="1">#REF!</definedName>
    <definedName name="FDP_7_1_aSrv" localSheetId="12" hidden="1">#REF!</definedName>
    <definedName name="FDP_7_1_aSrv" hidden="1">#REF!</definedName>
    <definedName name="FDP_70_1_aUrv" localSheetId="2" hidden="1">#REF!</definedName>
    <definedName name="FDP_70_1_aUrv" localSheetId="10" hidden="1">#REF!</definedName>
    <definedName name="FDP_70_1_aUrv" localSheetId="6" hidden="1">#REF!</definedName>
    <definedName name="FDP_70_1_aUrv" localSheetId="8" hidden="1">#REF!</definedName>
    <definedName name="FDP_70_1_aUrv" localSheetId="3" hidden="1">#REF!</definedName>
    <definedName name="FDP_70_1_aUrv" localSheetId="7" hidden="1">#REF!</definedName>
    <definedName name="FDP_70_1_aUrv" localSheetId="12" hidden="1">#REF!</definedName>
    <definedName name="FDP_70_1_aUrv" hidden="1">#REF!</definedName>
    <definedName name="FDP_71_1_aUrv" localSheetId="2" hidden="1">#REF!</definedName>
    <definedName name="FDP_71_1_aUrv" localSheetId="10" hidden="1">#REF!</definedName>
    <definedName name="FDP_71_1_aUrv" localSheetId="6" hidden="1">#REF!</definedName>
    <definedName name="FDP_71_1_aUrv" localSheetId="8" hidden="1">#REF!</definedName>
    <definedName name="FDP_71_1_aUrv" localSheetId="3" hidden="1">#REF!</definedName>
    <definedName name="FDP_71_1_aUrv" localSheetId="7" hidden="1">#REF!</definedName>
    <definedName name="FDP_71_1_aUrv" localSheetId="12" hidden="1">#REF!</definedName>
    <definedName name="FDP_71_1_aUrv" hidden="1">#REF!</definedName>
    <definedName name="FDP_72_1_aUrv" localSheetId="2" hidden="1">#REF!</definedName>
    <definedName name="FDP_72_1_aUrv" localSheetId="10" hidden="1">#REF!</definedName>
    <definedName name="FDP_72_1_aUrv" localSheetId="6" hidden="1">#REF!</definedName>
    <definedName name="FDP_72_1_aUrv" localSheetId="8" hidden="1">#REF!</definedName>
    <definedName name="FDP_72_1_aUrv" localSheetId="3" hidden="1">#REF!</definedName>
    <definedName name="FDP_72_1_aUrv" localSheetId="7" hidden="1">#REF!</definedName>
    <definedName name="FDP_72_1_aUrv" localSheetId="12" hidden="1">#REF!</definedName>
    <definedName name="FDP_72_1_aUrv" hidden="1">#REF!</definedName>
    <definedName name="FDP_73_1_aSrv" localSheetId="2" hidden="1">#REF!</definedName>
    <definedName name="FDP_73_1_aSrv" localSheetId="10" hidden="1">#REF!</definedName>
    <definedName name="FDP_73_1_aSrv" localSheetId="6" hidden="1">#REF!</definedName>
    <definedName name="FDP_73_1_aSrv" localSheetId="8" hidden="1">#REF!</definedName>
    <definedName name="FDP_73_1_aSrv" localSheetId="3" hidden="1">#REF!</definedName>
    <definedName name="FDP_73_1_aSrv" localSheetId="7" hidden="1">#REF!</definedName>
    <definedName name="FDP_73_1_aSrv" localSheetId="12" hidden="1">#REF!</definedName>
    <definedName name="FDP_73_1_aSrv" hidden="1">#REF!</definedName>
    <definedName name="FDP_74_1_aDrv" localSheetId="2" hidden="1">#REF!</definedName>
    <definedName name="FDP_74_1_aDrv" localSheetId="10" hidden="1">#REF!</definedName>
    <definedName name="FDP_74_1_aDrv" localSheetId="6" hidden="1">#REF!</definedName>
    <definedName name="FDP_74_1_aDrv" localSheetId="8" hidden="1">#REF!</definedName>
    <definedName name="FDP_74_1_aDrv" localSheetId="3" hidden="1">#REF!</definedName>
    <definedName name="FDP_74_1_aDrv" localSheetId="7" hidden="1">#REF!</definedName>
    <definedName name="FDP_74_1_aDrv" localSheetId="12" hidden="1">#REF!</definedName>
    <definedName name="FDP_74_1_aDrv" hidden="1">#REF!</definedName>
    <definedName name="FDP_75_1_aUrv" localSheetId="2" hidden="1">#REF!</definedName>
    <definedName name="FDP_75_1_aUrv" localSheetId="10" hidden="1">#REF!</definedName>
    <definedName name="FDP_75_1_aUrv" localSheetId="6" hidden="1">#REF!</definedName>
    <definedName name="FDP_75_1_aUrv" localSheetId="8" hidden="1">#REF!</definedName>
    <definedName name="FDP_75_1_aUrv" localSheetId="3" hidden="1">#REF!</definedName>
    <definedName name="FDP_75_1_aUrv" localSheetId="7" hidden="1">#REF!</definedName>
    <definedName name="FDP_75_1_aUrv" localSheetId="12" hidden="1">#REF!</definedName>
    <definedName name="FDP_75_1_aUrv" hidden="1">#REF!</definedName>
    <definedName name="FDP_76_1_aDrv" localSheetId="2" hidden="1">#REF!</definedName>
    <definedName name="FDP_76_1_aDrv" localSheetId="10" hidden="1">#REF!</definedName>
    <definedName name="FDP_76_1_aDrv" localSheetId="6" hidden="1">#REF!</definedName>
    <definedName name="FDP_76_1_aDrv" localSheetId="8" hidden="1">#REF!</definedName>
    <definedName name="FDP_76_1_aDrv" localSheetId="3" hidden="1">#REF!</definedName>
    <definedName name="FDP_76_1_aDrv" localSheetId="7" hidden="1">#REF!</definedName>
    <definedName name="FDP_76_1_aDrv" localSheetId="12" hidden="1">#REF!</definedName>
    <definedName name="FDP_76_1_aDrv" hidden="1">#REF!</definedName>
    <definedName name="FDP_77_1_aUrv" localSheetId="2" hidden="1">#REF!</definedName>
    <definedName name="FDP_77_1_aUrv" localSheetId="10" hidden="1">#REF!</definedName>
    <definedName name="FDP_77_1_aUrv" localSheetId="6" hidden="1">#REF!</definedName>
    <definedName name="FDP_77_1_aUrv" localSheetId="8" hidden="1">#REF!</definedName>
    <definedName name="FDP_77_1_aUrv" localSheetId="3" hidden="1">#REF!</definedName>
    <definedName name="FDP_77_1_aUrv" localSheetId="7" hidden="1">#REF!</definedName>
    <definedName name="FDP_77_1_aUrv" localSheetId="12" hidden="1">#REF!</definedName>
    <definedName name="FDP_77_1_aUrv" hidden="1">#REF!</definedName>
    <definedName name="FDP_78_1_aSrv" localSheetId="2" hidden="1">#REF!</definedName>
    <definedName name="FDP_78_1_aSrv" localSheetId="10" hidden="1">#REF!</definedName>
    <definedName name="FDP_78_1_aSrv" localSheetId="6" hidden="1">#REF!</definedName>
    <definedName name="FDP_78_1_aSrv" localSheetId="8" hidden="1">#REF!</definedName>
    <definedName name="FDP_78_1_aSrv" localSheetId="3" hidden="1">#REF!</definedName>
    <definedName name="FDP_78_1_aSrv" localSheetId="7" hidden="1">#REF!</definedName>
    <definedName name="FDP_78_1_aSrv" localSheetId="12" hidden="1">#REF!</definedName>
    <definedName name="FDP_78_1_aSrv" hidden="1">#REF!</definedName>
    <definedName name="FDP_79_1_aUrv" localSheetId="2" hidden="1">#REF!</definedName>
    <definedName name="FDP_79_1_aUrv" localSheetId="10" hidden="1">#REF!</definedName>
    <definedName name="FDP_79_1_aUrv" localSheetId="6" hidden="1">#REF!</definedName>
    <definedName name="FDP_79_1_aUrv" localSheetId="8" hidden="1">#REF!</definedName>
    <definedName name="FDP_79_1_aUrv" localSheetId="3" hidden="1">#REF!</definedName>
    <definedName name="FDP_79_1_aUrv" localSheetId="7" hidden="1">#REF!</definedName>
    <definedName name="FDP_79_1_aUrv" localSheetId="12" hidden="1">#REF!</definedName>
    <definedName name="FDP_79_1_aUrv" hidden="1">#REF!</definedName>
    <definedName name="FDP_8_1_aUrv" localSheetId="2" hidden="1">#REF!</definedName>
    <definedName name="FDP_8_1_aUrv" localSheetId="10" hidden="1">#REF!</definedName>
    <definedName name="FDP_8_1_aUrv" localSheetId="6" hidden="1">#REF!</definedName>
    <definedName name="FDP_8_1_aUrv" localSheetId="8" hidden="1">#REF!</definedName>
    <definedName name="FDP_8_1_aUrv" localSheetId="3" hidden="1">#REF!</definedName>
    <definedName name="FDP_8_1_aUrv" localSheetId="7" hidden="1">#REF!</definedName>
    <definedName name="FDP_8_1_aUrv" localSheetId="12" hidden="1">#REF!</definedName>
    <definedName name="FDP_8_1_aUrv" hidden="1">#REF!</definedName>
    <definedName name="FDP_80_1_aSrv" localSheetId="2" hidden="1">#REF!</definedName>
    <definedName name="FDP_80_1_aSrv" localSheetId="10" hidden="1">#REF!</definedName>
    <definedName name="FDP_80_1_aSrv" localSheetId="6" hidden="1">#REF!</definedName>
    <definedName name="FDP_80_1_aSrv" localSheetId="8" hidden="1">#REF!</definedName>
    <definedName name="FDP_80_1_aSrv" localSheetId="3" hidden="1">#REF!</definedName>
    <definedName name="FDP_80_1_aSrv" localSheetId="7" hidden="1">#REF!</definedName>
    <definedName name="FDP_80_1_aSrv" localSheetId="12" hidden="1">#REF!</definedName>
    <definedName name="FDP_80_1_aSrv" hidden="1">#REF!</definedName>
    <definedName name="FDP_81_1_aUrv" localSheetId="2" hidden="1">#REF!</definedName>
    <definedName name="FDP_81_1_aUrv" localSheetId="10" hidden="1">#REF!</definedName>
    <definedName name="FDP_81_1_aUrv" localSheetId="6" hidden="1">#REF!</definedName>
    <definedName name="FDP_81_1_aUrv" localSheetId="8" hidden="1">#REF!</definedName>
    <definedName name="FDP_81_1_aUrv" localSheetId="3" hidden="1">#REF!</definedName>
    <definedName name="FDP_81_1_aUrv" localSheetId="7" hidden="1">#REF!</definedName>
    <definedName name="FDP_81_1_aUrv" localSheetId="12" hidden="1">#REF!</definedName>
    <definedName name="FDP_81_1_aUrv" hidden="1">#REF!</definedName>
    <definedName name="FDP_82_1_aUrv" localSheetId="2" hidden="1">#REF!</definedName>
    <definedName name="FDP_82_1_aUrv" localSheetId="10" hidden="1">#REF!</definedName>
    <definedName name="FDP_82_1_aUrv" localSheetId="6" hidden="1">#REF!</definedName>
    <definedName name="FDP_82_1_aUrv" localSheetId="8" hidden="1">#REF!</definedName>
    <definedName name="FDP_82_1_aUrv" localSheetId="3" hidden="1">#REF!</definedName>
    <definedName name="FDP_82_1_aUrv" localSheetId="7" hidden="1">#REF!</definedName>
    <definedName name="FDP_82_1_aUrv" localSheetId="12" hidden="1">#REF!</definedName>
    <definedName name="FDP_82_1_aUrv" hidden="1">#REF!</definedName>
    <definedName name="FDP_83_1_aUrv" localSheetId="2" hidden="1">#REF!</definedName>
    <definedName name="FDP_83_1_aUrv" localSheetId="10" hidden="1">#REF!</definedName>
    <definedName name="FDP_83_1_aUrv" localSheetId="6" hidden="1">#REF!</definedName>
    <definedName name="FDP_83_1_aUrv" localSheetId="8" hidden="1">#REF!</definedName>
    <definedName name="FDP_83_1_aUrv" localSheetId="3" hidden="1">#REF!</definedName>
    <definedName name="FDP_83_1_aUrv" localSheetId="7" hidden="1">#REF!</definedName>
    <definedName name="FDP_83_1_aUrv" localSheetId="12" hidden="1">#REF!</definedName>
    <definedName name="FDP_83_1_aUrv" hidden="1">#REF!</definedName>
    <definedName name="FDP_84_1_aUrv" localSheetId="2" hidden="1">#REF!</definedName>
    <definedName name="FDP_84_1_aUrv" localSheetId="10" hidden="1">#REF!</definedName>
    <definedName name="FDP_84_1_aUrv" localSheetId="6" hidden="1">#REF!</definedName>
    <definedName name="FDP_84_1_aUrv" localSheetId="8" hidden="1">#REF!</definedName>
    <definedName name="FDP_84_1_aUrv" localSheetId="3" hidden="1">#REF!</definedName>
    <definedName name="FDP_84_1_aUrv" localSheetId="7" hidden="1">#REF!</definedName>
    <definedName name="FDP_84_1_aUrv" localSheetId="12" hidden="1">#REF!</definedName>
    <definedName name="FDP_84_1_aUrv" hidden="1">#REF!</definedName>
    <definedName name="FDP_85_1_aUrv" localSheetId="2" hidden="1">#REF!</definedName>
    <definedName name="FDP_85_1_aUrv" localSheetId="10" hidden="1">#REF!</definedName>
    <definedName name="FDP_85_1_aUrv" localSheetId="6" hidden="1">#REF!</definedName>
    <definedName name="FDP_85_1_aUrv" localSheetId="8" hidden="1">#REF!</definedName>
    <definedName name="FDP_85_1_aUrv" localSheetId="3" hidden="1">#REF!</definedName>
    <definedName name="FDP_85_1_aUrv" localSheetId="7" hidden="1">#REF!</definedName>
    <definedName name="FDP_85_1_aUrv" localSheetId="12" hidden="1">#REF!</definedName>
    <definedName name="FDP_85_1_aUrv" hidden="1">#REF!</definedName>
    <definedName name="FDP_86_1_aSrv" localSheetId="2" hidden="1">#REF!</definedName>
    <definedName name="FDP_86_1_aSrv" localSheetId="10" hidden="1">#REF!</definedName>
    <definedName name="FDP_86_1_aSrv" localSheetId="6" hidden="1">#REF!</definedName>
    <definedName name="FDP_86_1_aSrv" localSheetId="8" hidden="1">#REF!</definedName>
    <definedName name="FDP_86_1_aSrv" localSheetId="3" hidden="1">#REF!</definedName>
    <definedName name="FDP_86_1_aSrv" localSheetId="7" hidden="1">#REF!</definedName>
    <definedName name="FDP_86_1_aSrv" localSheetId="12" hidden="1">#REF!</definedName>
    <definedName name="FDP_86_1_aSrv" hidden="1">#REF!</definedName>
    <definedName name="FDP_87_1_aUrv" localSheetId="2" hidden="1">#REF!</definedName>
    <definedName name="FDP_87_1_aUrv" localSheetId="10" hidden="1">#REF!</definedName>
    <definedName name="FDP_87_1_aUrv" localSheetId="6" hidden="1">#REF!</definedName>
    <definedName name="FDP_87_1_aUrv" localSheetId="8" hidden="1">#REF!</definedName>
    <definedName name="FDP_87_1_aUrv" localSheetId="3" hidden="1">#REF!</definedName>
    <definedName name="FDP_87_1_aUrv" localSheetId="7" hidden="1">#REF!</definedName>
    <definedName name="FDP_87_1_aUrv" localSheetId="12" hidden="1">#REF!</definedName>
    <definedName name="FDP_87_1_aUrv" hidden="1">#REF!</definedName>
    <definedName name="FDP_88_1_aSrv" localSheetId="2" hidden="1">#REF!</definedName>
    <definedName name="FDP_88_1_aSrv" localSheetId="10" hidden="1">#REF!</definedName>
    <definedName name="FDP_88_1_aSrv" localSheetId="6" hidden="1">#REF!</definedName>
    <definedName name="FDP_88_1_aSrv" localSheetId="8" hidden="1">#REF!</definedName>
    <definedName name="FDP_88_1_aSrv" localSheetId="3" hidden="1">#REF!</definedName>
    <definedName name="FDP_88_1_aSrv" localSheetId="7" hidden="1">#REF!</definedName>
    <definedName name="FDP_88_1_aSrv" localSheetId="12" hidden="1">#REF!</definedName>
    <definedName name="FDP_88_1_aSrv" hidden="1">#REF!</definedName>
    <definedName name="FDP_89_1_aUrv" localSheetId="2" hidden="1">#REF!</definedName>
    <definedName name="FDP_89_1_aUrv" localSheetId="10" hidden="1">#REF!</definedName>
    <definedName name="FDP_89_1_aUrv" localSheetId="6" hidden="1">#REF!</definedName>
    <definedName name="FDP_89_1_aUrv" localSheetId="8" hidden="1">#REF!</definedName>
    <definedName name="FDP_89_1_aUrv" localSheetId="3" hidden="1">#REF!</definedName>
    <definedName name="FDP_89_1_aUrv" localSheetId="7" hidden="1">#REF!</definedName>
    <definedName name="FDP_89_1_aUrv" localSheetId="12" hidden="1">#REF!</definedName>
    <definedName name="FDP_89_1_aUrv" hidden="1">#REF!</definedName>
    <definedName name="FDP_9_1_aSrv" localSheetId="2" hidden="1">#REF!</definedName>
    <definedName name="FDP_9_1_aSrv" localSheetId="10" hidden="1">#REF!</definedName>
    <definedName name="FDP_9_1_aSrv" localSheetId="6" hidden="1">#REF!</definedName>
    <definedName name="FDP_9_1_aSrv" localSheetId="8" hidden="1">#REF!</definedName>
    <definedName name="FDP_9_1_aSrv" localSheetId="3" hidden="1">#REF!</definedName>
    <definedName name="FDP_9_1_aSrv" localSheetId="7" hidden="1">#REF!</definedName>
    <definedName name="FDP_9_1_aSrv" localSheetId="12" hidden="1">#REF!</definedName>
    <definedName name="FDP_9_1_aSrv" hidden="1">#REF!</definedName>
    <definedName name="FDP_90_1_aUrv" localSheetId="2" hidden="1">#REF!</definedName>
    <definedName name="FDP_90_1_aUrv" localSheetId="10" hidden="1">#REF!</definedName>
    <definedName name="FDP_90_1_aUrv" localSheetId="6" hidden="1">#REF!</definedName>
    <definedName name="FDP_90_1_aUrv" localSheetId="8" hidden="1">#REF!</definedName>
    <definedName name="FDP_90_1_aUrv" localSheetId="3" hidden="1">#REF!</definedName>
    <definedName name="FDP_90_1_aUrv" localSheetId="7" hidden="1">#REF!</definedName>
    <definedName name="FDP_90_1_aUrv" localSheetId="12" hidden="1">#REF!</definedName>
    <definedName name="FDP_90_1_aUrv" hidden="1">#REF!</definedName>
    <definedName name="FDP_91_1_aUrv" localSheetId="2" hidden="1">#REF!</definedName>
    <definedName name="FDP_91_1_aUrv" localSheetId="10" hidden="1">#REF!</definedName>
    <definedName name="FDP_91_1_aUrv" localSheetId="6" hidden="1">#REF!</definedName>
    <definedName name="FDP_91_1_aUrv" localSheetId="8" hidden="1">#REF!</definedName>
    <definedName name="FDP_91_1_aUrv" localSheetId="3" hidden="1">#REF!</definedName>
    <definedName name="FDP_91_1_aUrv" localSheetId="7" hidden="1">#REF!</definedName>
    <definedName name="FDP_91_1_aUrv" localSheetId="12" hidden="1">#REF!</definedName>
    <definedName name="FDP_91_1_aUrv" hidden="1">#REF!</definedName>
    <definedName name="FDP_92_1_aSrv" localSheetId="2" hidden="1">#REF!</definedName>
    <definedName name="FDP_92_1_aSrv" localSheetId="10" hidden="1">#REF!</definedName>
    <definedName name="FDP_92_1_aSrv" localSheetId="6" hidden="1">#REF!</definedName>
    <definedName name="FDP_92_1_aSrv" localSheetId="8" hidden="1">#REF!</definedName>
    <definedName name="FDP_92_1_aSrv" localSheetId="3" hidden="1">#REF!</definedName>
    <definedName name="FDP_92_1_aSrv" localSheetId="7" hidden="1">#REF!</definedName>
    <definedName name="FDP_92_1_aSrv" localSheetId="12" hidden="1">#REF!</definedName>
    <definedName name="FDP_92_1_aSrv" hidden="1">#REF!</definedName>
    <definedName name="FDP_93_1_aUrv" localSheetId="2" hidden="1">#REF!</definedName>
    <definedName name="FDP_93_1_aUrv" localSheetId="10" hidden="1">#REF!</definedName>
    <definedName name="FDP_93_1_aUrv" localSheetId="6" hidden="1">#REF!</definedName>
    <definedName name="FDP_93_1_aUrv" localSheetId="8" hidden="1">#REF!</definedName>
    <definedName name="FDP_93_1_aUrv" localSheetId="3" hidden="1">#REF!</definedName>
    <definedName name="FDP_93_1_aUrv" localSheetId="7" hidden="1">#REF!</definedName>
    <definedName name="FDP_93_1_aUrv" localSheetId="12" hidden="1">#REF!</definedName>
    <definedName name="FDP_93_1_aUrv" hidden="1">#REF!</definedName>
    <definedName name="FDP_94_1_aSrv" localSheetId="2" hidden="1">#REF!</definedName>
    <definedName name="FDP_94_1_aSrv" localSheetId="10" hidden="1">#REF!</definedName>
    <definedName name="FDP_94_1_aSrv" localSheetId="6" hidden="1">#REF!</definedName>
    <definedName name="FDP_94_1_aSrv" localSheetId="8" hidden="1">#REF!</definedName>
    <definedName name="FDP_94_1_aSrv" localSheetId="3" hidden="1">#REF!</definedName>
    <definedName name="FDP_94_1_aSrv" localSheetId="7" hidden="1">#REF!</definedName>
    <definedName name="FDP_94_1_aSrv" localSheetId="12" hidden="1">#REF!</definedName>
    <definedName name="FDP_94_1_aSrv" hidden="1">#REF!</definedName>
    <definedName name="FDP_95_1_aUrv" localSheetId="2" hidden="1">#REF!</definedName>
    <definedName name="FDP_95_1_aUrv" localSheetId="10" hidden="1">#REF!</definedName>
    <definedName name="FDP_95_1_aUrv" localSheetId="6" hidden="1">#REF!</definedName>
    <definedName name="FDP_95_1_aUrv" localSheetId="8" hidden="1">#REF!</definedName>
    <definedName name="FDP_95_1_aUrv" localSheetId="3" hidden="1">#REF!</definedName>
    <definedName name="FDP_95_1_aUrv" localSheetId="7" hidden="1">#REF!</definedName>
    <definedName name="FDP_95_1_aUrv" localSheetId="12" hidden="1">#REF!</definedName>
    <definedName name="FDP_95_1_aUrv" hidden="1">#REF!</definedName>
    <definedName name="FDP_96_1_aUrv" localSheetId="2" hidden="1">#REF!</definedName>
    <definedName name="FDP_96_1_aUrv" localSheetId="10" hidden="1">#REF!</definedName>
    <definedName name="FDP_96_1_aUrv" localSheetId="6" hidden="1">#REF!</definedName>
    <definedName name="FDP_96_1_aUrv" localSheetId="8" hidden="1">#REF!</definedName>
    <definedName name="FDP_96_1_aUrv" localSheetId="3" hidden="1">#REF!</definedName>
    <definedName name="FDP_96_1_aUrv" localSheetId="7" hidden="1">#REF!</definedName>
    <definedName name="FDP_96_1_aUrv" localSheetId="12" hidden="1">#REF!</definedName>
    <definedName name="FDP_96_1_aUrv" hidden="1">#REF!</definedName>
    <definedName name="FDP_97_1_aSrv" localSheetId="2" hidden="1">#REF!</definedName>
    <definedName name="FDP_97_1_aSrv" localSheetId="10" hidden="1">#REF!</definedName>
    <definedName name="FDP_97_1_aSrv" localSheetId="6" hidden="1">#REF!</definedName>
    <definedName name="FDP_97_1_aSrv" localSheetId="8" hidden="1">#REF!</definedName>
    <definedName name="FDP_97_1_aSrv" localSheetId="3" hidden="1">#REF!</definedName>
    <definedName name="FDP_97_1_aSrv" localSheetId="7" hidden="1">#REF!</definedName>
    <definedName name="FDP_97_1_aSrv" localSheetId="12" hidden="1">#REF!</definedName>
    <definedName name="FDP_97_1_aSrv" hidden="1">#REF!</definedName>
    <definedName name="FDP_98_1_aDrv" localSheetId="2" hidden="1">#REF!</definedName>
    <definedName name="FDP_98_1_aDrv" localSheetId="10" hidden="1">#REF!</definedName>
    <definedName name="FDP_98_1_aDrv" localSheetId="6" hidden="1">#REF!</definedName>
    <definedName name="FDP_98_1_aDrv" localSheetId="8" hidden="1">#REF!</definedName>
    <definedName name="FDP_98_1_aDrv" localSheetId="3" hidden="1">#REF!</definedName>
    <definedName name="FDP_98_1_aDrv" localSheetId="7" hidden="1">#REF!</definedName>
    <definedName name="FDP_98_1_aDrv" localSheetId="12" hidden="1">#REF!</definedName>
    <definedName name="FDP_98_1_aDrv" hidden="1">#REF!</definedName>
    <definedName name="FDP_99_1_aUrv" localSheetId="2" hidden="1">#REF!</definedName>
    <definedName name="FDP_99_1_aUrv" localSheetId="10" hidden="1">#REF!</definedName>
    <definedName name="FDP_99_1_aUrv" localSheetId="6" hidden="1">#REF!</definedName>
    <definedName name="FDP_99_1_aUrv" localSheetId="8" hidden="1">#REF!</definedName>
    <definedName name="FDP_99_1_aUrv" localSheetId="3" hidden="1">#REF!</definedName>
    <definedName name="FDP_99_1_aUrv" localSheetId="7" hidden="1">#REF!</definedName>
    <definedName name="FDP_99_1_aUrv" localSheetId="12" hidden="1">#REF!</definedName>
    <definedName name="FDP_99_1_aUrv" hidden="1">#REF!</definedName>
    <definedName name="ff"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1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inding_Costs">#REF!</definedName>
    <definedName name="FootnoteDrop">#REF!</definedName>
    <definedName name="FootnoteDrop1">#REF!</definedName>
    <definedName name="FootnoteDrop10">#REF!</definedName>
    <definedName name="FootnoteDrop100">#REF!</definedName>
    <definedName name="FootnoteDrop11">#REF!</definedName>
    <definedName name="FootnoteDrop12">#REF!</definedName>
    <definedName name="FootnoteDrop13">#REF!</definedName>
    <definedName name="FootnoteDrop14">#REF!</definedName>
    <definedName name="FootnoteDrop15">#REF!</definedName>
    <definedName name="FootnoteDrop16">#REF!</definedName>
    <definedName name="FootnoteDrop17">#REF!</definedName>
    <definedName name="FootnoteDrop18">#REF!</definedName>
    <definedName name="FootnoteDrop19">#REF!</definedName>
    <definedName name="FootnoteDrop2">#REF!</definedName>
    <definedName name="FootnoteDrop20">#REF!</definedName>
    <definedName name="FootnoteDrop21">#REF!</definedName>
    <definedName name="FootnoteDrop22">#REF!</definedName>
    <definedName name="FootnoteDrop23">#REF!</definedName>
    <definedName name="FootnoteDrop24">#REF!</definedName>
    <definedName name="FootnoteDrop25">#REF!</definedName>
    <definedName name="FootnoteDrop26">#REF!</definedName>
    <definedName name="FootnoteDrop27">#REF!</definedName>
    <definedName name="FootnoteDrop28">#REF!</definedName>
    <definedName name="FootnoteDrop29">#REF!</definedName>
    <definedName name="FootnoteDrop3">#REF!</definedName>
    <definedName name="FootnoteDrop30">#REF!</definedName>
    <definedName name="FootnoteDrop31">#REF!</definedName>
    <definedName name="FootnoteDrop32">#REF!</definedName>
    <definedName name="FootnoteDrop33">#REF!</definedName>
    <definedName name="FootnoteDrop34">#REF!</definedName>
    <definedName name="FootnoteDrop35">#REF!</definedName>
    <definedName name="FootnoteDrop36">#REF!</definedName>
    <definedName name="FootnoteDrop37">#REF!</definedName>
    <definedName name="FootnoteDrop38">#REF!</definedName>
    <definedName name="FootnoteDrop39">#REF!</definedName>
    <definedName name="FootnoteDrop4">#REF!</definedName>
    <definedName name="FootnoteDrop40">#REF!</definedName>
    <definedName name="FootnoteDrop41">#REF!</definedName>
    <definedName name="FootnoteDrop42">#REF!</definedName>
    <definedName name="FootnoteDrop43">#REF!</definedName>
    <definedName name="FootnoteDrop44">#REF!</definedName>
    <definedName name="FootnoteDrop45">#REF!</definedName>
    <definedName name="FootnoteDrop46">#REF!</definedName>
    <definedName name="FootnoteDrop47">#REF!</definedName>
    <definedName name="FootnoteDrop48">#REF!</definedName>
    <definedName name="FootnoteDrop49">#REF!</definedName>
    <definedName name="FootnoteDrop5">#REF!</definedName>
    <definedName name="FootnoteDrop50">#REF!</definedName>
    <definedName name="FootnoteDrop51">#REF!</definedName>
    <definedName name="FootnoteDrop52">#REF!</definedName>
    <definedName name="FootnoteDrop53">#REF!</definedName>
    <definedName name="FootnoteDrop54">#REF!</definedName>
    <definedName name="FootnoteDrop55">#REF!</definedName>
    <definedName name="FootnoteDrop56">#REF!</definedName>
    <definedName name="FootnoteDrop57">#REF!</definedName>
    <definedName name="FootnoteDrop58">#REF!</definedName>
    <definedName name="FootnoteDrop59">#REF!</definedName>
    <definedName name="FootnoteDrop6">#REF!</definedName>
    <definedName name="FootnoteDrop60">#REF!</definedName>
    <definedName name="FootnoteDrop61">#REF!</definedName>
    <definedName name="FootnoteDrop62">#REF!</definedName>
    <definedName name="FootnoteDrop63">#REF!</definedName>
    <definedName name="FootnoteDrop64">#REF!</definedName>
    <definedName name="FootnoteDrop65">#REF!</definedName>
    <definedName name="FootnoteDrop66">#REF!</definedName>
    <definedName name="FootnoteDrop67">#REF!</definedName>
    <definedName name="FootnoteDrop68">#REF!</definedName>
    <definedName name="FootnoteDrop69">#REF!</definedName>
    <definedName name="FootnoteDrop7">#REF!</definedName>
    <definedName name="FootnoteDrop70">#REF!</definedName>
    <definedName name="FootnoteDrop71">#REF!</definedName>
    <definedName name="FootnoteDrop72">#REF!</definedName>
    <definedName name="FootnoteDrop73">#REF!</definedName>
    <definedName name="FootnoteDrop74">#REF!</definedName>
    <definedName name="FootnoteDrop75">#REF!</definedName>
    <definedName name="FootnoteDrop76">#REF!</definedName>
    <definedName name="FootnoteDrop77">#REF!</definedName>
    <definedName name="FootnoteDrop78">#REF!</definedName>
    <definedName name="FootnoteDrop79">#REF!</definedName>
    <definedName name="FootnoteDrop8">#REF!</definedName>
    <definedName name="FootnoteDrop80">#REF!</definedName>
    <definedName name="FootnoteDrop81">#REF!</definedName>
    <definedName name="FootnoteDrop82">#REF!</definedName>
    <definedName name="FootnoteDrop83">#REF!</definedName>
    <definedName name="FootnoteDrop84">#REF!</definedName>
    <definedName name="FootnoteDrop85">#REF!</definedName>
    <definedName name="FootnoteDrop86">#REF!</definedName>
    <definedName name="FootnoteDrop87">#REF!</definedName>
    <definedName name="FootnoteDrop88">#REF!</definedName>
    <definedName name="FootnoteDrop89">#REF!</definedName>
    <definedName name="FootnoteDrop9">#REF!</definedName>
    <definedName name="FootnoteDrop90">#REF!</definedName>
    <definedName name="FootnoteDrop91">#REF!</definedName>
    <definedName name="FootnoteDrop92">#REF!</definedName>
    <definedName name="FootnoteDrop93">#REF!</definedName>
    <definedName name="FootnoteDrop94">#REF!</definedName>
    <definedName name="FootnoteDrop95">#REF!</definedName>
    <definedName name="FootnoteDrop96">#REF!</definedName>
    <definedName name="FootnoteDrop97">#REF!</definedName>
    <definedName name="FootnoteDrop98">#REF!</definedName>
    <definedName name="FootnoteDrop99">#REF!</definedName>
    <definedName name="forecast" localSheetId="2"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0"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6"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8"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9"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3"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7"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2"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Y_1995">#REF!</definedName>
    <definedName name="FY_1996">#REF!</definedName>
    <definedName name="g" localSheetId="2" hidden="1">{"comps",#N/A,FALSE,"TXTCOMPS";"segment_EPS",#N/A,FALSE,"TXTCOMPS";"valuation",#N/A,FALSE,"TXTCOMPS"}</definedName>
    <definedName name="g" localSheetId="10" hidden="1">{"comps",#N/A,FALSE,"TXTCOMPS";"segment_EPS",#N/A,FALSE,"TXTCOMPS";"valuation",#N/A,FALSE,"TXTCOMPS"}</definedName>
    <definedName name="g" localSheetId="6" hidden="1">{"comps",#N/A,FALSE,"TXTCOMPS";"segment_EPS",#N/A,FALSE,"TXTCOMPS";"valuation",#N/A,FALSE,"TXTCOMPS"}</definedName>
    <definedName name="g" localSheetId="8" hidden="1">{"comps",#N/A,FALSE,"TXTCOMPS";"segment_EPS",#N/A,FALSE,"TXTCOMPS";"valuation",#N/A,FALSE,"TXTCOMPS"}</definedName>
    <definedName name="g" localSheetId="9" hidden="1">{"comps",#N/A,FALSE,"TXTCOMPS";"segment_EPS",#N/A,FALSE,"TXTCOMPS";"valuation",#N/A,FALSE,"TXTCOMPS"}</definedName>
    <definedName name="g" localSheetId="3" hidden="1">{"comps",#N/A,FALSE,"TXTCOMPS";"segment_EPS",#N/A,FALSE,"TXTCOMPS";"valuation",#N/A,FALSE,"TXTCOMPS"}</definedName>
    <definedName name="g" localSheetId="7" hidden="1">{"comps",#N/A,FALSE,"TXTCOMPS";"segment_EPS",#N/A,FALSE,"TXTCOMPS";"valuation",#N/A,FALSE,"TXTCOMPS"}</definedName>
    <definedName name="g" localSheetId="12" hidden="1">{"comps",#N/A,FALSE,"TXTCOMPS";"segment_EPS",#N/A,FALSE,"TXTCOMPS";"valuation",#N/A,FALSE,"TXTCOMPS"}</definedName>
    <definedName name="g" hidden="1">{"comps",#N/A,FALSE,"TXTCOMPS";"segment_EPS",#N/A,FALSE,"TXTCOMPS";"valuation",#N/A,FALSE,"TXTCOMPS"}</definedName>
    <definedName name="gde"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LM">#REF!</definedName>
    <definedName name="gls_ACT_EST_ROW" localSheetId="2" hidden="1">#REF!</definedName>
    <definedName name="gls_ACT_EST_ROW" localSheetId="10" hidden="1">#REF!</definedName>
    <definedName name="gls_ACT_EST_ROW" localSheetId="6" hidden="1">#REF!</definedName>
    <definedName name="gls_ACT_EST_ROW" localSheetId="8" hidden="1">#REF!</definedName>
    <definedName name="gls_ACT_EST_ROW" localSheetId="9" hidden="1">#REF!</definedName>
    <definedName name="gls_ACT_EST_ROW" localSheetId="3" hidden="1">#REF!</definedName>
    <definedName name="gls_ACT_EST_ROW" localSheetId="7" hidden="1">#REF!</definedName>
    <definedName name="gls_ACT_EST_ROW" localSheetId="12" hidden="1">#REF!</definedName>
    <definedName name="gls_ACT_EST_ROW" hidden="1">#REF!</definedName>
    <definedName name="gls_ACT_FORM_OFFSET" localSheetId="2" hidden="1">#REF!</definedName>
    <definedName name="gls_ACT_FORM_OFFSET" localSheetId="10" hidden="1">#REF!</definedName>
    <definedName name="gls_ACT_FORM_OFFSET" localSheetId="6" hidden="1">#REF!</definedName>
    <definedName name="gls_ACT_FORM_OFFSET" localSheetId="8" hidden="1">#REF!</definedName>
    <definedName name="gls_ACT_FORM_OFFSET" localSheetId="9" hidden="1">#REF!</definedName>
    <definedName name="gls_ACT_FORM_OFFSET" localSheetId="3" hidden="1">#REF!</definedName>
    <definedName name="gls_ACT_FORM_OFFSET" localSheetId="7" hidden="1">#REF!</definedName>
    <definedName name="gls_ACT_FORM_OFFSET" localSheetId="12" hidden="1">#REF!</definedName>
    <definedName name="gls_ACT_FORM_OFFSET" hidden="1">#REF!</definedName>
    <definedName name="gls_AnalystEmpNoHeading" localSheetId="2" hidden="1">#REF!</definedName>
    <definedName name="gls_AnalystEmpNoHeading" localSheetId="10" hidden="1">#REF!</definedName>
    <definedName name="gls_AnalystEmpNoHeading" localSheetId="6" hidden="1">#REF!</definedName>
    <definedName name="gls_AnalystEmpNoHeading" localSheetId="8" hidden="1">#REF!</definedName>
    <definedName name="gls_AnalystEmpNoHeading" localSheetId="9" hidden="1">#REF!</definedName>
    <definedName name="gls_AnalystEmpNoHeading" localSheetId="3" hidden="1">#REF!</definedName>
    <definedName name="gls_AnalystEmpNoHeading" localSheetId="7" hidden="1">#REF!</definedName>
    <definedName name="gls_AnalystEmpNoHeading" localSheetId="12" hidden="1">#REF!</definedName>
    <definedName name="gls_AnalystEmpNoHeading" hidden="1">#REF!</definedName>
    <definedName name="gls_AnalystNameHeading" localSheetId="2" hidden="1">#REF!</definedName>
    <definedName name="gls_AnalystNameHeading" localSheetId="10" hidden="1">#REF!</definedName>
    <definedName name="gls_AnalystNameHeading" localSheetId="6" hidden="1">#REF!</definedName>
    <definedName name="gls_AnalystNameHeading" localSheetId="8" hidden="1">#REF!</definedName>
    <definedName name="gls_AnalystNameHeading" localSheetId="3" hidden="1">#REF!</definedName>
    <definedName name="gls_AnalystNameHeading" localSheetId="7" hidden="1">#REF!</definedName>
    <definedName name="gls_AnalystNameHeading" localSheetId="12" hidden="1">#REF!</definedName>
    <definedName name="gls_AnalystNameHeading" hidden="1">#REF!</definedName>
    <definedName name="gls_EST_FORM_OFFSET" localSheetId="2" hidden="1">#REF!</definedName>
    <definedName name="gls_EST_FORM_OFFSET" localSheetId="10" hidden="1">#REF!</definedName>
    <definedName name="gls_EST_FORM_OFFSET" localSheetId="6" hidden="1">#REF!</definedName>
    <definedName name="gls_EST_FORM_OFFSET" localSheetId="8" hidden="1">#REF!</definedName>
    <definedName name="gls_EST_FORM_OFFSET" localSheetId="3" hidden="1">#REF!</definedName>
    <definedName name="gls_EST_FORM_OFFSET" localSheetId="7" hidden="1">#REF!</definedName>
    <definedName name="gls_EST_FORM_OFFSET" localSheetId="12" hidden="1">#REF!</definedName>
    <definedName name="gls_EST_FORM_OFFSET" hidden="1">#REF!</definedName>
    <definedName name="gls_EXTERNAL_COL_REF" localSheetId="2" hidden="1">#REF!</definedName>
    <definedName name="gls_EXTERNAL_COL_REF" localSheetId="10" hidden="1">#REF!</definedName>
    <definedName name="gls_EXTERNAL_COL_REF" localSheetId="6" hidden="1">#REF!</definedName>
    <definedName name="gls_EXTERNAL_COL_REF" localSheetId="8" hidden="1">#REF!</definedName>
    <definedName name="gls_EXTERNAL_COL_REF" localSheetId="3" hidden="1">#REF!</definedName>
    <definedName name="gls_EXTERNAL_COL_REF" localSheetId="7" hidden="1">#REF!</definedName>
    <definedName name="gls_EXTERNAL_COL_REF" localSheetId="12" hidden="1">#REF!</definedName>
    <definedName name="gls_EXTERNAL_COL_REF" hidden="1">#REF!</definedName>
    <definedName name="gls_FIRST_ITEM" localSheetId="2" hidden="1">#REF!</definedName>
    <definedName name="gls_FIRST_ITEM" localSheetId="10" hidden="1">#REF!</definedName>
    <definedName name="gls_FIRST_ITEM" localSheetId="6" hidden="1">#REF!</definedName>
    <definedName name="gls_FIRST_ITEM" localSheetId="8" hidden="1">#REF!</definedName>
    <definedName name="gls_FIRST_ITEM" localSheetId="3" hidden="1">#REF!</definedName>
    <definedName name="gls_FIRST_ITEM" localSheetId="7" hidden="1">#REF!</definedName>
    <definedName name="gls_FIRST_ITEM" localSheetId="12" hidden="1">#REF!</definedName>
    <definedName name="gls_FIRST_ITEM" hidden="1">#REF!</definedName>
    <definedName name="gls_FIRST_PK" localSheetId="2" hidden="1">#REF!</definedName>
    <definedName name="gls_FIRST_PK" localSheetId="10" hidden="1">#REF!</definedName>
    <definedName name="gls_FIRST_PK" localSheetId="6" hidden="1">#REF!</definedName>
    <definedName name="gls_FIRST_PK" localSheetId="8" hidden="1">#REF!</definedName>
    <definedName name="gls_FIRST_PK" localSheetId="3" hidden="1">#REF!</definedName>
    <definedName name="gls_FIRST_PK" localSheetId="7" hidden="1">#REF!</definedName>
    <definedName name="gls_FIRST_PK" localSheetId="12" hidden="1">#REF!</definedName>
    <definedName name="gls_FIRST_PK" hidden="1">#REF!</definedName>
    <definedName name="gls_FIRST_ROWMULT" localSheetId="2" hidden="1">#REF!</definedName>
    <definedName name="gls_FIRST_ROWMULT" localSheetId="10" hidden="1">#REF!</definedName>
    <definedName name="gls_FIRST_ROWMULT" localSheetId="6" hidden="1">#REF!</definedName>
    <definedName name="gls_FIRST_ROWMULT" localSheetId="8" hidden="1">#REF!</definedName>
    <definedName name="gls_FIRST_ROWMULT" localSheetId="3" hidden="1">#REF!</definedName>
    <definedName name="gls_FIRST_ROWMULT" localSheetId="7" hidden="1">#REF!</definedName>
    <definedName name="gls_FIRST_ROWMULT" localSheetId="12" hidden="1">#REF!</definedName>
    <definedName name="gls_FIRST_ROWMULT" hidden="1">#REF!</definedName>
    <definedName name="gls_FIRST_UNITS" localSheetId="2" hidden="1">#REF!</definedName>
    <definedName name="gls_FIRST_UNITS" localSheetId="10" hidden="1">#REF!</definedName>
    <definedName name="gls_FIRST_UNITS" localSheetId="6" hidden="1">#REF!</definedName>
    <definedName name="gls_FIRST_UNITS" localSheetId="8" hidden="1">#REF!</definedName>
    <definedName name="gls_FIRST_UNITS" localSheetId="3" hidden="1">#REF!</definedName>
    <definedName name="gls_FIRST_UNITS" localSheetId="7" hidden="1">#REF!</definedName>
    <definedName name="gls_FIRST_UNITS" localSheetId="12" hidden="1">#REF!</definedName>
    <definedName name="gls_FIRST_UNITS" hidden="1">#REF!</definedName>
    <definedName name="gls_FIXED_NAMES" localSheetId="2" hidden="1">#REF!</definedName>
    <definedName name="gls_FIXED_NAMES" localSheetId="10" hidden="1">#REF!</definedName>
    <definedName name="gls_FIXED_NAMES" localSheetId="6" hidden="1">#REF!</definedName>
    <definedName name="gls_FIXED_NAMES" localSheetId="8" hidden="1">#REF!</definedName>
    <definedName name="gls_FIXED_NAMES" localSheetId="3" hidden="1">#REF!</definedName>
    <definedName name="gls_FIXED_NAMES" localSheetId="7" hidden="1">#REF!</definedName>
    <definedName name="gls_FIXED_NAMES" localSheetId="12" hidden="1">#REF!</definedName>
    <definedName name="gls_FIXED_NAMES" hidden="1">#REF!</definedName>
    <definedName name="gls_FONT_STATUS" localSheetId="2" hidden="1">#REF!</definedName>
    <definedName name="gls_FONT_STATUS" localSheetId="10" hidden="1">#REF!</definedName>
    <definedName name="gls_FONT_STATUS" localSheetId="6" hidden="1">#REF!</definedName>
    <definedName name="gls_FONT_STATUS" localSheetId="8" hidden="1">#REF!</definedName>
    <definedName name="gls_FONT_STATUS" localSheetId="3" hidden="1">#REF!</definedName>
    <definedName name="gls_FONT_STATUS" localSheetId="7" hidden="1">#REF!</definedName>
    <definedName name="gls_FONT_STATUS" localSheetId="12" hidden="1">#REF!</definedName>
    <definedName name="gls_FONT_STATUS" hidden="1">#REF!</definedName>
    <definedName name="gls_GenAccountingConvention" localSheetId="2" hidden="1">#REF!</definedName>
    <definedName name="gls_GenAccountingConvention" localSheetId="10" hidden="1">#REF!</definedName>
    <definedName name="gls_GenAccountingConvention" localSheetId="6" hidden="1">#REF!</definedName>
    <definedName name="gls_GenAccountingConvention" localSheetId="8" hidden="1">#REF!</definedName>
    <definedName name="gls_GenAccountingConvention" localSheetId="3" hidden="1">#REF!</definedName>
    <definedName name="gls_GenAccountingConvention" localSheetId="7" hidden="1">#REF!</definedName>
    <definedName name="gls_GenAccountingConvention" localSheetId="12" hidden="1">#REF!</definedName>
    <definedName name="gls_GenAccountingConvention" hidden="1">#REF!</definedName>
    <definedName name="gls_GenCompany" localSheetId="2" hidden="1">#REF!</definedName>
    <definedName name="gls_GenCompany" localSheetId="10" hidden="1">#REF!</definedName>
    <definedName name="gls_GenCompany" localSheetId="6" hidden="1">#REF!</definedName>
    <definedName name="gls_GenCompany" localSheetId="8" hidden="1">#REF!</definedName>
    <definedName name="gls_GenCompany" localSheetId="3" hidden="1">#REF!</definedName>
    <definedName name="gls_GenCompany" localSheetId="7" hidden="1">#REF!</definedName>
    <definedName name="gls_GenCompany" localSheetId="12" hidden="1">#REF!</definedName>
    <definedName name="gls_GenCompany" hidden="1">#REF!</definedName>
    <definedName name="gls_GenCompanyInfo" localSheetId="2" hidden="1">#REF!</definedName>
    <definedName name="gls_GenCompanyInfo" localSheetId="10" hidden="1">#REF!</definedName>
    <definedName name="gls_GenCompanyInfo" localSheetId="6" hidden="1">#REF!</definedName>
    <definedName name="gls_GenCompanyInfo" localSheetId="8" hidden="1">#REF!</definedName>
    <definedName name="gls_GenCompanyInfo" localSheetId="3" hidden="1">#REF!</definedName>
    <definedName name="gls_GenCompanyInfo" localSheetId="7" hidden="1">#REF!</definedName>
    <definedName name="gls_GenCompanyInfo" localSheetId="12" hidden="1">#REF!</definedName>
    <definedName name="gls_GenCompanyInfo" hidden="1">#REF!</definedName>
    <definedName name="gls_GenCountry" localSheetId="2" hidden="1">#REF!</definedName>
    <definedName name="gls_GenCountry" localSheetId="10" hidden="1">#REF!</definedName>
    <definedName name="gls_GenCountry" localSheetId="6" hidden="1">#REF!</definedName>
    <definedName name="gls_GenCountry" localSheetId="8" hidden="1">#REF!</definedName>
    <definedName name="gls_GenCountry" localSheetId="3" hidden="1">#REF!</definedName>
    <definedName name="gls_GenCountry" localSheetId="7" hidden="1">#REF!</definedName>
    <definedName name="gls_GenCountry" localSheetId="12" hidden="1">#REF!</definedName>
    <definedName name="gls_GenCountry" hidden="1">#REF!</definedName>
    <definedName name="gls_GenCurrency" localSheetId="2" hidden="1">#REF!</definedName>
    <definedName name="gls_GenCurrency" localSheetId="10" hidden="1">#REF!</definedName>
    <definedName name="gls_GenCurrency" localSheetId="6" hidden="1">#REF!</definedName>
    <definedName name="gls_GenCurrency" localSheetId="8" hidden="1">#REF!</definedName>
    <definedName name="gls_GenCurrency" localSheetId="3" hidden="1">#REF!</definedName>
    <definedName name="gls_GenCurrency" localSheetId="7" hidden="1">#REF!</definedName>
    <definedName name="gls_GenCurrency" localSheetId="12" hidden="1">#REF!</definedName>
    <definedName name="gls_GenCurrency" hidden="1">#REF!</definedName>
    <definedName name="gls_GenCurrencyMultiplier" localSheetId="2" hidden="1">#REF!</definedName>
    <definedName name="gls_GenCurrencyMultiplier" localSheetId="10" hidden="1">#REF!</definedName>
    <definedName name="gls_GenCurrencyMultiplier" localSheetId="6" hidden="1">#REF!</definedName>
    <definedName name="gls_GenCurrencyMultiplier" localSheetId="8" hidden="1">#REF!</definedName>
    <definedName name="gls_GenCurrencyMultiplier" localSheetId="3" hidden="1">#REF!</definedName>
    <definedName name="gls_GenCurrencyMultiplier" localSheetId="7" hidden="1">#REF!</definedName>
    <definedName name="gls_GenCurrencyMultiplier" localSheetId="12" hidden="1">#REF!</definedName>
    <definedName name="gls_GenCurrencyMultiplier" hidden="1">#REF!</definedName>
    <definedName name="gls_GenEnterCompInfo" localSheetId="2" hidden="1">#REF!</definedName>
    <definedName name="gls_GenEnterCompInfo" localSheetId="10" hidden="1">#REF!</definedName>
    <definedName name="gls_GenEnterCompInfo" localSheetId="6" hidden="1">#REF!</definedName>
    <definedName name="gls_GenEnterCompInfo" localSheetId="8" hidden="1">#REF!</definedName>
    <definedName name="gls_GenEnterCompInfo" localSheetId="3" hidden="1">#REF!</definedName>
    <definedName name="gls_GenEnterCompInfo" localSheetId="7" hidden="1">#REF!</definedName>
    <definedName name="gls_GenEnterCompInfo" localSheetId="12" hidden="1">#REF!</definedName>
    <definedName name="gls_GenEnterCompInfo" hidden="1">#REF!</definedName>
    <definedName name="gls_GenLastPriceTargetRevised" localSheetId="2" hidden="1">#REF!</definedName>
    <definedName name="gls_GenLastPriceTargetRevised" localSheetId="10" hidden="1">#REF!</definedName>
    <definedName name="gls_GenLastPriceTargetRevised" localSheetId="6" hidden="1">#REF!</definedName>
    <definedName name="gls_GenLastPriceTargetRevised" localSheetId="8" hidden="1">#REF!</definedName>
    <definedName name="gls_GenLastPriceTargetRevised" localSheetId="3" hidden="1">#REF!</definedName>
    <definedName name="gls_GenLastPriceTargetRevised" localSheetId="7" hidden="1">#REF!</definedName>
    <definedName name="gls_GenLastPriceTargetRevised" localSheetId="12" hidden="1">#REF!</definedName>
    <definedName name="gls_GenLastPriceTargetRevised" hidden="1">#REF!</definedName>
    <definedName name="gls_GenLastPublished" localSheetId="2" hidden="1">#REF!</definedName>
    <definedName name="gls_GenLastPublished" localSheetId="10" hidden="1">#REF!</definedName>
    <definedName name="gls_GenLastPublished" localSheetId="6" hidden="1">#REF!</definedName>
    <definedName name="gls_GenLastPublished" localSheetId="8" hidden="1">#REF!</definedName>
    <definedName name="gls_GenLastPublished" localSheetId="3" hidden="1">#REF!</definedName>
    <definedName name="gls_GenLastPublished" localSheetId="7" hidden="1">#REF!</definedName>
    <definedName name="gls_GenLastPublished" localSheetId="12" hidden="1">#REF!</definedName>
    <definedName name="gls_GenLastPublished" hidden="1">#REF!</definedName>
    <definedName name="gls_GenLastRecRevised" localSheetId="2" hidden="1">#REF!</definedName>
    <definedName name="gls_GenLastRecRevised" localSheetId="10" hidden="1">#REF!</definedName>
    <definedName name="gls_GenLastRecRevised" localSheetId="6" hidden="1">#REF!</definedName>
    <definedName name="gls_GenLastRecRevised" localSheetId="8" hidden="1">#REF!</definedName>
    <definedName name="gls_GenLastRecRevised" localSheetId="3" hidden="1">#REF!</definedName>
    <definedName name="gls_GenLastRecRevised" localSheetId="7" hidden="1">#REF!</definedName>
    <definedName name="gls_GenLastRecRevised" localSheetId="12" hidden="1">#REF!</definedName>
    <definedName name="gls_GenLastRecRevised" hidden="1">#REF!</definedName>
    <definedName name="gls_GenMainInfo" localSheetId="2" hidden="1">#REF!</definedName>
    <definedName name="gls_GenMainInfo" localSheetId="10" hidden="1">#REF!</definedName>
    <definedName name="gls_GenMainInfo" localSheetId="6" hidden="1">#REF!</definedName>
    <definedName name="gls_GenMainInfo" localSheetId="8" hidden="1">#REF!</definedName>
    <definedName name="gls_GenMainInfo" localSheetId="3" hidden="1">#REF!</definedName>
    <definedName name="gls_GenMainInfo" localSheetId="7" hidden="1">#REF!</definedName>
    <definedName name="gls_GenMainInfo" localSheetId="12" hidden="1">#REF!</definedName>
    <definedName name="gls_GenMainInfo" hidden="1">#REF!</definedName>
    <definedName name="gls_GenProfile" localSheetId="2" hidden="1">#REF!</definedName>
    <definedName name="gls_GenProfile" localSheetId="10" hidden="1">#REF!</definedName>
    <definedName name="gls_GenProfile" localSheetId="6" hidden="1">#REF!</definedName>
    <definedName name="gls_GenProfile" localSheetId="8" hidden="1">#REF!</definedName>
    <definedName name="gls_GenProfile" localSheetId="3" hidden="1">#REF!</definedName>
    <definedName name="gls_GenProfile" localSheetId="7" hidden="1">#REF!</definedName>
    <definedName name="gls_GenProfile" localSheetId="12" hidden="1">#REF!</definedName>
    <definedName name="gls_GenProfile" hidden="1">#REF!</definedName>
    <definedName name="gls_GenRecComment" localSheetId="2" hidden="1">#REF!</definedName>
    <definedName name="gls_GenRecComment" localSheetId="10" hidden="1">#REF!</definedName>
    <definedName name="gls_GenRecComment" localSheetId="6" hidden="1">#REF!</definedName>
    <definedName name="gls_GenRecComment" localSheetId="8" hidden="1">#REF!</definedName>
    <definedName name="gls_GenRecComment" localSheetId="3" hidden="1">#REF!</definedName>
    <definedName name="gls_GenRecComment" localSheetId="7" hidden="1">#REF!</definedName>
    <definedName name="gls_GenRecComment" localSheetId="12" hidden="1">#REF!</definedName>
    <definedName name="gls_GenRecComment" hidden="1">#REF!</definedName>
    <definedName name="gls_GenSheetVersion" localSheetId="2" hidden="1">#REF!</definedName>
    <definedName name="gls_GenSheetVersion" localSheetId="10" hidden="1">#REF!</definedName>
    <definedName name="gls_GenSheetVersion" localSheetId="6" hidden="1">#REF!</definedName>
    <definedName name="gls_GenSheetVersion" localSheetId="8" hidden="1">#REF!</definedName>
    <definedName name="gls_GenSheetVersion" localSheetId="3" hidden="1">#REF!</definedName>
    <definedName name="gls_GenSheetVersion" localSheetId="7" hidden="1">#REF!</definedName>
    <definedName name="gls_GenSheetVersion" localSheetId="12" hidden="1">#REF!</definedName>
    <definedName name="gls_GenSheetVersion" hidden="1">#REF!</definedName>
    <definedName name="gls_genStockCore" localSheetId="2" hidden="1">#REF!</definedName>
    <definedName name="gls_genStockCore" localSheetId="10" hidden="1">#REF!</definedName>
    <definedName name="gls_genStockCore" localSheetId="6" hidden="1">#REF!</definedName>
    <definedName name="gls_genStockCore" localSheetId="8" hidden="1">#REF!</definedName>
    <definedName name="gls_genStockCore" localSheetId="3" hidden="1">#REF!</definedName>
    <definedName name="gls_genStockCore" localSheetId="7" hidden="1">#REF!</definedName>
    <definedName name="gls_genStockCore" localSheetId="12" hidden="1">#REF!</definedName>
    <definedName name="gls_genStockCore" hidden="1">#REF!</definedName>
    <definedName name="gls_genStockRec" localSheetId="2" hidden="1">#REF!</definedName>
    <definedName name="gls_genStockRec" localSheetId="10" hidden="1">#REF!</definedName>
    <definedName name="gls_genStockRec" localSheetId="6" hidden="1">#REF!</definedName>
    <definedName name="gls_genStockRec" localSheetId="8" hidden="1">#REF!</definedName>
    <definedName name="gls_genStockRec" localSheetId="3" hidden="1">#REF!</definedName>
    <definedName name="gls_genStockRec" localSheetId="7" hidden="1">#REF!</definedName>
    <definedName name="gls_genStockRec" localSheetId="12" hidden="1">#REF!</definedName>
    <definedName name="gls_genStockRec" hidden="1">#REF!</definedName>
    <definedName name="gls_GenTargetCurrency" localSheetId="2" hidden="1">#REF!</definedName>
    <definedName name="gls_GenTargetCurrency" localSheetId="10" hidden="1">#REF!</definedName>
    <definedName name="gls_GenTargetCurrency" localSheetId="6" hidden="1">#REF!</definedName>
    <definedName name="gls_GenTargetCurrency" localSheetId="8" hidden="1">#REF!</definedName>
    <definedName name="gls_GenTargetCurrency" localSheetId="3" hidden="1">#REF!</definedName>
    <definedName name="gls_GenTargetCurrency" localSheetId="7" hidden="1">#REF!</definedName>
    <definedName name="gls_GenTargetCurrency" localSheetId="12" hidden="1">#REF!</definedName>
    <definedName name="gls_GenTargetCurrency" hidden="1">#REF!</definedName>
    <definedName name="gls_IssuedStockClassHeading" localSheetId="2" hidden="1">#REF!</definedName>
    <definedName name="gls_IssuedStockClassHeading" localSheetId="10" hidden="1">#REF!</definedName>
    <definedName name="gls_IssuedStockClassHeading" localSheetId="6" hidden="1">#REF!</definedName>
    <definedName name="gls_IssuedStockClassHeading" localSheetId="8" hidden="1">#REF!</definedName>
    <definedName name="gls_IssuedStockClassHeading" localSheetId="3" hidden="1">#REF!</definedName>
    <definedName name="gls_IssuedStockClassHeading" localSheetId="7" hidden="1">#REF!</definedName>
    <definedName name="gls_IssuedStockClassHeading" localSheetId="12" hidden="1">#REF!</definedName>
    <definedName name="gls_IssuedStockClassHeading" hidden="1">#REF!</definedName>
    <definedName name="gls_IssuedStockCodeHeading" localSheetId="2" hidden="1">#REF!</definedName>
    <definedName name="gls_IssuedStockCodeHeading" localSheetId="10" hidden="1">#REF!</definedName>
    <definedName name="gls_IssuedStockCodeHeading" localSheetId="6" hidden="1">#REF!</definedName>
    <definedName name="gls_IssuedStockCodeHeading" localSheetId="8" hidden="1">#REF!</definedName>
    <definedName name="gls_IssuedStockCodeHeading" localSheetId="3" hidden="1">#REF!</definedName>
    <definedName name="gls_IssuedStockCodeHeading" localSheetId="7" hidden="1">#REF!</definedName>
    <definedName name="gls_IssuedStockCodeHeading" localSheetId="12" hidden="1">#REF!</definedName>
    <definedName name="gls_IssuedStockCodeHeading" hidden="1">#REF!</definedName>
    <definedName name="gls_IssuedStockFreeFloatHeading" localSheetId="2" hidden="1">#REF!</definedName>
    <definedName name="gls_IssuedStockFreeFloatHeading" localSheetId="10" hidden="1">#REF!</definedName>
    <definedName name="gls_IssuedStockFreeFloatHeading" localSheetId="6" hidden="1">#REF!</definedName>
    <definedName name="gls_IssuedStockFreeFloatHeading" localSheetId="8" hidden="1">#REF!</definedName>
    <definedName name="gls_IssuedStockFreeFloatHeading" localSheetId="3" hidden="1">#REF!</definedName>
    <definedName name="gls_IssuedStockFreeFloatHeading" localSheetId="7" hidden="1">#REF!</definedName>
    <definedName name="gls_IssuedStockFreeFloatHeading" localSheetId="12" hidden="1">#REF!</definedName>
    <definedName name="gls_IssuedStockFreeFloatHeading" hidden="1">#REF!</definedName>
    <definedName name="gls_KEY_DATA" localSheetId="2" hidden="1">#REF!</definedName>
    <definedName name="gls_KEY_DATA" localSheetId="10" hidden="1">#REF!</definedName>
    <definedName name="gls_KEY_DATA" localSheetId="6" hidden="1">#REF!</definedName>
    <definedName name="gls_KEY_DATA" localSheetId="8" hidden="1">#REF!</definedName>
    <definedName name="gls_KEY_DATA" localSheetId="3" hidden="1">#REF!</definedName>
    <definedName name="gls_KEY_DATA" localSheetId="7" hidden="1">#REF!</definedName>
    <definedName name="gls_KEY_DATA" localSheetId="12" hidden="1">#REF!</definedName>
    <definedName name="gls_KEY_DATA" hidden="1">#REF!</definedName>
    <definedName name="gls_KEY_VALUE" localSheetId="2" hidden="1">#REF!</definedName>
    <definedName name="gls_KEY_VALUE" localSheetId="10" hidden="1">#REF!</definedName>
    <definedName name="gls_KEY_VALUE" localSheetId="6" hidden="1">#REF!</definedName>
    <definedName name="gls_KEY_VALUE" localSheetId="8" hidden="1">#REF!</definedName>
    <definedName name="gls_KEY_VALUE" localSheetId="3" hidden="1">#REF!</definedName>
    <definedName name="gls_KEY_VALUE" localSheetId="7" hidden="1">#REF!</definedName>
    <definedName name="gls_KEY_VALUE" localSheetId="12" hidden="1">#REF!</definedName>
    <definedName name="gls_KEY_VALUE" hidden="1">#REF!</definedName>
    <definedName name="gls_PERIOD_CODE" localSheetId="2" hidden="1">#REF!</definedName>
    <definedName name="gls_PERIOD_CODE" localSheetId="10" hidden="1">#REF!</definedName>
    <definedName name="gls_PERIOD_CODE" localSheetId="6" hidden="1">#REF!</definedName>
    <definedName name="gls_PERIOD_CODE" localSheetId="8" hidden="1">#REF!</definedName>
    <definedName name="gls_PERIOD_CODE" localSheetId="3" hidden="1">#REF!</definedName>
    <definedName name="gls_PERIOD_CODE" localSheetId="7" hidden="1">#REF!</definedName>
    <definedName name="gls_PERIOD_CODE" localSheetId="12" hidden="1">#REF!</definedName>
    <definedName name="gls_PERIOD_CODE" hidden="1">#REF!</definedName>
    <definedName name="gls_PERIOD_INDICATOR" localSheetId="2" hidden="1">#REF!</definedName>
    <definedName name="gls_PERIOD_INDICATOR" localSheetId="10" hidden="1">#REF!</definedName>
    <definedName name="gls_PERIOD_INDICATOR" localSheetId="6" hidden="1">#REF!</definedName>
    <definedName name="gls_PERIOD_INDICATOR" localSheetId="8" hidden="1">#REF!</definedName>
    <definedName name="gls_PERIOD_INDICATOR" localSheetId="3" hidden="1">#REF!</definedName>
    <definedName name="gls_PERIOD_INDICATOR" localSheetId="7" hidden="1">#REF!</definedName>
    <definedName name="gls_PERIOD_INDICATOR" localSheetId="12" hidden="1">#REF!</definedName>
    <definedName name="gls_PERIOD_INDICATOR" hidden="1">#REF!</definedName>
    <definedName name="gls_PERIOD_PARENT_OR_CONSOL" localSheetId="2" hidden="1">#REF!</definedName>
    <definedName name="gls_PERIOD_PARENT_OR_CONSOL" localSheetId="10" hidden="1">#REF!</definedName>
    <definedName name="gls_PERIOD_PARENT_OR_CONSOL" localSheetId="6" hidden="1">#REF!</definedName>
    <definedName name="gls_PERIOD_PARENT_OR_CONSOL" localSheetId="8" hidden="1">#REF!</definedName>
    <definedName name="gls_PERIOD_PARENT_OR_CONSOL" localSheetId="3" hidden="1">#REF!</definedName>
    <definedName name="gls_PERIOD_PARENT_OR_CONSOL" localSheetId="7" hidden="1">#REF!</definedName>
    <definedName name="gls_PERIOD_PARENT_OR_CONSOL" localSheetId="12" hidden="1">#REF!</definedName>
    <definedName name="gls_PERIOD_PARENT_OR_CONSOL" hidden="1">#REF!</definedName>
    <definedName name="gls_PERIOD_TYPE" localSheetId="2" hidden="1">#REF!</definedName>
    <definedName name="gls_PERIOD_TYPE" localSheetId="10" hidden="1">#REF!</definedName>
    <definedName name="gls_PERIOD_TYPE" localSheetId="6" hidden="1">#REF!</definedName>
    <definedName name="gls_PERIOD_TYPE" localSheetId="8" hidden="1">#REF!</definedName>
    <definedName name="gls_PERIOD_TYPE" localSheetId="3" hidden="1">#REF!</definedName>
    <definedName name="gls_PERIOD_TYPE" localSheetId="7" hidden="1">#REF!</definedName>
    <definedName name="gls_PERIOD_TYPE" localSheetId="12" hidden="1">#REF!</definedName>
    <definedName name="gls_PERIOD_TYPE" hidden="1">#REF!</definedName>
    <definedName name="gls_PrincipalStockClass" localSheetId="2" hidden="1">#REF!</definedName>
    <definedName name="gls_PrincipalStockClass" localSheetId="10" hidden="1">#REF!</definedName>
    <definedName name="gls_PrincipalStockClass" localSheetId="6" hidden="1">#REF!</definedName>
    <definedName name="gls_PrincipalStockClass" localSheetId="8" hidden="1">#REF!</definedName>
    <definedName name="gls_PrincipalStockClass" localSheetId="3" hidden="1">#REF!</definedName>
    <definedName name="gls_PrincipalStockClass" localSheetId="7" hidden="1">#REF!</definedName>
    <definedName name="gls_PrincipalStockClass" localSheetId="12" hidden="1">#REF!</definedName>
    <definedName name="gls_PrincipalStockClass" hidden="1">#REF!</definedName>
    <definedName name="gls_ShareholderClassHeading" localSheetId="2" hidden="1">#REF!</definedName>
    <definedName name="gls_ShareholderClassHeading" localSheetId="10" hidden="1">#REF!</definedName>
    <definedName name="gls_ShareholderClassHeading" localSheetId="6" hidden="1">#REF!</definedName>
    <definedName name="gls_ShareholderClassHeading" localSheetId="8" hidden="1">#REF!</definedName>
    <definedName name="gls_ShareholderClassHeading" localSheetId="3" hidden="1">#REF!</definedName>
    <definedName name="gls_ShareholderClassHeading" localSheetId="7" hidden="1">#REF!</definedName>
    <definedName name="gls_ShareholderClassHeading" localSheetId="12" hidden="1">#REF!</definedName>
    <definedName name="gls_ShareholderClassHeading" hidden="1">#REF!</definedName>
    <definedName name="gls_ShareholderHolding" localSheetId="2" hidden="1">#REF!</definedName>
    <definedName name="gls_ShareholderHolding" localSheetId="10" hidden="1">#REF!</definedName>
    <definedName name="gls_ShareholderHolding" localSheetId="6" hidden="1">#REF!</definedName>
    <definedName name="gls_ShareholderHolding" localSheetId="8" hidden="1">#REF!</definedName>
    <definedName name="gls_ShareholderHolding" localSheetId="3" hidden="1">#REF!</definedName>
    <definedName name="gls_ShareholderHolding" localSheetId="7" hidden="1">#REF!</definedName>
    <definedName name="gls_ShareholderHolding" localSheetId="12" hidden="1">#REF!</definedName>
    <definedName name="gls_ShareholderHolding" hidden="1">#REF!</definedName>
    <definedName name="gls_ShareholderHoldingHeading" localSheetId="2" hidden="1">#REF!</definedName>
    <definedName name="gls_ShareholderHoldingHeading" localSheetId="10" hidden="1">#REF!</definedName>
    <definedName name="gls_ShareholderHoldingHeading" localSheetId="6" hidden="1">#REF!</definedName>
    <definedName name="gls_ShareholderHoldingHeading" localSheetId="8" hidden="1">#REF!</definedName>
    <definedName name="gls_ShareholderHoldingHeading" localSheetId="3" hidden="1">#REF!</definedName>
    <definedName name="gls_ShareholderHoldingHeading" localSheetId="7" hidden="1">#REF!</definedName>
    <definedName name="gls_ShareholderHoldingHeading" localSheetId="12" hidden="1">#REF!</definedName>
    <definedName name="gls_ShareholderHoldingHeading" hidden="1">#REF!</definedName>
    <definedName name="gls_ShareholderName" localSheetId="2" hidden="1">#REF!</definedName>
    <definedName name="gls_ShareholderName" localSheetId="10" hidden="1">#REF!</definedName>
    <definedName name="gls_ShareholderName" localSheetId="6" hidden="1">#REF!</definedName>
    <definedName name="gls_ShareholderName" localSheetId="8" hidden="1">#REF!</definedName>
    <definedName name="gls_ShareholderName" localSheetId="3" hidden="1">#REF!</definedName>
    <definedName name="gls_ShareholderName" localSheetId="7" hidden="1">#REF!</definedName>
    <definedName name="gls_ShareholderName" localSheetId="12" hidden="1">#REF!</definedName>
    <definedName name="gls_ShareholderName" hidden="1">#REF!</definedName>
    <definedName name="gls_ShareholderNameHeading" localSheetId="2" hidden="1">#REF!</definedName>
    <definedName name="gls_ShareholderNameHeading" localSheetId="10" hidden="1">#REF!</definedName>
    <definedName name="gls_ShareholderNameHeading" localSheetId="6" hidden="1">#REF!</definedName>
    <definedName name="gls_ShareholderNameHeading" localSheetId="8" hidden="1">#REF!</definedName>
    <definedName name="gls_ShareholderNameHeading" localSheetId="3" hidden="1">#REF!</definedName>
    <definedName name="gls_ShareholderNameHeading" localSheetId="7" hidden="1">#REF!</definedName>
    <definedName name="gls_ShareholderNameHeading" localSheetId="12" hidden="1">#REF!</definedName>
    <definedName name="gls_ShareholderNameHeading" hidden="1">#REF!</definedName>
    <definedName name="gls_ShareholdingName" localSheetId="2" hidden="1">#REF!</definedName>
    <definedName name="gls_ShareholdingName" localSheetId="10" hidden="1">#REF!</definedName>
    <definedName name="gls_ShareholdingName" localSheetId="6" hidden="1">#REF!</definedName>
    <definedName name="gls_ShareholdingName" localSheetId="8" hidden="1">#REF!</definedName>
    <definedName name="gls_ShareholdingName" localSheetId="3" hidden="1">#REF!</definedName>
    <definedName name="gls_ShareholdingName" localSheetId="7" hidden="1">#REF!</definedName>
    <definedName name="gls_ShareholdingName" localSheetId="12" hidden="1">#REF!</definedName>
    <definedName name="gls_ShareholdingName" hidden="1">#REF!</definedName>
    <definedName name="gls_SPARE_YEARS" localSheetId="2" hidden="1">#REF!</definedName>
    <definedName name="gls_SPARE_YEARS" localSheetId="10" hidden="1">#REF!</definedName>
    <definedName name="gls_SPARE_YEARS" localSheetId="6" hidden="1">#REF!</definedName>
    <definedName name="gls_SPARE_YEARS" localSheetId="8" hidden="1">#REF!</definedName>
    <definedName name="gls_SPARE_YEARS" localSheetId="3" hidden="1">#REF!</definedName>
    <definedName name="gls_SPARE_YEARS" localSheetId="7" hidden="1">#REF!</definedName>
    <definedName name="gls_SPARE_YEARS" localSheetId="12" hidden="1">#REF!</definedName>
    <definedName name="gls_SPARE_YEARS" hidden="1">#REF!</definedName>
    <definedName name="gls_START_FORMULA_OVERRIDEABLE" localSheetId="2" hidden="1">#REF!</definedName>
    <definedName name="gls_START_FORMULA_OVERRIDEABLE" localSheetId="10" hidden="1">#REF!</definedName>
    <definedName name="gls_START_FORMULA_OVERRIDEABLE" localSheetId="6" hidden="1">#REF!</definedName>
    <definedName name="gls_START_FORMULA_OVERRIDEABLE" localSheetId="8" hidden="1">#REF!</definedName>
    <definedName name="gls_START_FORMULA_OVERRIDEABLE" localSheetId="3" hidden="1">#REF!</definedName>
    <definedName name="gls_START_FORMULA_OVERRIDEABLE" localSheetId="7" hidden="1">#REF!</definedName>
    <definedName name="gls_START_FORMULA_OVERRIDEABLE" localSheetId="12" hidden="1">#REF!</definedName>
    <definedName name="gls_START_FORMULA_OVERRIDEABLE" hidden="1">#REF!</definedName>
    <definedName name="gls_START_LOCAL_NAMES" localSheetId="2" hidden="1">#REF!</definedName>
    <definedName name="gls_START_LOCAL_NAMES" localSheetId="10" hidden="1">#REF!</definedName>
    <definedName name="gls_START_LOCAL_NAMES" localSheetId="6" hidden="1">#REF!</definedName>
    <definedName name="gls_START_LOCAL_NAMES" localSheetId="8" hidden="1">#REF!</definedName>
    <definedName name="gls_START_LOCAL_NAMES" localSheetId="3" hidden="1">#REF!</definedName>
    <definedName name="gls_START_LOCAL_NAMES" localSheetId="7" hidden="1">#REF!</definedName>
    <definedName name="gls_START_LOCAL_NAMES" localSheetId="12" hidden="1">#REF!</definedName>
    <definedName name="gls_START_LOCAL_NAMES" hidden="1">#REF!</definedName>
    <definedName name="gls_START_PERIOD_CURRENCY" localSheetId="2" hidden="1">#REF!</definedName>
    <definedName name="gls_START_PERIOD_CURRENCY" localSheetId="10" hidden="1">#REF!</definedName>
    <definedName name="gls_START_PERIOD_CURRENCY" localSheetId="6" hidden="1">#REF!</definedName>
    <definedName name="gls_START_PERIOD_CURRENCY" localSheetId="8" hidden="1">#REF!</definedName>
    <definedName name="gls_START_PERIOD_CURRENCY" localSheetId="3" hidden="1">#REF!</definedName>
    <definedName name="gls_START_PERIOD_CURRENCY" localSheetId="7" hidden="1">#REF!</definedName>
    <definedName name="gls_START_PERIOD_CURRENCY" localSheetId="12" hidden="1">#REF!</definedName>
    <definedName name="gls_START_PERIOD_CURRENCY" hidden="1">#REF!</definedName>
    <definedName name="gls_START_STATUS" localSheetId="2" hidden="1">#REF!</definedName>
    <definedName name="gls_START_STATUS" localSheetId="10" hidden="1">#REF!</definedName>
    <definedName name="gls_START_STATUS" localSheetId="6" hidden="1">#REF!</definedName>
    <definedName name="gls_START_STATUS" localSheetId="8" hidden="1">#REF!</definedName>
    <definedName name="gls_START_STATUS" localSheetId="3" hidden="1">#REF!</definedName>
    <definedName name="gls_START_STATUS" localSheetId="7" hidden="1">#REF!</definedName>
    <definedName name="gls_START_STATUS" localSheetId="12" hidden="1">#REF!</definedName>
    <definedName name="gls_START_STATUS" hidden="1">#REF!</definedName>
    <definedName name="gls_START_USER_STATUS" localSheetId="2" hidden="1">#REF!</definedName>
    <definedName name="gls_START_USER_STATUS" localSheetId="10" hidden="1">#REF!</definedName>
    <definedName name="gls_START_USER_STATUS" localSheetId="6" hidden="1">#REF!</definedName>
    <definedName name="gls_START_USER_STATUS" localSheetId="8" hidden="1">#REF!</definedName>
    <definedName name="gls_START_USER_STATUS" localSheetId="3" hidden="1">#REF!</definedName>
    <definedName name="gls_START_USER_STATUS" localSheetId="7" hidden="1">#REF!</definedName>
    <definedName name="gls_START_USER_STATUS" localSheetId="12" hidden="1">#REF!</definedName>
    <definedName name="gls_START_USER_STATUS" hidden="1">#REF!</definedName>
    <definedName name="gls_START_VALIDATION" localSheetId="2" hidden="1">#REF!</definedName>
    <definedName name="gls_START_VALIDATION" localSheetId="10" hidden="1">#REF!</definedName>
    <definedName name="gls_START_VALIDATION" localSheetId="6" hidden="1">#REF!</definedName>
    <definedName name="gls_START_VALIDATION" localSheetId="8" hidden="1">#REF!</definedName>
    <definedName name="gls_START_VALIDATION" localSheetId="3" hidden="1">#REF!</definedName>
    <definedName name="gls_START_VALIDATION" localSheetId="7" hidden="1">#REF!</definedName>
    <definedName name="gls_START_VALIDATION" localSheetId="12" hidden="1">#REF!</definedName>
    <definedName name="gls_START_VALIDATION" hidden="1">#REF!</definedName>
    <definedName name="gls_START_WHAT" localSheetId="2" hidden="1">#REF!</definedName>
    <definedName name="gls_START_WHAT" localSheetId="10" hidden="1">#REF!</definedName>
    <definedName name="gls_START_WHAT" localSheetId="6" hidden="1">#REF!</definedName>
    <definedName name="gls_START_WHAT" localSheetId="8" hidden="1">#REF!</definedName>
    <definedName name="gls_START_WHAT" localSheetId="3" hidden="1">#REF!</definedName>
    <definedName name="gls_START_WHAT" localSheetId="7" hidden="1">#REF!</definedName>
    <definedName name="gls_START_WHAT" localSheetId="12" hidden="1">#REF!</definedName>
    <definedName name="gls_START_WHAT" hidden="1">#REF!</definedName>
    <definedName name="gls_START_YEAR" localSheetId="2" hidden="1">#REF!</definedName>
    <definedName name="gls_START_YEAR" localSheetId="10" hidden="1">#REF!</definedName>
    <definedName name="gls_START_YEAR" localSheetId="6" hidden="1">#REF!</definedName>
    <definedName name="gls_START_YEAR" localSheetId="8" hidden="1">#REF!</definedName>
    <definedName name="gls_START_YEAR" localSheetId="3" hidden="1">#REF!</definedName>
    <definedName name="gls_START_YEAR" localSheetId="7" hidden="1">#REF!</definedName>
    <definedName name="gls_START_YEAR" localSheetId="12" hidden="1">#REF!</definedName>
    <definedName name="gls_START_YEAR" hidden="1">#REF!</definedName>
    <definedName name="gls_TEMP_PERIOD_CODE" localSheetId="2" hidden="1">#REF!</definedName>
    <definedName name="gls_TEMP_PERIOD_CODE" localSheetId="10" hidden="1">#REF!</definedName>
    <definedName name="gls_TEMP_PERIOD_CODE" localSheetId="6" hidden="1">#REF!</definedName>
    <definedName name="gls_TEMP_PERIOD_CODE" localSheetId="8" hidden="1">#REF!</definedName>
    <definedName name="gls_TEMP_PERIOD_CODE" localSheetId="3" hidden="1">#REF!</definedName>
    <definedName name="gls_TEMP_PERIOD_CODE" localSheetId="7" hidden="1">#REF!</definedName>
    <definedName name="gls_TEMP_PERIOD_CODE" localSheetId="12" hidden="1">#REF!</definedName>
    <definedName name="gls_TEMP_PERIOD_CODE" hidden="1">#REF!</definedName>
    <definedName name="gls_YEAR_AE_CONTROL" localSheetId="2" hidden="1">#REF!</definedName>
    <definedName name="gls_YEAR_AE_CONTROL" localSheetId="10" hidden="1">#REF!</definedName>
    <definedName name="gls_YEAR_AE_CONTROL" localSheetId="6" hidden="1">#REF!</definedName>
    <definedName name="gls_YEAR_AE_CONTROL" localSheetId="8" hidden="1">#REF!</definedName>
    <definedName name="gls_YEAR_AE_CONTROL" localSheetId="3" hidden="1">#REF!</definedName>
    <definedName name="gls_YEAR_AE_CONTROL" localSheetId="7" hidden="1">#REF!</definedName>
    <definedName name="gls_YEAR_AE_CONTROL" localSheetId="12" hidden="1">#REF!</definedName>
    <definedName name="gls_YEAR_AE_CONTROL" hidden="1">#REF!</definedName>
    <definedName name="gls_YEAR_END_ROW" localSheetId="2" hidden="1">#REF!</definedName>
    <definedName name="gls_YEAR_END_ROW" localSheetId="10" hidden="1">#REF!</definedName>
    <definedName name="gls_YEAR_END_ROW" localSheetId="6" hidden="1">#REF!</definedName>
    <definedName name="gls_YEAR_END_ROW" localSheetId="8" hidden="1">#REF!</definedName>
    <definedName name="gls_YEAR_END_ROW" localSheetId="3" hidden="1">#REF!</definedName>
    <definedName name="gls_YEAR_END_ROW" localSheetId="7" hidden="1">#REF!</definedName>
    <definedName name="gls_YEAR_END_ROW" localSheetId="12" hidden="1">#REF!</definedName>
    <definedName name="gls_YEAR_END_ROW" hidden="1">#REF!</definedName>
    <definedName name="guidance"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H" localSheetId="2"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10"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6"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8"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9"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3"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7"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12"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AL">#REF!</definedName>
    <definedName name="Hidden_Sheet">#REF!</definedName>
    <definedName name="HON" localSheetId="2" hidden="1">{"comps",#N/A,FALSE,"TXTCOMPS";"segment_EPS",#N/A,FALSE,"TXTCOMPS";"valuation",#N/A,FALSE,"TXTCOMPS"}</definedName>
    <definedName name="HON" localSheetId="10" hidden="1">{"comps",#N/A,FALSE,"TXTCOMPS";"segment_EPS",#N/A,FALSE,"TXTCOMPS";"valuation",#N/A,FALSE,"TXTCOMPS"}</definedName>
    <definedName name="HON" localSheetId="6" hidden="1">{"comps",#N/A,FALSE,"TXTCOMPS";"segment_EPS",#N/A,FALSE,"TXTCOMPS";"valuation",#N/A,FALSE,"TXTCOMPS"}</definedName>
    <definedName name="HON" localSheetId="8" hidden="1">{"comps",#N/A,FALSE,"TXTCOMPS";"segment_EPS",#N/A,FALSE,"TXTCOMPS";"valuation",#N/A,FALSE,"TXTCOMPS"}</definedName>
    <definedName name="HON" localSheetId="9" hidden="1">{"comps",#N/A,FALSE,"TXTCOMPS";"segment_EPS",#N/A,FALSE,"TXTCOMPS";"valuation",#N/A,FALSE,"TXTCOMPS"}</definedName>
    <definedName name="HON" localSheetId="3" hidden="1">{"comps",#N/A,FALSE,"TXTCOMPS";"segment_EPS",#N/A,FALSE,"TXTCOMPS";"valuation",#N/A,FALSE,"TXTCOMPS"}</definedName>
    <definedName name="HON" localSheetId="7" hidden="1">{"comps",#N/A,FALSE,"TXTCOMPS";"segment_EPS",#N/A,FALSE,"TXTCOMPS";"valuation",#N/A,FALSE,"TXTCOMPS"}</definedName>
    <definedName name="HON" localSheetId="12" hidden="1">{"comps",#N/A,FALSE,"TXTCOMPS";"segment_EPS",#N/A,FALSE,"TXTCOMPS";"valuation",#N/A,FALSE,"TXTCOMPS"}</definedName>
    <definedName name="HON" hidden="1">{"comps",#N/A,FALSE,"TXTCOMPS";"segment_EPS",#N/A,FALSE,"TXTCOMPS";"valuation",#N/A,FALSE,"TXTCOMPS"}</definedName>
    <definedName name="HTML_CodePage" localSheetId="2" hidden="1">1252</definedName>
    <definedName name="HTML_CodePage" localSheetId="6" hidden="1">1252</definedName>
    <definedName name="HTML_CodePage" localSheetId="8" hidden="1">1252</definedName>
    <definedName name="HTML_CodePage" localSheetId="3" hidden="1">1252</definedName>
    <definedName name="HTML_CodePage" localSheetId="7" hidden="1">1252</definedName>
    <definedName name="HTML_CodePage" localSheetId="12" hidden="1">1252</definedName>
    <definedName name="HTML_CodePage" hidden="1">949</definedName>
    <definedName name="HTML_Control" localSheetId="2" hidden="1">{"'IG3Q99'!$A$306:$I$356"}</definedName>
    <definedName name="HTML_Control" localSheetId="10" hidden="1">{"'보고양식'!$A$58:$K$111"}</definedName>
    <definedName name="HTML_Control" localSheetId="6" hidden="1">{"'IG3Q99'!$A$306:$I$356"}</definedName>
    <definedName name="HTML_Control" localSheetId="8" hidden="1">{"'IG3Q99'!$A$306:$I$356"}</definedName>
    <definedName name="HTML_Control" localSheetId="9" hidden="1">{"'보고양식'!$A$58:$K$111"}</definedName>
    <definedName name="HTML_Control" localSheetId="3" hidden="1">{"'IG3Q99'!$A$306:$I$356"}</definedName>
    <definedName name="HTML_Control" localSheetId="7" hidden="1">{"'IG3Q99'!$A$306:$I$356"}</definedName>
    <definedName name="HTML_Control" localSheetId="12" hidden="1">{"'IG3Q99'!$A$306:$I$356"}</definedName>
    <definedName name="HTML_Control" hidden="1">{"'보고양식'!$A$58:$K$111"}</definedName>
    <definedName name="html_control_1" localSheetId="2" hidden="1">{"'IG3Q99'!$A$306:$I$356"}</definedName>
    <definedName name="html_control_1" localSheetId="10" hidden="1">{"'IG3Q99'!$A$306:$I$356"}</definedName>
    <definedName name="html_control_1" localSheetId="6" hidden="1">{"'IG3Q99'!$A$306:$I$356"}</definedName>
    <definedName name="html_control_1" localSheetId="8" hidden="1">{"'IG3Q99'!$A$306:$I$356"}</definedName>
    <definedName name="html_control_1" localSheetId="9" hidden="1">{"'IG3Q99'!$A$306:$I$356"}</definedName>
    <definedName name="html_control_1" localSheetId="3" hidden="1">{"'IG3Q99'!$A$306:$I$356"}</definedName>
    <definedName name="html_control_1" localSheetId="7" hidden="1">{"'IG3Q99'!$A$306:$I$356"}</definedName>
    <definedName name="html_control_1" localSheetId="12" hidden="1">{"'IG3Q99'!$A$306:$I$356"}</definedName>
    <definedName name="html_control_1" hidden="1">{"'IG3Q99'!$A$306:$I$356"}</definedName>
    <definedName name="HTML_Description" hidden="1">""</definedName>
    <definedName name="HTML_Email" hidden="1">""</definedName>
    <definedName name="HTML_Header" localSheetId="2" hidden="1">"IG1Q99"</definedName>
    <definedName name="HTML_Header" localSheetId="6" hidden="1">"IG1Q99"</definedName>
    <definedName name="HTML_Header" localSheetId="8" hidden="1">"IG1Q99"</definedName>
    <definedName name="HTML_Header" localSheetId="3" hidden="1">"IG1Q99"</definedName>
    <definedName name="HTML_Header" localSheetId="7" hidden="1">"IG1Q99"</definedName>
    <definedName name="HTML_Header" localSheetId="12" hidden="1">"IG1Q99"</definedName>
    <definedName name="HTML_Header" hidden="1">""</definedName>
    <definedName name="HTML_LastUpdate" localSheetId="2" hidden="1">"10/26/1999"</definedName>
    <definedName name="HTML_LastUpdate" localSheetId="6" hidden="1">"10/26/1999"</definedName>
    <definedName name="HTML_LastUpdate" localSheetId="8" hidden="1">"10/26/1999"</definedName>
    <definedName name="HTML_LastUpdate" localSheetId="3" hidden="1">"10/26/1999"</definedName>
    <definedName name="HTML_LastUpdate" localSheetId="7" hidden="1">"10/26/1999"</definedName>
    <definedName name="HTML_LastUpdate" localSheetId="12" hidden="1">"10/26/1999"</definedName>
    <definedName name="HTML_LastUpdate" hidden="1">""</definedName>
    <definedName name="HTML_LineAfter" hidden="1">FALSE</definedName>
    <definedName name="HTML_LineBefore" hidden="1">FALSE</definedName>
    <definedName name="HTML_Name" localSheetId="2" hidden="1">"Judy Sinclair"</definedName>
    <definedName name="HTML_Name" localSheetId="6" hidden="1">"Judy Sinclair"</definedName>
    <definedName name="HTML_Name" localSheetId="8" hidden="1">"Judy Sinclair"</definedName>
    <definedName name="HTML_Name" localSheetId="3" hidden="1">"Judy Sinclair"</definedName>
    <definedName name="HTML_Name" localSheetId="7" hidden="1">"Judy Sinclair"</definedName>
    <definedName name="HTML_Name" localSheetId="12" hidden="1">"Judy Sinclair"</definedName>
    <definedName name="HTML_Name" hidden="1">""</definedName>
    <definedName name="HTML_OBDlg2" hidden="1">TRUE</definedName>
    <definedName name="HTML_OBDlg4" hidden="1">TRUE</definedName>
    <definedName name="HTML_OS" hidden="1">0</definedName>
    <definedName name="HTML_PathFile" localSheetId="2" hidden="1">"G:\EXCELDAT\CEXJIS\newcoll.htm"</definedName>
    <definedName name="HTML_PathFile" localSheetId="6" hidden="1">"G:\EXCELDAT\CEXJIS\newcoll.htm"</definedName>
    <definedName name="HTML_PathFile" localSheetId="8" hidden="1">"G:\EXCELDAT\CEXJIS\newcoll.htm"</definedName>
    <definedName name="HTML_PathFile" localSheetId="3" hidden="1">"G:\EXCELDAT\CEXJIS\newcoll.htm"</definedName>
    <definedName name="HTML_PathFile" localSheetId="7" hidden="1">"G:\EXCELDAT\CEXJIS\newcoll.htm"</definedName>
    <definedName name="HTML_PathFile" localSheetId="12" hidden="1">"G:\EXCELDAT\CEXJIS\newcoll.htm"</definedName>
    <definedName name="HTML_PathFile" hidden="1">"C:\My Documents\98년\영업현황\2월 수주현황(2월 마감분).htm"</definedName>
    <definedName name="HTML_Title" localSheetId="2" hidden="1">"CNCIG98"</definedName>
    <definedName name="HTML_Title" localSheetId="6" hidden="1">"CNCIG98"</definedName>
    <definedName name="HTML_Title" localSheetId="8" hidden="1">"CNCIG98"</definedName>
    <definedName name="HTML_Title" localSheetId="3" hidden="1">"CNCIG98"</definedName>
    <definedName name="HTML_Title" localSheetId="7" hidden="1">"CNCIG98"</definedName>
    <definedName name="HTML_Title" localSheetId="12" hidden="1">"CNCIG98"</definedName>
    <definedName name="HTML_Title" hidden="1">""</definedName>
    <definedName name="HTML1_1" hidden="1">"[수주관리98.xls]회선현황!$A$5:$O$53"</definedName>
    <definedName name="HTML1_10" hidden="1">""</definedName>
    <definedName name="HTML1_11" hidden="1">1</definedName>
    <definedName name="HTML1_12" hidden="1">"C:\My Documents\98년\1월\영업현황\시험.htm"</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"[수주관리98.xls]일일현황!$A$1:$L$10"</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"[수주관리98.xls]일일현황!$A$1:$N$9"</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"[수주관리98.xls]영업!$A$1:$N$15"</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"[수주관리98.xls]영업!$A$1:$N$29"</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"'[수주관리98.xls]2월'!$A$1:$P$48"</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"'[수주관리98.xls]2월'!$A$3:$P$30"</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"'[수주관리98.xls]2월'!$A$1:$P$30"</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30</definedName>
    <definedName name="hu" localSheetId="2" hidden="1">{"comps",#N/A,FALSE,"TXTCOMPS";"segment_EPS",#N/A,FALSE,"TXTCOMPS";"valuation",#N/A,FALSE,"TXTCOMPS"}</definedName>
    <definedName name="hu" localSheetId="10" hidden="1">{"comps",#N/A,FALSE,"TXTCOMPS";"segment_EPS",#N/A,FALSE,"TXTCOMPS";"valuation",#N/A,FALSE,"TXTCOMPS"}</definedName>
    <definedName name="hu" localSheetId="6" hidden="1">{"comps",#N/A,FALSE,"TXTCOMPS";"segment_EPS",#N/A,FALSE,"TXTCOMPS";"valuation",#N/A,FALSE,"TXTCOMPS"}</definedName>
    <definedName name="hu" localSheetId="8" hidden="1">{"comps",#N/A,FALSE,"TXTCOMPS";"segment_EPS",#N/A,FALSE,"TXTCOMPS";"valuation",#N/A,FALSE,"TXTCOMPS"}</definedName>
    <definedName name="hu" localSheetId="9" hidden="1">{"comps",#N/A,FALSE,"TXTCOMPS";"segment_EPS",#N/A,FALSE,"TXTCOMPS";"valuation",#N/A,FALSE,"TXTCOMPS"}</definedName>
    <definedName name="hu" localSheetId="3" hidden="1">{"comps",#N/A,FALSE,"TXTCOMPS";"segment_EPS",#N/A,FALSE,"TXTCOMPS";"valuation",#N/A,FALSE,"TXTCOMPS"}</definedName>
    <definedName name="hu" localSheetId="7" hidden="1">{"comps",#N/A,FALSE,"TXTCOMPS";"segment_EPS",#N/A,FALSE,"TXTCOMPS";"valuation",#N/A,FALSE,"TXTCOMPS"}</definedName>
    <definedName name="hu" localSheetId="12" hidden="1">{"comps",#N/A,FALSE,"TXTCOMPS";"segment_EPS",#N/A,FALSE,"TXTCOMPS";"valuation",#N/A,FALSE,"TXTCOMPS"}</definedName>
    <definedName name="hu" hidden="1">{"comps",#N/A,FALSE,"TXTCOMPS";"segment_EPS",#N/A,FALSE,"TXTCOMPS";"valuation",#N/A,FALSE,"TXTCOMPS"}</definedName>
    <definedName name="huji" localSheetId="2" hidden="1">{"comps",#N/A,FALSE,"TXTCOMPS"}</definedName>
    <definedName name="huji" localSheetId="10" hidden="1">{"comps",#N/A,FALSE,"TXTCOMPS"}</definedName>
    <definedName name="huji" localSheetId="6" hidden="1">{"comps",#N/A,FALSE,"TXTCOMPS"}</definedName>
    <definedName name="huji" localSheetId="8" hidden="1">{"comps",#N/A,FALSE,"TXTCOMPS"}</definedName>
    <definedName name="huji" localSheetId="9" hidden="1">{"comps",#N/A,FALSE,"TXTCOMPS"}</definedName>
    <definedName name="huji" localSheetId="3" hidden="1">{"comps",#N/A,FALSE,"TXTCOMPS"}</definedName>
    <definedName name="huji" localSheetId="7" hidden="1">{"comps",#N/A,FALSE,"TXTCOMPS"}</definedName>
    <definedName name="huji" localSheetId="12" hidden="1">{"comps",#N/A,FALSE,"TXTCOMPS"}</definedName>
    <definedName name="huji" hidden="1">{"comps",#N/A,FALSE,"TXTCOMPS"}</definedName>
    <definedName name="i" localSheetId="2" hidden="1">{"comps",#N/A,FALSE,"TXTCOMPS";"segment_EPS",#N/A,FALSE,"TXTCOMPS";"valuation",#N/A,FALSE,"TXTCOMPS"}</definedName>
    <definedName name="i" localSheetId="10" hidden="1">{"comps",#N/A,FALSE,"TXTCOMPS";"segment_EPS",#N/A,FALSE,"TXTCOMPS";"valuation",#N/A,FALSE,"TXTCOMPS"}</definedName>
    <definedName name="i" localSheetId="6" hidden="1">{"comps",#N/A,FALSE,"TXTCOMPS";"segment_EPS",#N/A,FALSE,"TXTCOMPS";"valuation",#N/A,FALSE,"TXTCOMPS"}</definedName>
    <definedName name="i" localSheetId="8" hidden="1">{"comps",#N/A,FALSE,"TXTCOMPS";"segment_EPS",#N/A,FALSE,"TXTCOMPS";"valuation",#N/A,FALSE,"TXTCOMPS"}</definedName>
    <definedName name="i" localSheetId="9" hidden="1">{"comps",#N/A,FALSE,"TXTCOMPS";"segment_EPS",#N/A,FALSE,"TXTCOMPS";"valuation",#N/A,FALSE,"TXTCOMPS"}</definedName>
    <definedName name="i" localSheetId="3" hidden="1">{"comps",#N/A,FALSE,"TXTCOMPS";"segment_EPS",#N/A,FALSE,"TXTCOMPS";"valuation",#N/A,FALSE,"TXTCOMPS"}</definedName>
    <definedName name="i" localSheetId="7" hidden="1">{"comps",#N/A,FALSE,"TXTCOMPS";"segment_EPS",#N/A,FALSE,"TXTCOMPS";"valuation",#N/A,FALSE,"TXTCOMPS"}</definedName>
    <definedName name="i" localSheetId="12" hidden="1">{"comps",#N/A,FALSE,"TXTCOMPS";"segment_EPS",#N/A,FALSE,"TXTCOMPS";"valuation",#N/A,FALSE,"TXTCOMPS"}</definedName>
    <definedName name="i" hidden="1">{"comps",#N/A,FALSE,"TXTCOMPS";"segment_EPS",#N/A,FALSE,"TXTCOMPS";"valuation",#N/A,FALSE,"TXTCOMPS"}</definedName>
    <definedName name="Img_GE_Retail_Finance" hidden="1">"IMG_12"</definedName>
    <definedName name="Img_Geo" hidden="1">"IMG_4"</definedName>
    <definedName name="Img_ML_1a7g4d7g" hidden="1">"IMG_10"</definedName>
    <definedName name="Img_ML_1a9i6f1a" hidden="1">"IMG_6"</definedName>
    <definedName name="Img_ML_1c3d1n6n" hidden="1">"IMG_11"</definedName>
    <definedName name="Img_ML_1d8s8t7q" hidden="1">"IMG_10"</definedName>
    <definedName name="Img_ML_1e1k9n5y" hidden="1">"IMG_18"</definedName>
    <definedName name="Img_ML_1g2y2j4q" hidden="1">"IMG_10"</definedName>
    <definedName name="Img_ML_1g9y2u4q" hidden="1">"IMG_11"</definedName>
    <definedName name="Img_ML_1h4n3h8h" hidden="1">"IMG_8"</definedName>
    <definedName name="Img_ML_1k4g9u7k" hidden="1">"IMG_11"</definedName>
    <definedName name="Img_ML_1s1s8i2q" hidden="1">"IMG_10"</definedName>
    <definedName name="Img_ML_1s4s8z2q" hidden="1">"IMG_10"</definedName>
    <definedName name="Img_ML_1t5s6u1f" hidden="1">"IMG_5"</definedName>
    <definedName name="Img_ML_1y7a6c1t" hidden="1">"IMG_11"</definedName>
    <definedName name="Img_ML_2b1a1a6f" localSheetId="2" hidden="1">"IMG_4"</definedName>
    <definedName name="Img_ML_2b1a1a6f" localSheetId="6" hidden="1">"IMG_4"</definedName>
    <definedName name="Img_ML_2b1a1a6f" localSheetId="8" hidden="1">"IMG_4"</definedName>
    <definedName name="Img_ML_2b1a1a6f" localSheetId="7" hidden="1">"IMG_4"</definedName>
    <definedName name="Img_ML_2b1a1a6f" hidden="1">"IMG_6"</definedName>
    <definedName name="Img_ML_2b2b8h8h" hidden="1">"IMG_10"</definedName>
    <definedName name="Img_ML_2b4d2b3c" hidden="1">"IMG_6"</definedName>
    <definedName name="Img_ML_2b5e9i4d" hidden="1">"IMG_6"</definedName>
    <definedName name="Img_ML_2b6f5e1a" hidden="1">"IMG_6"</definedName>
    <definedName name="Img_ML_2b9i6f3c" hidden="1">"IMG_6"</definedName>
    <definedName name="Img_ML_2e1r5p2m" hidden="1">"IMG_10"</definedName>
    <definedName name="Img_ML_2i4d6c2r" hidden="1">"IMG_18"</definedName>
    <definedName name="Img_ML_2j4h5d5y" hidden="1">"IMG_10"</definedName>
    <definedName name="Img_ML_2j6i5k6b" hidden="1">"IMG_12"</definedName>
    <definedName name="Img_ML_2j6r9l1a" hidden="1">"IMG_10"</definedName>
    <definedName name="Img_ML_2j9r9u8a" hidden="1">"IMG_10"</definedName>
    <definedName name="Img_ML_2k2r9j3a" hidden="1">"IMG_10"</definedName>
    <definedName name="Img_ML_2k5y2m3a" hidden="1">"IMG_10"</definedName>
    <definedName name="Img_ML_2m9t4m5q" hidden="1">"IMG_10"</definedName>
    <definedName name="Img_ML_2s1s8i2a" hidden="1">"IMG_10"</definedName>
    <definedName name="Img_ML_2v6s9i5c" hidden="1">"IMG_18"</definedName>
    <definedName name="Img_ML_2x1b8j5c" hidden="1">"IMG_12"</definedName>
    <definedName name="Img_ML_2x8r4a2e" hidden="1">"IMG_11"</definedName>
    <definedName name="Img_ML_3b3j3x9k" hidden="1">"IMG_18"</definedName>
    <definedName name="Img_ML_3c4d1a4d" hidden="1">"IMG_6"</definedName>
    <definedName name="Img_ML_3c4d2b5e" hidden="1">"IMG_6"</definedName>
    <definedName name="Img_ML_3c6e9c4g" hidden="1">"IMG_12"</definedName>
    <definedName name="Img_ML_3c7g1a7g" hidden="1">"IMG_3"</definedName>
    <definedName name="Img_ML_3c9i9i4d" hidden="1">"IMG_6"</definedName>
    <definedName name="Img_ML_3e2q4k7i" hidden="1">"IMG_11"</definedName>
    <definedName name="Img_ML_3g2u6j4p" hidden="1">"IMG_10"</definedName>
    <definedName name="Img_ML_3g2y2j4p" hidden="1">"IMG_10"</definedName>
    <definedName name="Img_ML_3g3r9k4p" hidden="1">"IMG_10"</definedName>
    <definedName name="Img_ML_3h2n3p4v" hidden="1">"IMG_11"</definedName>
    <definedName name="Img_ML_3j3z1k8p" hidden="1">"IMG_10"</definedName>
    <definedName name="Img_ML_3k8z1t3p" hidden="1">"IMG_10"</definedName>
    <definedName name="Img_ML_3n5p3k4y" hidden="1">"IMG_13"</definedName>
    <definedName name="Img_ML_3p2b9c6w" hidden="1">"IMG_18"</definedName>
    <definedName name="Img_ML_3p5d9q5j" hidden="1">"IMG_6"</definedName>
    <definedName name="Img_ML_3r4u7k1k" hidden="1">"IMG_14"</definedName>
    <definedName name="Img_ML_3s2w4j6p" hidden="1">"IMG_10"</definedName>
    <definedName name="Img_ML_3s8t7t6p" hidden="1">"IMG_10"</definedName>
    <definedName name="Img_ML_3t6y8n6e" hidden="1">"IMG_13"</definedName>
    <definedName name="Img_ML_3x8m5t8j" hidden="1">"IMG_12"</definedName>
    <definedName name="Img_ML_3y1j4m2m" hidden="1">"IMG_18"</definedName>
    <definedName name="Img_ML_4b5r5k9y" hidden="1">"IMG_18"</definedName>
    <definedName name="Img_ML_4d2b6f6f" hidden="1">"IMG_6"</definedName>
    <definedName name="Img_ML_4d4d7g3c" localSheetId="2" hidden="1">"IMG_4"</definedName>
    <definedName name="Img_ML_4d4d7g3c" localSheetId="6" hidden="1">"IMG_4"</definedName>
    <definedName name="Img_ML_4d4d7g3c" localSheetId="8" hidden="1">"IMG_4"</definedName>
    <definedName name="Img_ML_4d4d7g3c" localSheetId="7" hidden="1">"IMG_4"</definedName>
    <definedName name="Img_ML_4d4d7g3c" hidden="1">"IMG_6"</definedName>
    <definedName name="Img_ML_4d6v5l7l" hidden="1">"IMG_10"</definedName>
    <definedName name="Img_ML_4g9z1u4l" hidden="1">"IMG_10"</definedName>
    <definedName name="Img_ML_4j1z1i1l" hidden="1">"IMG_10"</definedName>
    <definedName name="Img_ML_4k8k7q4x" hidden="1">"IMG_10"</definedName>
    <definedName name="Img_ML_4m3p5r8j" hidden="1">"IMG_32"</definedName>
    <definedName name="Img_ML_4n6t1k1h" hidden="1">"IMG_6"</definedName>
    <definedName name="Img_ML_4r3t2p9g" hidden="1">"IMG_10"</definedName>
    <definedName name="Img_ML_4s2w4j6l" hidden="1">"IMG_10"</definedName>
    <definedName name="Img_ML_4u3z1k5l" hidden="1">"IMG_11"</definedName>
    <definedName name="Img_ML_4u7w4o5l" hidden="1">"IMG_10"</definedName>
    <definedName name="Img_ML_5d3i8b5s" hidden="1">"IMG_10"</definedName>
    <definedName name="Img_ML_5e1a1a7g" hidden="1">"IMG_6"</definedName>
    <definedName name="Img_ML_5e6f9i8h" hidden="1">"IMG_6"</definedName>
    <definedName name="Img_ML_5e7g5e5e" hidden="1">"IMG_6"</definedName>
    <definedName name="Img_ML_5e7s6t2u" hidden="1">"IMG_12"</definedName>
    <definedName name="Img_ML_5e8h1a2b" hidden="1">"IMG_10"</definedName>
    <definedName name="Img_ML_5e9i9i2b" hidden="1">"IMG_6"</definedName>
    <definedName name="Img_ML_5e9m1k3s" hidden="1">"IMG_3"</definedName>
    <definedName name="Img_ML_5f9d1i5x" hidden="1">"IMG_6"</definedName>
    <definedName name="Img_ML_5f9x9u4u" hidden="1">"IMG_18"</definedName>
    <definedName name="Img_ML_5g9z1u4m" hidden="1">"IMG_10"</definedName>
    <definedName name="Img_ML_5h6q3g8u" hidden="1">"IMG_12"</definedName>
    <definedName name="Img_ML_5j2y2j1m" hidden="1">"IMG_11"</definedName>
    <definedName name="Img_ML_5k1g6v5e" hidden="1">"IMG_10"</definedName>
    <definedName name="Img_ML_5k7e4n8n" hidden="1">"IMG_5"</definedName>
    <definedName name="Img_ML_5k8u7s9i" hidden="1">"IMG_10"</definedName>
    <definedName name="Img_ML_5u2y2j5m" hidden="1">"IMG_10"</definedName>
    <definedName name="Img_ML_6d4x3z7z" hidden="1">"IMG_10"</definedName>
    <definedName name="Img_ML_6d5x3m7z" hidden="1">"IMG_10"</definedName>
    <definedName name="Img_ML_6f2b1a5e" localSheetId="2" hidden="1">"IMG_4"</definedName>
    <definedName name="Img_ML_6f2b1a5e" localSheetId="6" hidden="1">"IMG_4"</definedName>
    <definedName name="Img_ML_6f2b1a5e" localSheetId="8" hidden="1">"IMG_4"</definedName>
    <definedName name="Img_ML_6f2b1a5e" localSheetId="7" hidden="1">"IMG_4"</definedName>
    <definedName name="Img_ML_6f2b1a5e" hidden="1">"IMG_10"</definedName>
    <definedName name="Img_ML_6f2p1m9g" hidden="1">"IMG_10"</definedName>
    <definedName name="Img_ML_6f5e5e4d" hidden="1">"IMG_6"</definedName>
    <definedName name="Img_ML_6f6f4d9i" hidden="1">"IMG_6"</definedName>
    <definedName name="Img_ML_6f9i2b5e" hidden="1">"IMG_6"</definedName>
    <definedName name="Img_ML_6j4v6x5i" hidden="1">"IMG_10"</definedName>
    <definedName name="Img_ML_6j5x3m8z" hidden="1">"IMG_10"</definedName>
    <definedName name="Img_ML_6k4t7z9z" hidden="1">"IMG_6"</definedName>
    <definedName name="Img_ML_6k5t7m9z" hidden="1">"IMG_10"</definedName>
    <definedName name="Img_ML_6k8x3t3z" hidden="1">"IMG_10"</definedName>
    <definedName name="Img_ML_6k9c9p4d" hidden="1">"IMG_18"</definedName>
    <definedName name="Img_ML_6m6i9t6k" hidden="1">"IMG_10"</definedName>
    <definedName name="Img_ML_6n6c2h1d" hidden="1">"IMG_17"</definedName>
    <definedName name="Img_ML_6p2b6u6k" hidden="1">"IMG_13"</definedName>
    <definedName name="Img_ML_6p3m8v1n" hidden="1">"IMG_18"</definedName>
    <definedName name="Img_ML_6r9u1n9k" hidden="1">"IMG_11"</definedName>
    <definedName name="Img_ML_6u4t7r7e" hidden="1">"IMG_10"</definedName>
    <definedName name="Img_ML_6u6x3l5z" hidden="1">"IMG_10"</definedName>
    <definedName name="Img_ML_6w6m7b7r" hidden="1">"IMG_10"</definedName>
    <definedName name="Img_ML_6y9f7y3n" hidden="1">"IMG_12"</definedName>
    <definedName name="Img_ML_7b3x8f2f" hidden="1">"IMG_10"</definedName>
    <definedName name="Img_ML_7e1g7x4r" hidden="1">"IMG_11"</definedName>
    <definedName name="Img_ML_7g3c2b9i" hidden="1">"IMG_6"</definedName>
    <definedName name="Img_ML_7g4k9d6i" hidden="1">"IMG_11"</definedName>
    <definedName name="Img_ML_7g5e5e2b" localSheetId="2" hidden="1">"IMG_12"</definedName>
    <definedName name="Img_ML_7g5e5e2b" localSheetId="6" hidden="1">"IMG_12"</definedName>
    <definedName name="Img_ML_7g5e5e2b" localSheetId="8" hidden="1">"IMG_12"</definedName>
    <definedName name="Img_ML_7g5e5e2b" localSheetId="7" hidden="1">"IMG_12"</definedName>
    <definedName name="Img_ML_7g5e5e2b" hidden="1">"IMG_3"</definedName>
    <definedName name="Img_ML_7j6w4l1i" hidden="1">"IMG_10"</definedName>
    <definedName name="Img_ML_7m5m4k3b" hidden="1">"IMG_18"</definedName>
    <definedName name="Img_ML_7n6h3t1t" hidden="1">"IMG_11"</definedName>
    <definedName name="Img_ML_7s4w7c6r" hidden="1">"IMG_6"</definedName>
    <definedName name="Img_ML_7s5s8m6i" hidden="1">"IMG_10"</definedName>
    <definedName name="Img_ML_7s7v5o2i" hidden="1">"IMG_10"</definedName>
    <definedName name="Img_ML_7w3j1h9t" hidden="1">"IMG_12"</definedName>
    <definedName name="Img_ML_8b4s3j4n" hidden="1">"IMG_12"</definedName>
    <definedName name="Img_ML_8b9j5t1p" hidden="1">"IMG_18"</definedName>
    <definedName name="Img_ML_8c2q5i2r" hidden="1">"IMG_12"</definedName>
    <definedName name="Img_ML_8g3e4a7v" hidden="1">"IMG_6"</definedName>
    <definedName name="Img_ML_8g6y2l4j" hidden="1">"IMG_10"</definedName>
    <definedName name="Img_ML_8h3m3i1m" hidden="1">"IMG_11"</definedName>
    <definedName name="Img_ML_8h4d9i2b" localSheetId="2" hidden="1">"IMG_4"</definedName>
    <definedName name="Img_ML_8h4d9i2b" localSheetId="6" hidden="1">"IMG_4"</definedName>
    <definedName name="Img_ML_8h4d9i2b" localSheetId="8" hidden="1">"IMG_4"</definedName>
    <definedName name="Img_ML_8h4d9i2b" localSheetId="7" hidden="1">"IMG_4"</definedName>
    <definedName name="Img_ML_8h4d9i2b" hidden="1">"IMG_6"</definedName>
    <definedName name="Img_ML_8h5e9i3c" hidden="1">"IMG_6"</definedName>
    <definedName name="Img_ML_8h7g3c9i" hidden="1">"IMG_6"</definedName>
    <definedName name="Img_ML_8h7g4d4d" hidden="1">"IMG_3"</definedName>
    <definedName name="Img_ML_8i9u7w8k" hidden="1">"IMG_10"</definedName>
    <definedName name="Img_ML_8j2w4j8j" hidden="1">"IMG_10"</definedName>
    <definedName name="Img_ML_8j3v5k8j" hidden="1">"IMG_10"</definedName>
    <definedName name="Img_ML_8j3w6p4c" hidden="1">"IMG_4"</definedName>
    <definedName name="Img_ML_8j6r9l1j" hidden="1">"IMG_10"</definedName>
    <definedName name="Img_ML_8k1s8i9j" hidden="1">"IMG_10"</definedName>
    <definedName name="Img_ML_8k7v5o9j" hidden="1">"IMG_10"</definedName>
    <definedName name="Img_ML_8k8v5t3j" hidden="1">"IMG_10"</definedName>
    <definedName name="Img_ML_8r1k8t4y" hidden="1">"IMG_11"</definedName>
    <definedName name="Img_ML_8r9f4n4f" hidden="1">"IMG_10"</definedName>
    <definedName name="Img_ML_8s3q3c1i" hidden="1">"IMG_10"</definedName>
    <definedName name="Img_ML_8s7v5o2j" hidden="1">"IMG_10"</definedName>
    <definedName name="Img_ML_8t3m5u6f" hidden="1">"IMG_10"</definedName>
    <definedName name="Img_ML_8u1r9i5j" hidden="1">"IMG_10"</definedName>
    <definedName name="Img_ML_9c9p6w6g" hidden="1">"IMG_6"</definedName>
    <definedName name="Img_ML_9d9x3u7w" hidden="1">"IMG_10"</definedName>
    <definedName name="Img_ML_9g2r1i7c" hidden="1">"IMG_11"</definedName>
    <definedName name="Img_ML_9g3r6t7h" hidden="1">"IMG_10"</definedName>
    <definedName name="Img_ML_9h6h8h8e" hidden="1">"IMG_10"</definedName>
    <definedName name="Img_ML_9h6p7r7t" hidden="1">"IMG_13"</definedName>
    <definedName name="Img_ML_9i6f5e3c" hidden="1">"IMG_10"</definedName>
    <definedName name="Img_ML_9j3t2m3v" hidden="1">"IMG_18"</definedName>
    <definedName name="Img_ML_9n1s4m5f" hidden="1">"IMG_11"</definedName>
    <definedName name="Img_ML_9s2r9j6w" hidden="1">"IMG_10"</definedName>
    <definedName name="Img_ML_9u2c1d4e" hidden="1">"IMG_12"</definedName>
    <definedName name="Img_ML_9v6s2g1u" hidden="1">"IMG_17"</definedName>
    <definedName name="Img_Production_Breakdown" hidden="1">"IMG_3"</definedName>
    <definedName name="Img_Supply_Demand_Tables" hidden="1">"IMG_11"</definedName>
    <definedName name="Intl_EP_Depr_2004">#REF!</definedName>
    <definedName name="Intl_EP_NI_2004">#REF!</definedName>
    <definedName name="IntlAnnualSegs">#REF!</definedName>
    <definedName name="IntlGasProd_2004">#REF!</definedName>
    <definedName name="IntlOilProd_2004">#REF!</definedName>
    <definedName name="IntlOtherCosts_2004">#REF!</definedName>
    <definedName name="IntlProd_2004">#REF!</definedName>
    <definedName name="IntlProdCosts_2004">#REF!</definedName>
    <definedName name="IntlQuartSegs">#REF!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BS_AVAIL_SALE_FFIEC" hidden="1">"c12802"</definedName>
    <definedName name="IQ_ABS_FFIEC" hidden="1">"c12788"</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ING_FFIEC" hidden="1">"c13054"</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SUPPLE" hidden="1">"c13812"</definedName>
    <definedName name="IQ_ASSET_WRITEDOWN_UTI" hidden="1">"c61"</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ID" hidden="1">"c13756"</definedName>
    <definedName name="IQ_BOARD_MEMBER_MAIN_FAX" hidden="1">"c15174"</definedName>
    <definedName name="IQ_BOARD_MEMBER_MAIN_PHONE" hidden="1">"c15173"</definedName>
    <definedName name="IQ_BOARD_MEMBER_OFFICE_ADDRESS" hidden="1">"c15172"</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"c1349"</definedName>
    <definedName name="IQ_BV_SHARE" hidden="1">"c100"</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LOW_ACT_OR_EST" hidden="1">"c4154"</definedName>
    <definedName name="IQ_CASH_FOREIGN_BRANCH_OTHER_US_BANKS_FFIEC" hidden="1">"c15282"</definedName>
    <definedName name="IQ_CASH_IN_PROCESS_FDIC" hidden="1">"c6386"</definedName>
    <definedName name="IQ_CASH_INTEREST" hidden="1">"c120"</definedName>
    <definedName name="IQ_CASH_INVEST" hidden="1">"c121"</definedName>
    <definedName name="IQ_CASH_OPER" hidden="1">"c122"</definedName>
    <definedName name="IQ_CASH_OPER_ACT_OR_EST" hidden="1">"c4164"</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CE_FDIC" hidden="1">"c6296"</definedName>
    <definedName name="IQ_CDS_COUPON" hidden="1">"c15234"</definedName>
    <definedName name="IQ_CDS_DERIVATIVES_BENEFICIARY_FFIEC" hidden="1">"c13119"</definedName>
    <definedName name="IQ_CDS_DERIVATIVES_GUARANTOR_FFIEC" hidden="1">"c13112"</definedName>
    <definedName name="IQ_CDS_LIST" hidden="1">"c13510"</definedName>
    <definedName name="IQ_CDS_LOAN_LIST" hidden="1">"c13518"</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O_ID" hidden="1">"c15212"</definedName>
    <definedName name="IQ_CFO_NAME" hidden="1">"c15211"</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LEASES_LL_REC_FFIEC" hidden="1">"c12895"</definedName>
    <definedName name="IQ_CONSUMER_LOANS" hidden="1">"c223"</definedName>
    <definedName name="IQ_CONSUMER_LOANS_LL_REC_DOM_FFIEC" hidden="1">"c12911"</definedName>
    <definedName name="IQ_CONSUMER_LOANS_TOT_LOANS_FFIEC" hidden="1">"c13875"</definedName>
    <definedName name="IQ_CONTRACT_AMOUNT" hidden="1">"c13933"</definedName>
    <definedName name="IQ_CONTRACT_DETAILS" hidden="1">"c15555"</definedName>
    <definedName name="IQ_CONTRACT_MONTH" hidden="1">"c13934"</definedName>
    <definedName name="IQ_CONTRACT_UNIT" hidden="1">"c13932"</definedName>
    <definedName name="IQ_CONTRACT_YEAR" hidden="1">"c13935"</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AGE_RATIO" hidden="1">"c15243"</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C" hidden="1">"c13834"</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"c157"</definedName>
    <definedName name="IQ_EBIT_GROWTH_2" hidden="1">"c161"</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"c156"</definedName>
    <definedName name="IQ_EBITDA_GROWTH_2" hidden="1">"c160"</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PLOYEES" hidden="1">"c392"</definedName>
    <definedName name="IQ_EMPLOYEES_FFIEC" hidden="1">"c13035"</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"c189"</definedName>
    <definedName name="IQ_EPS_EST_REUT" hidden="1">"c5453"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_REUT" hidden="1">"c5409"</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FFO_REUT" hidden="1">"c3843"</definedName>
    <definedName name="IQ_EST_ACT_FFO_SHARE_REUT" hidden="1">"c3843"</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BV_DIFF_REUT" hidden="1">"c5433"</definedName>
    <definedName name="IQ_EST_BV_SURPRISE_PERCENT_REUT" hidden="1">"c5434"</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AIR_VALUE_MORT_SERVICING_ASSETS_FFIEC" hidden="1">"c12956"</definedName>
    <definedName name="IQ_EST_FFO_DIFF" hidden="1">"c1869"</definedName>
    <definedName name="IQ_EST_FFO_DIFF_REUT" hidden="1">"c3890"</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DIFF_REUT" hidden="1">"c3890"</definedName>
    <definedName name="IQ_EST_FFO_SHARE_SURPRISE_PERCENT_REUT" hidden="1">"c3891"</definedName>
    <definedName name="IQ_EST_FFO_SURPRISE_PERCENT" hidden="1">"c1870"</definedName>
    <definedName name="IQ_EST_FFO_SURPRISE_PERCENT_REUT" hidden="1">"c3891"</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REUT" hidden="1">"c3869"</definedName>
    <definedName name="IQ_EST_NUM_HOLD" hidden="1">"c1761"</definedName>
    <definedName name="IQ_EST_NUM_HOLD_REUT" hidden="1">"c3871"</definedName>
    <definedName name="IQ_EST_NUM_NO_OPINION" hidden="1">"c1758"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FIXED_ASSETS_FFIEC" hidden="1">"c13024"</definedName>
    <definedName name="IQ_EXPIRATION_DATE" hidden="1">"c13930"</definedName>
    <definedName name="IQ_EXPLORE_DRILL" hidden="1">"c409"</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"c4970"</definedName>
    <definedName name="IQ_FFO_EST_REUT" hidden="1">"c3837"</definedName>
    <definedName name="IQ_FFO_HIGH_EST" hidden="1">"c419"</definedName>
    <definedName name="IQ_FFO_HIGH_EST_CIQ" hidden="1">"c4977"</definedName>
    <definedName name="IQ_FFO_HIGH_EST_REUT" hidden="1">"c3839"</definedName>
    <definedName name="IQ_FFO_LOW_EST" hidden="1">"c420"</definedName>
    <definedName name="IQ_FFO_LOW_EST_CIQ" hidden="1">"c4978"</definedName>
    <definedName name="IQ_FFO_LOW_EST_REUT" hidden="1">"c3840"</definedName>
    <definedName name="IQ_FFO_MEDIAN_EST" hidden="1">"c1665"</definedName>
    <definedName name="IQ_FFO_MEDIAN_EST_CIQ" hidden="1">"c4979"</definedName>
    <definedName name="IQ_FFO_MEDIAN_EST_REUT" hidden="1">"c3838"</definedName>
    <definedName name="IQ_FFO_NUM_EST" hidden="1">"c421"</definedName>
    <definedName name="IQ_FFO_NUM_EST_CIQ" hidden="1">"c4980"</definedName>
    <definedName name="IQ_FFO_NUM_EST_REUT" hidden="1">"c3841"</definedName>
    <definedName name="IQ_FFO_PAYOUT_RATIO" hidden="1">"c3492"</definedName>
    <definedName name="IQ_FFO_SHARE_ACT_OR_EST" hidden="1">"c4446"</definedName>
    <definedName name="IQ_FFO_SHARE_EST_REUT" hidden="1">"c3837"</definedName>
    <definedName name="IQ_FFO_SHARE_HIGH_EST_REUT" hidden="1">"c3839"</definedName>
    <definedName name="IQ_FFO_SHARE_LOW_EST_REUT" hidden="1">"c3840"</definedName>
    <definedName name="IQ_FFO_SHARE_MEDIAN_EST_REUT" hidden="1">"c3838"</definedName>
    <definedName name="IQ_FFO_SHARE_NUM_EST_REUT" hidden="1">"c3841"</definedName>
    <definedName name="IQ_FFO_SHARE_STDDEV_EST_REUT" hidden="1">"c3842"</definedName>
    <definedName name="IQ_FFO_STDDEV_EST" hidden="1">"c422"</definedName>
    <definedName name="IQ_FFO_STDDEV_EST_CIQ" hidden="1">"c4981"</definedName>
    <definedName name="IQ_FFO_STDDEV_EST_REUT" hidden="1">"c3842"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EST_CIQ" hidden="1">"c13924"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DGEFUND_OVER_TOTAL" hidden="1">"c13771"</definedName>
    <definedName name="IQ_HELD_MATURITY_FDIC" hidden="1">"c6408"</definedName>
    <definedName name="IQ_HIGH_LOW_CLOSEPRICE_DATE" hidden="1">"c1204"</definedName>
    <definedName name="IQ_HIGH_TARGET_PRICE" hidden="1">"c1651"</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PAIR_OIL" hidden="1">"c547"</definedName>
    <definedName name="IQ_IMPAIRED_LOANS" hidden="1">"c15250"</definedName>
    <definedName name="IQ_IMPAIRMENT_GW" hidden="1">"c548"</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TYPE" hidden="1">"c15223"</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SUPPLE" hidden="1">"c13814"</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MATURING_1YR_INT_SENSITIVITY_FFIEC" hidden="1">"c13097"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SUPPLE" hidden="1">"c13810"</definedName>
    <definedName name="IQ_MERGER_UTI" hidden="1">"c726"</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2" hidden="1">43892.4023958333</definedName>
    <definedName name="IQ_NAMES_REVISION_DATE_" localSheetId="6" hidden="1">43892.4023958333</definedName>
    <definedName name="IQ_NAMES_REVISION_DATE_" localSheetId="8" hidden="1">43892.4023958333</definedName>
    <definedName name="IQ_NAMES_REVISION_DATE_" localSheetId="3" hidden="1">44395.3254282406</definedName>
    <definedName name="IQ_NAMES_REVISION_DATE_" localSheetId="12" hidden="1">44322.4338657407</definedName>
    <definedName name="IQ_NAMES_REVISION_DATE_" hidden="1">44395.3254282406</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DEPOSITS_DOM_FFIEC" hidden="1">"c12851"</definedName>
    <definedName name="IQ_NON_INT_DEPOSITS_FOREIGN_FFIEC" hidden="1">"c12854"</definedName>
    <definedName name="IQ_NON_INT_EXP" hidden="1">"c801"</definedName>
    <definedName name="IQ_NON_INT_EXP_FDIC" hidden="1">"c6579"</definedName>
    <definedName name="IQ_NON_INT_EXPENSE_FFIEC" hidden="1">"c13028"</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AVG_ASSETS_FFIEC" hidden="1">"c13359"</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EXP_AVG_ASSETS_FFIEC" hidden="1">"c13372"</definedName>
    <definedName name="IQ_OCCUPANCY_EXP_OPERATING_INC_FFIEC" hidden="1">"c13380"</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FFIEC" hidden="1">"c12972"</definedName>
    <definedName name="IQ_OTHER_AMORT" hidden="1">"c5563"</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SAVINGS_DEPOSITS_FDIC" hidden="1">"c6554"</definedName>
    <definedName name="IQ_OTHER_SAVINGS_DEPOSITS_NON_TRANS_ACCTS_FFIEC" hidden="1">"c15331"</definedName>
    <definedName name="IQ_OTHER_SECURITIES_QUARTERLY_AVG_FFIEC" hidden="1">"c15472"</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12MONTHS" hidden="1">"c1828"</definedName>
    <definedName name="IQ_PERCENT_CHANGE_EST_FFO_SHARE_12MONTHS_REUT" hidden="1">"c3938"</definedName>
    <definedName name="IQ_PERCENT_CHANGE_EST_FFO_SHARE_18MONTHS" hidden="1">"c1829"</definedName>
    <definedName name="IQ_PERCENT_CHANGE_EST_FFO_SHARE_18MONTHS_REUT" hidden="1">"c3939"</definedName>
    <definedName name="IQ_PERCENT_CHANGE_EST_FFO_SHARE_3MONTHS" hidden="1">"c1825"</definedName>
    <definedName name="IQ_PERCENT_CHANGE_EST_FFO_SHARE_3MONTHS_REUT" hidden="1">"c3935"</definedName>
    <definedName name="IQ_PERCENT_CHANGE_EST_FFO_SHARE_6MONTHS" hidden="1">"c1826"</definedName>
    <definedName name="IQ_PERCENT_CHANGE_EST_FFO_SHARE_6MONTHS_REUT" hidden="1">"c3936"</definedName>
    <definedName name="IQ_PERCENT_CHANGE_EST_FFO_SHARE_9MONTHS" hidden="1">"c1827"</definedName>
    <definedName name="IQ_PERCENT_CHANGE_EST_FFO_SHARE_9MONTHS_REUT" hidden="1">"c3937"</definedName>
    <definedName name="IQ_PERCENT_CHANGE_EST_FFO_SHARE_DAY" hidden="1">"c1822"</definedName>
    <definedName name="IQ_PERCENT_CHANGE_EST_FFO_SHARE_DAY_REUT" hidden="1">"c3933"</definedName>
    <definedName name="IQ_PERCENT_CHANGE_EST_FFO_SHARE_MONTH" hidden="1">"c1824"</definedName>
    <definedName name="IQ_PERCENT_CHANGE_EST_FFO_SHARE_MONTH_REUT" hidden="1">"c3934"</definedName>
    <definedName name="IQ_PERCENT_CHANGE_EST_FFO_SHARE_SHARE_12MONTHS" hidden="1">"c1828"</definedName>
    <definedName name="IQ_PERCENT_CHANGE_EST_FFO_SHARE_SHARE_12MONTHS_CIQ" hidden="1">"c3769"</definedName>
    <definedName name="IQ_PERCENT_CHANGE_EST_FFO_SHARE_SHARE_18MONTHS" hidden="1">"c1829"</definedName>
    <definedName name="IQ_PERCENT_CHANGE_EST_FFO_SHARE_SHARE_18MONTHS_CIQ" hidden="1">"c3770"</definedName>
    <definedName name="IQ_PERCENT_CHANGE_EST_FFO_SHARE_SHARE_3MONTHS" hidden="1">"c1825"</definedName>
    <definedName name="IQ_PERCENT_CHANGE_EST_FFO_SHARE_SHARE_3MONTHS_CIQ" hidden="1">"c3766"</definedName>
    <definedName name="IQ_PERCENT_CHANGE_EST_FFO_SHARE_SHARE_6MONTHS" hidden="1">"c1826"</definedName>
    <definedName name="IQ_PERCENT_CHANGE_EST_FFO_SHARE_SHARE_6MONTHS_CIQ" hidden="1">"c3767"</definedName>
    <definedName name="IQ_PERCENT_CHANGE_EST_FFO_SHARE_SHARE_9MONTHS" hidden="1">"c1827"</definedName>
    <definedName name="IQ_PERCENT_CHANGE_EST_FFO_SHARE_SHARE_9MONTHS_CIQ" hidden="1">"c3768"</definedName>
    <definedName name="IQ_PERCENT_CHANGE_EST_FFO_SHARE_SHARE_DAY" hidden="1">"c1822"</definedName>
    <definedName name="IQ_PERCENT_CHANGE_EST_FFO_SHARE_SHARE_DAY_CIQ" hidden="1">"c3764"</definedName>
    <definedName name="IQ_PERCENT_CHANGE_EST_FFO_SHARE_SHARE_MONTH" hidden="1">"c1824"</definedName>
    <definedName name="IQ_PERCENT_CHANGE_EST_FFO_SHARE_SHARE_MONTH_CIQ" hidden="1">"c3765"</definedName>
    <definedName name="IQ_PERCENT_CHANGE_EST_FFO_SHARE_SHARE_WEEK" hidden="1">"c1823"</definedName>
    <definedName name="IQ_PERCENT_CHANGE_EST_FFO_SHARE_SHARE_WEEK_CIQ" hidden="1">"c3795"</definedName>
    <definedName name="IQ_PERCENT_CHANGE_EST_FFO_SHARE_WEEK" hidden="1">"c1823"</definedName>
    <definedName name="IQ_PERCENT_CHANGE_EST_FFO_SHARE_WEEK_REUT" hidden="1">"c3964"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CENT_INSURED_FDIC" hidden="1">"c6374"</definedName>
    <definedName name="IQ_PERFORMANCE_LOC_FOREIGN_GUARANTEES_FFIEC" hidden="1">"c13251"</definedName>
    <definedName name="IQ_PERIODDATE" hidden="1">"c1414"</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CF" hidden="1">"c1502"</definedName>
    <definedName name="IQ_PERIODLENGTH_IS" hidden="1">"c1503"</definedName>
    <definedName name="IQ_PERSONNEL_EXP_AVG_ASSETS_FFIEC" hidden="1">"c13371"</definedName>
    <definedName name="IQ_PERSONNEL_EXP_OPERATING_INC_FFIEC" hidden="1">"c13379"</definedName>
    <definedName name="IQ_PERTYPE" hidden="1">"c1611"</definedName>
    <definedName name="IQ_PLEDGED_SEC_INVEST_SECURITIES_FFIEC" hidden="1">"c13467"</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CONTRACT_ID" hidden="1">"c13929"</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_TARGET_REUT" hidden="1">"c3631"</definedName>
    <definedName name="IQ_PRICE_UNIT" hidden="1">"c15556"</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FARMLAND_GROSS_LOANS_FFIEC" hidden="1">"c13408"</definedName>
    <definedName name="IQ_RE_FARMLAND_RISK_BASED_FFIEC" hidden="1">"c13429"</definedName>
    <definedName name="IQ_RE_FORECLOSURE_FDIC" hidden="1">"c6332"</definedName>
    <definedName name="IQ_RE_FOREIGN_FFIEC" hidden="1">"c13479"</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COMMON_EQUITY" hidden="1">"c13838"</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BEFORE_LOAN_LOSS_FOREIGN_FFIEC" hidden="1">"c15381"</definedName>
    <definedName name="IQ_REV_STDDEV_EST" hidden="1">"c1124"</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BEFORE_LL_FFIEC" hidden="1">"c13018"</definedName>
    <definedName name="IQ_REVENUE_EST" hidden="1">"c1126"</definedName>
    <definedName name="IQ_REVENUE_EST_1" hidden="1">"c190"</definedName>
    <definedName name="IQ_REVENUE_EST_REUT" hidden="1">"c3634"</definedName>
    <definedName name="IQ_REVENUE_GROWTH_1" hidden="1">"c155"</definedName>
    <definedName name="IQ_REVENUE_GROWTH_2" hidden="1">"c159"</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38747.6532060184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ISK_ADJ_BANK_ASSETS" hidden="1">"c2670"</definedName>
    <definedName name="IQ_RISK_WEIGHTED_ASSETS_FDIC" hidden="1">"c6370"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_PRICE" hidden="1">"c15157"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POSITIONS_FFIEC" hidden="1">"c12859"</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VG_CE_TOTAL_AVG_ASSETS" hidden="1">"c1241"</definedName>
    <definedName name="IQ_TOTAL_AVG_EQUITY_TOTAL_AVG_ASSETS" hidden="1">"c1242"</definedName>
    <definedName name="IQ_TOTAL_BANK_CAPITAL" hidden="1">"c2668"</definedName>
    <definedName name="IQ_TOTAL_BROKERED_DEPOSIT_FFIEC" hidden="1">"c15304"</definedName>
    <definedName name="IQ_TOTAL_CA" hidden="1">"c1243"</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LOANS" hidden="1">"c15249"</definedName>
    <definedName name="IQ_VENTURE_CAPITAL_REVENUE_FFIEC" hidden="1">"c13010"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1</definedName>
    <definedName name="iQShowHideColumns" localSheetId="2" hidden="1">"iQShowAll"</definedName>
    <definedName name="iQShowHideColumns" localSheetId="6" hidden="1">"iQShowAll"</definedName>
    <definedName name="iQShowHideColumns" localSheetId="8" hidden="1">"iQShowAll"</definedName>
    <definedName name="iQShowHideColumns" localSheetId="7" hidden="1">"iQShowAll"</definedName>
    <definedName name="iQShowHideColumns" hidden="1">"iQShowQuarterlyAnnual"</definedName>
    <definedName name="is">#REF!</definedName>
    <definedName name="jeff" localSheetId="2" hidden="1">{"comps",#N/A,FALSE,"TXTCOMPS";"segment_EPS",#N/A,FALSE,"TXTCOMPS";"valuation",#N/A,FALSE,"TXTCOMPS"}</definedName>
    <definedName name="jeff" localSheetId="10" hidden="1">{"comps",#N/A,FALSE,"TXTCOMPS";"segment_EPS",#N/A,FALSE,"TXTCOMPS";"valuation",#N/A,FALSE,"TXTCOMPS"}</definedName>
    <definedName name="jeff" localSheetId="6" hidden="1">{"comps",#N/A,FALSE,"TXTCOMPS";"segment_EPS",#N/A,FALSE,"TXTCOMPS";"valuation",#N/A,FALSE,"TXTCOMPS"}</definedName>
    <definedName name="jeff" localSheetId="8" hidden="1">{"comps",#N/A,FALSE,"TXTCOMPS";"segment_EPS",#N/A,FALSE,"TXTCOMPS";"valuation",#N/A,FALSE,"TXTCOMPS"}</definedName>
    <definedName name="jeff" localSheetId="9" hidden="1">{"comps",#N/A,FALSE,"TXTCOMPS";"segment_EPS",#N/A,FALSE,"TXTCOMPS";"valuation",#N/A,FALSE,"TXTCOMPS"}</definedName>
    <definedName name="jeff" localSheetId="3" hidden="1">{"comps",#N/A,FALSE,"TXTCOMPS";"segment_EPS",#N/A,FALSE,"TXTCOMPS";"valuation",#N/A,FALSE,"TXTCOMPS"}</definedName>
    <definedName name="jeff" localSheetId="7" hidden="1">{"comps",#N/A,FALSE,"TXTCOMPS";"segment_EPS",#N/A,FALSE,"TXTCOMPS";"valuation",#N/A,FALSE,"TXTCOMPS"}</definedName>
    <definedName name="jeff" localSheetId="12" hidden="1">{"comps",#N/A,FALSE,"TXTCOMPS";"segment_EPS",#N/A,FALSE,"TXTCOMPS";"valuation",#N/A,FALSE,"TXTCOMPS"}</definedName>
    <definedName name="jeff" hidden="1">{"comps",#N/A,FALSE,"TXTCOMPS";"segment_EPS",#N/A,FALSE,"TXTCOMPS";"valuation",#N/A,FALSE,"TXTCOMPS"}</definedName>
    <definedName name="jk" localSheetId="2" hidden="1">{"segment_EPS",#N/A,FALSE,"TXTCOMPS"}</definedName>
    <definedName name="jk" localSheetId="10" hidden="1">{"segment_EPS",#N/A,FALSE,"TXTCOMPS"}</definedName>
    <definedName name="jk" localSheetId="6" hidden="1">{"segment_EPS",#N/A,FALSE,"TXTCOMPS"}</definedName>
    <definedName name="jk" localSheetId="8" hidden="1">{"segment_EPS",#N/A,FALSE,"TXTCOMPS"}</definedName>
    <definedName name="jk" localSheetId="9" hidden="1">{"segment_EPS",#N/A,FALSE,"TXTCOMPS"}</definedName>
    <definedName name="jk" localSheetId="3" hidden="1">{"segment_EPS",#N/A,FALSE,"TXTCOMPS"}</definedName>
    <definedName name="jk" localSheetId="7" hidden="1">{"segment_EPS",#N/A,FALSE,"TXTCOMPS"}</definedName>
    <definedName name="jk" localSheetId="12" hidden="1">{"segment_EPS",#N/A,FALSE,"TXTCOMPS"}</definedName>
    <definedName name="jk" hidden="1">{"segment_EPS",#N/A,FALSE,"TXTCOMPS"}</definedName>
    <definedName name="K" localSheetId="2"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10"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6"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8"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9"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3"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7"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12"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HN" localSheetId="2" hidden="1">{"'보고양식'!$A$58:$K$111"}</definedName>
    <definedName name="KHN" localSheetId="10" hidden="1">{"'보고양식'!$A$58:$K$111"}</definedName>
    <definedName name="KHN" localSheetId="6" hidden="1">{"'보고양식'!$A$58:$K$111"}</definedName>
    <definedName name="KHN" localSheetId="8" hidden="1">{"'보고양식'!$A$58:$K$111"}</definedName>
    <definedName name="KHN" localSheetId="9" hidden="1">{"'보고양식'!$A$58:$K$111"}</definedName>
    <definedName name="KHN" localSheetId="3" hidden="1">{"'보고양식'!$A$58:$K$111"}</definedName>
    <definedName name="KHN" localSheetId="7" hidden="1">{"'보고양식'!$A$58:$K$111"}</definedName>
    <definedName name="KHN" localSheetId="12" hidden="1">{"'보고양식'!$A$58:$K$111"}</definedName>
    <definedName name="KHN" hidden="1">{"'보고양식'!$A$58:$K$111"}</definedName>
    <definedName name="L" localSheetId="2" hidden="1">{"rev_history_revenueDetail",#N/A,FALSE,"historical rev us";"rev_history_minutesDetail",#N/A,FALSE,"historical rev us"}</definedName>
    <definedName name="L" localSheetId="10" hidden="1">{"rev_history_revenueDetail",#N/A,FALSE,"historical rev us";"rev_history_minutesDetail",#N/A,FALSE,"historical rev us"}</definedName>
    <definedName name="L" localSheetId="6" hidden="1">{"rev_history_revenueDetail",#N/A,FALSE,"historical rev us";"rev_history_minutesDetail",#N/A,FALSE,"historical rev us"}</definedName>
    <definedName name="L" localSheetId="8" hidden="1">{"rev_history_revenueDetail",#N/A,FALSE,"historical rev us";"rev_history_minutesDetail",#N/A,FALSE,"historical rev us"}</definedName>
    <definedName name="L" localSheetId="9" hidden="1">{"rev_history_revenueDetail",#N/A,FALSE,"historical rev us";"rev_history_minutesDetail",#N/A,FALSE,"historical rev us"}</definedName>
    <definedName name="L" localSheetId="3" hidden="1">{"rev_history_revenueDetail",#N/A,FALSE,"historical rev us";"rev_history_minutesDetail",#N/A,FALSE,"historical rev us"}</definedName>
    <definedName name="L" localSheetId="7" hidden="1">{"rev_history_revenueDetail",#N/A,FALSE,"historical rev us";"rev_history_minutesDetail",#N/A,FALSE,"historical rev us"}</definedName>
    <definedName name="L" localSheetId="12" hidden="1">{"rev_history_revenueDetail",#N/A,FALSE,"historical rev us";"rev_history_minutesDetail",#N/A,FALSE,"historical rev us"}</definedName>
    <definedName name="L" hidden="1">{"rev_history_revenueDetail",#N/A,FALSE,"historical rev us";"rev_history_minutesDetail",#N/A,FALSE,"historical rev us"}</definedName>
    <definedName name="LastListUpdate">0</definedName>
    <definedName name="lo" localSheetId="2" hidden="1">{"valuation",#N/A,FALSE,"TXTCOMPS"}</definedName>
    <definedName name="lo" localSheetId="10" hidden="1">{"valuation",#N/A,FALSE,"TXTCOMPS"}</definedName>
    <definedName name="lo" localSheetId="6" hidden="1">{"valuation",#N/A,FALSE,"TXTCOMPS"}</definedName>
    <definedName name="lo" localSheetId="8" hidden="1">{"valuation",#N/A,FALSE,"TXTCOMPS"}</definedName>
    <definedName name="lo" localSheetId="9" hidden="1">{"valuation",#N/A,FALSE,"TXTCOMPS"}</definedName>
    <definedName name="lo" localSheetId="3" hidden="1">{"valuation",#N/A,FALSE,"TXTCOMPS"}</definedName>
    <definedName name="lo" localSheetId="7" hidden="1">{"valuation",#N/A,FALSE,"TXTCOMPS"}</definedName>
    <definedName name="lo" localSheetId="12" hidden="1">{"valuation",#N/A,FALSE,"TXTCOMPS"}</definedName>
    <definedName name="lo" hidden="1">{"valuation",#N/A,FALSE,"TXTCOMPS"}</definedName>
    <definedName name="Local">"share price"</definedName>
    <definedName name="loik" localSheetId="2" hidden="1">{"segment_EPS",#N/A,FALSE,"TXTCOMPS"}</definedName>
    <definedName name="loik" localSheetId="10" hidden="1">{"segment_EPS",#N/A,FALSE,"TXTCOMPS"}</definedName>
    <definedName name="loik" localSheetId="6" hidden="1">{"segment_EPS",#N/A,FALSE,"TXTCOMPS"}</definedName>
    <definedName name="loik" localSheetId="8" hidden="1">{"segment_EPS",#N/A,FALSE,"TXTCOMPS"}</definedName>
    <definedName name="loik" localSheetId="9" hidden="1">{"segment_EPS",#N/A,FALSE,"TXTCOMPS"}</definedName>
    <definedName name="loik" localSheetId="3" hidden="1">{"segment_EPS",#N/A,FALSE,"TXTCOMPS"}</definedName>
    <definedName name="loik" localSheetId="7" hidden="1">{"segment_EPS",#N/A,FALSE,"TXTCOMPS"}</definedName>
    <definedName name="loik" localSheetId="12" hidden="1">{"segment_EPS",#N/A,FALSE,"TXTCOMPS"}</definedName>
    <definedName name="loik" hidden="1">{"segment_EPS",#N/A,FALSE,"TXTCOMPS"}</definedName>
    <definedName name="loiku" localSheetId="2" hidden="1">{"valuation",#N/A,FALSE,"TXTCOMPS"}</definedName>
    <definedName name="loiku" localSheetId="10" hidden="1">{"valuation",#N/A,FALSE,"TXTCOMPS"}</definedName>
    <definedName name="loiku" localSheetId="6" hidden="1">{"valuation",#N/A,FALSE,"TXTCOMPS"}</definedName>
    <definedName name="loiku" localSheetId="8" hidden="1">{"valuation",#N/A,FALSE,"TXTCOMPS"}</definedName>
    <definedName name="loiku" localSheetId="9" hidden="1">{"valuation",#N/A,FALSE,"TXTCOMPS"}</definedName>
    <definedName name="loiku" localSheetId="3" hidden="1">{"valuation",#N/A,FALSE,"TXTCOMPS"}</definedName>
    <definedName name="loiku" localSheetId="7" hidden="1">{"valuation",#N/A,FALSE,"TXTCOMPS"}</definedName>
    <definedName name="loiku" localSheetId="12" hidden="1">{"valuation",#N/A,FALSE,"TXTCOMPS"}</definedName>
    <definedName name="loiku" hidden="1">{"valuation",#N/A,FALSE,"TXTCOMPS"}</definedName>
    <definedName name="loiuy" localSheetId="2" hidden="1">{"comps",#N/A,FALSE,"TXTCOMPS"}</definedName>
    <definedName name="loiuy" localSheetId="10" hidden="1">{"comps",#N/A,FALSE,"TXTCOMPS"}</definedName>
    <definedName name="loiuy" localSheetId="6" hidden="1">{"comps",#N/A,FALSE,"TXTCOMPS"}</definedName>
    <definedName name="loiuy" localSheetId="8" hidden="1">{"comps",#N/A,FALSE,"TXTCOMPS"}</definedName>
    <definedName name="loiuy" localSheetId="9" hidden="1">{"comps",#N/A,FALSE,"TXTCOMPS"}</definedName>
    <definedName name="loiuy" localSheetId="3" hidden="1">{"comps",#N/A,FALSE,"TXTCOMPS"}</definedName>
    <definedName name="loiuy" localSheetId="7" hidden="1">{"comps",#N/A,FALSE,"TXTCOMPS"}</definedName>
    <definedName name="loiuy" localSheetId="12" hidden="1">{"comps",#N/A,FALSE,"TXTCOMPS"}</definedName>
    <definedName name="loiuy" hidden="1">{"comps",#N/A,FALSE,"TXTCOMPS"}</definedName>
    <definedName name="lopi" localSheetId="2" hidden="1">{"comps",#N/A,FALSE,"TXTCOMPS"}</definedName>
    <definedName name="lopi" localSheetId="10" hidden="1">{"comps",#N/A,FALSE,"TXTCOMPS"}</definedName>
    <definedName name="lopi" localSheetId="6" hidden="1">{"comps",#N/A,FALSE,"TXTCOMPS"}</definedName>
    <definedName name="lopi" localSheetId="8" hidden="1">{"comps",#N/A,FALSE,"TXTCOMPS"}</definedName>
    <definedName name="lopi" localSheetId="9" hidden="1">{"comps",#N/A,FALSE,"TXTCOMPS"}</definedName>
    <definedName name="lopi" localSheetId="3" hidden="1">{"comps",#N/A,FALSE,"TXTCOMPS"}</definedName>
    <definedName name="lopi" localSheetId="7" hidden="1">{"comps",#N/A,FALSE,"TXTCOMPS"}</definedName>
    <definedName name="lopi" localSheetId="12" hidden="1">{"comps",#N/A,FALSE,"TXTCOMPS"}</definedName>
    <definedName name="lopi" hidden="1">{"comps",#N/A,FALSE,"TXTCOMPS"}</definedName>
    <definedName name="m" localSheetId="2" hidden="1">{"turnover",#N/A,FALSE;"profits",#N/A,FALSE;"cash",#N/A,FALSE}</definedName>
    <definedName name="m" localSheetId="10" hidden="1">{"turnover",#N/A,FALSE;"profits",#N/A,FALSE;"cash",#N/A,FALSE}</definedName>
    <definedName name="m" localSheetId="6" hidden="1">{"turnover",#N/A,FALSE;"profits",#N/A,FALSE;"cash",#N/A,FALSE}</definedName>
    <definedName name="m" localSheetId="8" hidden="1">{"turnover",#N/A,FALSE;"profits",#N/A,FALSE;"cash",#N/A,FALSE}</definedName>
    <definedName name="m" localSheetId="9" hidden="1">{"turnover",#N/A,FALSE;"profits",#N/A,FALSE;"cash",#N/A,FALSE}</definedName>
    <definedName name="m" localSheetId="3" hidden="1">{"turnover",#N/A,FALSE;"profits",#N/A,FALSE;"cash",#N/A,FALSE}</definedName>
    <definedName name="m" localSheetId="7" hidden="1">{"turnover",#N/A,FALSE;"profits",#N/A,FALSE;"cash",#N/A,FALSE}</definedName>
    <definedName name="m" localSheetId="12" hidden="1">{"turnover",#N/A,FALSE;"profits",#N/A,FALSE;"cash",#N/A,FALSE}</definedName>
    <definedName name="m" hidden="1">{"turnover",#N/A,FALSE;"profits",#N/A,FALSE;"cash",#N/A,FALSE}</definedName>
    <definedName name="M_PlaceofPath" hidden="1">"\\SNYCEQT0100\HOME\DANDERS\COMPANY\IGT\IGT_VDF.xls"</definedName>
    <definedName name="MD_0">#REF!</definedName>
    <definedName name="md_PreApprovalChecklist">#REF!</definedName>
    <definedName name="MDR">#REF!</definedName>
    <definedName name="Metadata">#REF!</definedName>
    <definedName name="Metadata0">#REF!</definedName>
    <definedName name="Metadata1">#REF!</definedName>
    <definedName name="Metadata2">#REF!</definedName>
    <definedName name="Metadata3">#REF!</definedName>
    <definedName name="Metadata4">#REF!</definedName>
    <definedName name="Metadata5">#REF!</definedName>
    <definedName name="ML_1s1s8i6q">#REF!</definedName>
    <definedName name="ML_3c7g1a7g">#REF!</definedName>
    <definedName name="ML_4m3p5r8j">#REF!</definedName>
    <definedName name="ML_5f9d1i5x">#REF!</definedName>
    <definedName name="ML_6k9c9p4d">#REF!</definedName>
    <definedName name="ML_7m5m4k3b">#REF!</definedName>
    <definedName name="ML_8b9j5t1p">#REF!</definedName>
    <definedName name="ML_8h7g4d4d">#REF!</definedName>
    <definedName name="ML_8j6r9l1j">#REF!</definedName>
    <definedName name="ML_8s6s8l2j">#REF!</definedName>
    <definedName name="mmm" localSheetId="2" hidden="1">#REF!</definedName>
    <definedName name="mmm" localSheetId="10" hidden="1">#REF!</definedName>
    <definedName name="mmm" localSheetId="6" hidden="1">#REF!</definedName>
    <definedName name="mmm" localSheetId="8" hidden="1">#REF!</definedName>
    <definedName name="mmm" localSheetId="9" hidden="1">#REF!</definedName>
    <definedName name="mmm" localSheetId="3" hidden="1">#REF!</definedName>
    <definedName name="mmm" localSheetId="7" hidden="1">#REF!</definedName>
    <definedName name="mmm" localSheetId="12" hidden="1">#REF!</definedName>
    <definedName name="mmm" hidden="1">#REF!</definedName>
    <definedName name="model">#REF!</definedName>
    <definedName name="Model_Name">#REF!</definedName>
    <definedName name="MonitorCol">1</definedName>
    <definedName name="MonitorRow">1</definedName>
    <definedName name="N" localSheetId="2"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10"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6"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8"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9"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3"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7"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12"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ameTar">#REF!</definedName>
    <definedName name="NAV">#REF!</definedName>
    <definedName name="NAV_SENSE">#REF!</definedName>
    <definedName name="newname" localSheetId="2" hidden="1">{TRUE,TRUE,-1.25,-15.5,456.75,279.75,FALSE,FALSE,TRUE,TRUE,0,1,18,1,199,6,3,4,TRUE,TRUE,3,TRUE,1,TRUE,100,"Swvu.cash.","ACwvu.cash.",1,FALSE,FALSE,0.511811023622047,0.511811023622047,0.511811023622047,0.511811023622047,1,"","",FALSE,FALSE,FALSE,FALSE,1,#N/A,1,1,#DIV/0!,FALSE,"Rwvu.cash.",#N/A,FALSE,FALSE}</definedName>
    <definedName name="newname" localSheetId="10" hidden="1">{TRUE,TRUE,-1.25,-15.5,456.75,279.75,FALSE,FALSE,TRUE,TRUE,0,1,18,1,199,6,3,4,TRUE,TRUE,3,TRUE,1,TRUE,100,"Swvu.cash.","ACwvu.cash.",1,FALSE,FALSE,0.511811023622047,0.511811023622047,0.511811023622047,0.511811023622047,1,"","",FALSE,FALSE,FALSE,FALSE,1,#N/A,1,1,#DIV/0!,FALSE,"Rwvu.cash.",#N/A,FALSE,FALSE}</definedName>
    <definedName name="newname" localSheetId="6" hidden="1">{TRUE,TRUE,-1.25,-15.5,456.75,279.75,FALSE,FALSE,TRUE,TRUE,0,1,18,1,199,6,3,4,TRUE,TRUE,3,TRUE,1,TRUE,100,"Swvu.cash.","ACwvu.cash.",1,FALSE,FALSE,0.511811023622047,0.511811023622047,0.511811023622047,0.511811023622047,1,"","",FALSE,FALSE,FALSE,FALSE,1,#N/A,1,1,#DIV/0!,FALSE,"Rwvu.cash.",#N/A,FALSE,FALSE}</definedName>
    <definedName name="newname" localSheetId="8" hidden="1">{TRUE,TRUE,-1.25,-15.5,456.75,279.75,FALSE,FALSE,TRUE,TRUE,0,1,18,1,199,6,3,4,TRUE,TRUE,3,TRUE,1,TRUE,100,"Swvu.cash.","ACwvu.cash.",1,FALSE,FALSE,0.511811023622047,0.511811023622047,0.511811023622047,0.511811023622047,1,"","",FALSE,FALSE,FALSE,FALSE,1,#N/A,1,1,#DIV/0!,FALSE,"Rwvu.cash.",#N/A,FALSE,FALSE}</definedName>
    <definedName name="newname" localSheetId="9" hidden="1">{TRUE,TRUE,-1.25,-15.5,456.75,279.75,FALSE,FALSE,TRUE,TRUE,0,1,18,1,199,6,3,4,TRUE,TRUE,3,TRUE,1,TRUE,100,"Swvu.cash.","ACwvu.cash.",1,FALSE,FALSE,0.511811023622047,0.511811023622047,0.511811023622047,0.511811023622047,1,"","",FALSE,FALSE,FALSE,FALSE,1,#N/A,1,1,#DIV/0!,FALSE,"Rwvu.cash.",#N/A,FALSE,FALSE}</definedName>
    <definedName name="newname" localSheetId="3" hidden="1">{TRUE,TRUE,-1.25,-15.5,456.75,279.75,FALSE,FALSE,TRUE,TRUE,0,1,18,1,199,6,3,4,TRUE,TRUE,3,TRUE,1,TRUE,100,"Swvu.cash.","ACwvu.cash.",1,FALSE,FALSE,0.511811023622047,0.511811023622047,0.511811023622047,0.511811023622047,1,"","",FALSE,FALSE,FALSE,FALSE,1,#N/A,1,1,#DIV/0!,FALSE,"Rwvu.cash.",#N/A,FALSE,FALSE}</definedName>
    <definedName name="newname" localSheetId="7" hidden="1">{TRUE,TRUE,-1.25,-15.5,456.75,279.75,FALSE,FALSE,TRUE,TRUE,0,1,18,1,199,6,3,4,TRUE,TRUE,3,TRUE,1,TRUE,100,"Swvu.cash.","ACwvu.cash.",1,FALSE,FALSE,0.511811023622047,0.511811023622047,0.511811023622047,0.511811023622047,1,"","",FALSE,FALSE,FALSE,FALSE,1,#N/A,1,1,#DIV/0!,FALSE,"Rwvu.cash.",#N/A,FALSE,FALSE}</definedName>
    <definedName name="newname" localSheetId="12" hidden="1">{TRUE,TRUE,-1.25,-15.5,456.75,279.75,FALSE,FALSE,TRUE,TRUE,0,1,18,1,199,6,3,4,TRUE,TRUE,3,TRUE,1,TRUE,100,"Swvu.cash.","ACwvu.cash.",1,FALSE,FALSE,0.511811023622047,0.511811023622047,0.511811023622047,0.511811023622047,1,"","",FALSE,FALSE,FALSE,FALSE,1,#N/A,1,1,#DIV/0!,FALSE,"Rwvu.cash.",#N/A,FALSE,FALSE}</definedName>
    <definedName name="newname" hidden="1">{TRUE,TRUE,-1.25,-15.5,456.75,279.75,FALSE,FALSE,TRUE,TRUE,0,1,18,1,199,6,3,4,TRUE,TRUE,3,TRUE,1,TRUE,100,"Swvu.cash.","ACwvu.cash.",1,FALSE,FALSE,0.511811023622047,0.511811023622047,0.511811023622047,0.511811023622047,1,"","",FALSE,FALSE,FALSE,FALSE,1,#N/A,1,1,#DIV/0!,FALSE,"Rwvu.cash.",#N/A,FALSE,FALSE}</definedName>
    <definedName name="NewProducts">#REF!</definedName>
    <definedName name="NI_BOE_1998">#REF!</definedName>
    <definedName name="NI_BOE_1999">#REF!</definedName>
    <definedName name="NI_BOE_2000">#REF!</definedName>
    <definedName name="NI_BOE_2001">#REF!</definedName>
    <definedName name="NI_BOE_2002">#REF!</definedName>
    <definedName name="NI_BOE_2003">#REF!</definedName>
    <definedName name="NI_BOE_2004">#REF!</definedName>
    <definedName name="NI_BOE_2005">#REF!</definedName>
    <definedName name="NI_BOE_2006">#REF!</definedName>
    <definedName name="NI_BOE_2007">#REF!</definedName>
    <definedName name="NI_BOE_2008">#REF!</definedName>
    <definedName name="NI_Intl_EP_2004">#REF!</definedName>
    <definedName name="NI_Total_EP_2004">#REF!</definedName>
    <definedName name="NI_US_EP_2004">#REF!</definedName>
    <definedName name="NJ" localSheetId="2" hidden="1">{"valuation",#N/A,FALSE,"TXTCOMPS"}</definedName>
    <definedName name="NJ" localSheetId="10" hidden="1">{"valuation",#N/A,FALSE,"TXTCOMPS"}</definedName>
    <definedName name="NJ" localSheetId="6" hidden="1">{"valuation",#N/A,FALSE,"TXTCOMPS"}</definedName>
    <definedName name="NJ" localSheetId="8" hidden="1">{"valuation",#N/A,FALSE,"TXTCOMPS"}</definedName>
    <definedName name="NJ" localSheetId="9" hidden="1">{"valuation",#N/A,FALSE,"TXTCOMPS"}</definedName>
    <definedName name="NJ" localSheetId="3" hidden="1">{"valuation",#N/A,FALSE,"TXTCOMPS"}</definedName>
    <definedName name="NJ" localSheetId="7" hidden="1">{"valuation",#N/A,FALSE,"TXTCOMPS"}</definedName>
    <definedName name="NJ" localSheetId="12" hidden="1">{"valuation",#N/A,FALSE,"TXTCOMPS"}</definedName>
    <definedName name="NJ" hidden="1">{"valuation",#N/A,FALSE,"TXTCOMPS"}</definedName>
    <definedName name="notes">#REF!</definedName>
    <definedName name="Novacor">#REF!</definedName>
    <definedName name="o" localSheetId="2" hidden="1">{"comps",#N/A,FALSE,"TXTCOMPS"}</definedName>
    <definedName name="o" localSheetId="10" hidden="1">{"comps",#N/A,FALSE,"TXTCOMPS"}</definedName>
    <definedName name="o" localSheetId="6" hidden="1">{"comps",#N/A,FALSE,"TXTCOMPS"}</definedName>
    <definedName name="o" localSheetId="8" hidden="1">{"comps",#N/A,FALSE,"TXTCOMPS"}</definedName>
    <definedName name="o" localSheetId="9" hidden="1">{"comps",#N/A,FALSE,"TXTCOMPS"}</definedName>
    <definedName name="o" localSheetId="3" hidden="1">{"comps",#N/A,FALSE,"TXTCOMPS"}</definedName>
    <definedName name="o" localSheetId="7" hidden="1">{"comps",#N/A,FALSE,"TXTCOMPS"}</definedName>
    <definedName name="o" localSheetId="12" hidden="1">{"comps",#N/A,FALSE,"TXTCOMPS"}</definedName>
    <definedName name="o" hidden="1">{"comps",#N/A,FALSE,"TXTCOMPS"}</definedName>
    <definedName name="OCER">#REF!</definedName>
    <definedName name="OGBASE_TRANSFER">#REF!</definedName>
    <definedName name="OilSands">#REF!</definedName>
    <definedName name="OperExpOther">#REF!</definedName>
    <definedName name="OperProfitAdj">#REF!,#REF!</definedName>
    <definedName name="Other">#REF!</definedName>
    <definedName name="p" localSheetId="2" hidden="1">{"comps",#N/A,FALSE,"TXTCOMPS";"segment_EPS",#N/A,FALSE,"TXTCOMPS";"valuation",#N/A,FALSE,"TXTCOMPS"}</definedName>
    <definedName name="p" localSheetId="10" hidden="1">{"comps",#N/A,FALSE,"TXTCOMPS";"segment_EPS",#N/A,FALSE,"TXTCOMPS";"valuation",#N/A,FALSE,"TXTCOMPS"}</definedName>
    <definedName name="p" localSheetId="6" hidden="1">{"comps",#N/A,FALSE,"TXTCOMPS";"segment_EPS",#N/A,FALSE,"TXTCOMPS";"valuation",#N/A,FALSE,"TXTCOMPS"}</definedName>
    <definedName name="p" localSheetId="8" hidden="1">{"comps",#N/A,FALSE,"TXTCOMPS";"segment_EPS",#N/A,FALSE,"TXTCOMPS";"valuation",#N/A,FALSE,"TXTCOMPS"}</definedName>
    <definedName name="p" localSheetId="9" hidden="1">{"comps",#N/A,FALSE,"TXTCOMPS";"segment_EPS",#N/A,FALSE,"TXTCOMPS";"valuation",#N/A,FALSE,"TXTCOMPS"}</definedName>
    <definedName name="p" localSheetId="3" hidden="1">{"comps",#N/A,FALSE,"TXTCOMPS";"segment_EPS",#N/A,FALSE,"TXTCOMPS";"valuation",#N/A,FALSE,"TXTCOMPS"}</definedName>
    <definedName name="p" localSheetId="7" hidden="1">{"comps",#N/A,FALSE,"TXTCOMPS";"segment_EPS",#N/A,FALSE,"TXTCOMPS";"valuation",#N/A,FALSE,"TXTCOMPS"}</definedName>
    <definedName name="p" localSheetId="12" hidden="1">{"comps",#N/A,FALSE,"TXTCOMPS";"segment_EPS",#N/A,FALSE,"TXTCOMPS";"valuation",#N/A,FALSE,"TXTCOMPS"}</definedName>
    <definedName name="p" hidden="1">{"comps",#N/A,FALSE,"TXTCOMPS";"segment_EPS",#N/A,FALSE,"TXTCOMPS";"valuation",#N/A,FALSE,"TXTCOMPS"}</definedName>
    <definedName name="Page_1">#REF!</definedName>
    <definedName name="Page_2">#REF!</definedName>
    <definedName name="Page_3">#REF!</definedName>
    <definedName name="Page_4">#REF!</definedName>
    <definedName name="PESC">#REF!</definedName>
    <definedName name="PharmRx">#REF!</definedName>
    <definedName name="PharmSeg">#REF!</definedName>
    <definedName name="Pipeline">#REF!</definedName>
    <definedName name="PKD">#REF!</definedName>
    <definedName name="PL_00">#REF!</definedName>
    <definedName name="PL_10">#REF!</definedName>
    <definedName name="PL_99">#REF!</definedName>
    <definedName name="PL_Amort_Gwill">#REF!</definedName>
    <definedName name="PL_EPS_Analyst">#REF!</definedName>
    <definedName name="PL_Forex">#REF!</definedName>
    <definedName name="PL_Min_INt">#REF!</definedName>
    <definedName name="PL_NI_Adjusted">#REF!</definedName>
    <definedName name="PL_NI_Reported">#REF!</definedName>
    <definedName name="PL_Ops_Discont_PostTax">#REF!</definedName>
    <definedName name="PL_PBT_Adjusted">#REF!</definedName>
    <definedName name="PLReport">#REF!</definedName>
    <definedName name="pouy" localSheetId="2" hidden="1">{"segment_EPS",#N/A,FALSE,"TXTCOMPS"}</definedName>
    <definedName name="pouy" localSheetId="10" hidden="1">{"segment_EPS",#N/A,FALSE,"TXTCOMPS"}</definedName>
    <definedName name="pouy" localSheetId="6" hidden="1">{"segment_EPS",#N/A,FALSE,"TXTCOMPS"}</definedName>
    <definedName name="pouy" localSheetId="8" hidden="1">{"segment_EPS",#N/A,FALSE,"TXTCOMPS"}</definedName>
    <definedName name="pouy" localSheetId="9" hidden="1">{"segment_EPS",#N/A,FALSE,"TXTCOMPS"}</definedName>
    <definedName name="pouy" localSheetId="3" hidden="1">{"segment_EPS",#N/A,FALSE,"TXTCOMPS"}</definedName>
    <definedName name="pouy" localSheetId="7" hidden="1">{"segment_EPS",#N/A,FALSE,"TXTCOMPS"}</definedName>
    <definedName name="pouy" localSheetId="12" hidden="1">{"segment_EPS",#N/A,FALSE,"TXTCOMPS"}</definedName>
    <definedName name="pouy" hidden="1">{"segment_EPS",#N/A,FALSE,"TXTCOMPS"}</definedName>
    <definedName name="PRI">'[30]Assumptions_Stand-Alone AR'!$AI$3</definedName>
    <definedName name="PRICE_SENSE">#REF!</definedName>
    <definedName name="_xlnm.Print_Area" localSheetId="10">Debt!$A$1:$AG$60</definedName>
    <definedName name="_xlnm.Print_Area" localSheetId="1">'One Pager - 1'!$C$2:$W$68</definedName>
    <definedName name="_xlnm.Print_Area" localSheetId="3">'Rationale - RevVal - 2'!$C$2:$T$51</definedName>
    <definedName name="_xlnm.Print_Area" localSheetId="12">'Tactical Trade'!$C$3:$U$52</definedName>
    <definedName name="_xlnm.Print_Area">#N/A</definedName>
    <definedName name="Print_Area_MI">#REF!</definedName>
    <definedName name="_xlnm.Print_Titles" localSheetId="10">Debt!$1:$6</definedName>
    <definedName name="prod94">#REF!</definedName>
    <definedName name="PROFILE_UPDATE">#REF!</definedName>
    <definedName name="ProForma">#REF!</definedName>
    <definedName name="ProfSeg">#REF!</definedName>
    <definedName name="Program" localSheetId="2" hidden="1">'[6]Edge 10797 Drilling Inventory'!#REF!</definedName>
    <definedName name="Program" localSheetId="10" hidden="1">'[6]Edge 10797 Drilling Inventory'!#REF!</definedName>
    <definedName name="Program" localSheetId="6" hidden="1">'[6]Edge 10797 Drilling Inventory'!#REF!</definedName>
    <definedName name="Program" localSheetId="3" hidden="1">'[6]Edge 10797 Drilling Inventory'!#REF!</definedName>
    <definedName name="Program" localSheetId="7" hidden="1">'[6]Edge 10797 Drilling Inventory'!#REF!</definedName>
    <definedName name="Program" localSheetId="12" hidden="1">'[6]Edge 10797 Drilling Inventory'!#REF!</definedName>
    <definedName name="Program" hidden="1">'[6]Edge 10797 Drilling Inventory'!#REF!</definedName>
    <definedName name="q" localSheetId="2" hidden="1">{"Qtr Op Mgd Q2",#N/A,FALSE,"Qtr-Op (Mng)";"Qtr Op Rpt Q2",#N/A,FALSE,"Qtr-Op (Rpt)";"Operating Vs Reported",#N/A,FALSE,"Rpt-Op Inc"}</definedName>
    <definedName name="q" localSheetId="10" hidden="1">{"Qtr Op Mgd Q2",#N/A,FALSE,"Qtr-Op (Mng)";"Qtr Op Rpt Q2",#N/A,FALSE,"Qtr-Op (Rpt)";"Operating Vs Reported",#N/A,FALSE,"Rpt-Op Inc"}</definedName>
    <definedName name="q" localSheetId="6" hidden="1">{"Qtr Op Mgd Q2",#N/A,FALSE,"Qtr-Op (Mng)";"Qtr Op Rpt Q2",#N/A,FALSE,"Qtr-Op (Rpt)";"Operating Vs Reported",#N/A,FALSE,"Rpt-Op Inc"}</definedName>
    <definedName name="q" localSheetId="8" hidden="1">{"Qtr Op Mgd Q2",#N/A,FALSE,"Qtr-Op (Mng)";"Qtr Op Rpt Q2",#N/A,FALSE,"Qtr-Op (Rpt)";"Operating Vs Reported",#N/A,FALSE,"Rpt-Op Inc"}</definedName>
    <definedName name="q" localSheetId="9" hidden="1">{"Qtr Op Mgd Q2",#N/A,FALSE,"Qtr-Op (Mng)";"Qtr Op Rpt Q2",#N/A,FALSE,"Qtr-Op (Rpt)";"Operating Vs Reported",#N/A,FALSE,"Rpt-Op Inc"}</definedName>
    <definedName name="q" localSheetId="3" hidden="1">{"comps",#N/A,FALSE,"TXTCOMPS";"segment_EPS",#N/A,FALSE,"TXTCOMPS";"valuation",#N/A,FALSE,"TXTCOMPS"}</definedName>
    <definedName name="q" localSheetId="7" hidden="1">{"Qtr Op Mgd Q2",#N/A,FALSE,"Qtr-Op (Mng)";"Qtr Op Rpt Q2",#N/A,FALSE,"Qtr-Op (Rpt)";"Operating Vs Reported",#N/A,FALSE,"Rpt-Op Inc"}</definedName>
    <definedName name="q" localSheetId="12" hidden="1">{"comps",#N/A,FALSE,"TXTCOMPS";"segment_EPS",#N/A,FALSE,"TXTCOMPS";"valuation",#N/A,FALSE,"TXTCOMPS"}</definedName>
    <definedName name="q" hidden="1">{"Qtr Op Mgd Q2",#N/A,FALSE,"Qtr-Op (Mng)";"Qtr Op Rpt Q2",#N/A,FALSE,"Qtr-Op (Rpt)";"Operating Vs Reported",#N/A,FALSE,"Rpt-Op Inc"}</definedName>
    <definedName name="Q_93">#REF!</definedName>
    <definedName name="Q_94">#REF!</definedName>
    <definedName name="Q_95">#REF!</definedName>
    <definedName name="Q1_1996">#REF!</definedName>
    <definedName name="Q1_2006">#REF!</definedName>
    <definedName name="Q2_1996">#REF!</definedName>
    <definedName name="Q2_2005">#REF!</definedName>
    <definedName name="Q2_2006">#REF!</definedName>
    <definedName name="Q3_1996">#REF!</definedName>
    <definedName name="Q3_2005">#REF!</definedName>
    <definedName name="Q3_2006">#REF!</definedName>
    <definedName name="Q4_1996">#REF!</definedName>
    <definedName name="Q4_2005">#REF!</definedName>
    <definedName name="Q4_2006">#REF!</definedName>
    <definedName name="qa" localSheetId="2" hidden="1">{"comps",#N/A,FALSE,"TXTCOMPS";"segment_EPS",#N/A,FALSE,"TXTCOMPS";"valuation",#N/A,FALSE,"TXTCOMPS"}</definedName>
    <definedName name="qa" localSheetId="10" hidden="1">{"comps",#N/A,FALSE,"TXTCOMPS";"segment_EPS",#N/A,FALSE,"TXTCOMPS";"valuation",#N/A,FALSE,"TXTCOMPS"}</definedName>
    <definedName name="qa" localSheetId="6" hidden="1">{"comps",#N/A,FALSE,"TXTCOMPS";"segment_EPS",#N/A,FALSE,"TXTCOMPS";"valuation",#N/A,FALSE,"TXTCOMPS"}</definedName>
    <definedName name="qa" localSheetId="8" hidden="1">{"comps",#N/A,FALSE,"TXTCOMPS";"segment_EPS",#N/A,FALSE,"TXTCOMPS";"valuation",#N/A,FALSE,"TXTCOMPS"}</definedName>
    <definedName name="qa" localSheetId="9" hidden="1">{"comps",#N/A,FALSE,"TXTCOMPS";"segment_EPS",#N/A,FALSE,"TXTCOMPS";"valuation",#N/A,FALSE,"TXTCOMPS"}</definedName>
    <definedName name="qa" localSheetId="3" hidden="1">{"comps",#N/A,FALSE,"TXTCOMPS";"segment_EPS",#N/A,FALSE,"TXTCOMPS";"valuation",#N/A,FALSE,"TXTCOMPS"}</definedName>
    <definedName name="qa" localSheetId="7" hidden="1">{"comps",#N/A,FALSE,"TXTCOMPS";"segment_EPS",#N/A,FALSE,"TXTCOMPS";"valuation",#N/A,FALSE,"TXTCOMPS"}</definedName>
    <definedName name="qa" localSheetId="12" hidden="1">{"comps",#N/A,FALSE,"TXTCOMPS";"segment_EPS",#N/A,FALSE,"TXTCOMPS";"valuation",#N/A,FALSE,"TXTCOMPS"}</definedName>
    <definedName name="qa" hidden="1">{"comps",#N/A,FALSE,"TXTCOMPS";"segment_EPS",#N/A,FALSE,"TXTCOMPS";"valuation",#N/A,FALSE,"TXTCOMPS"}</definedName>
    <definedName name="qd" localSheetId="2" hidden="1">{"comps",#N/A,FALSE,"TXTCOMPS"}</definedName>
    <definedName name="qd" localSheetId="10" hidden="1">{"comps",#N/A,FALSE,"TXTCOMPS"}</definedName>
    <definedName name="qd" localSheetId="6" hidden="1">{"comps",#N/A,FALSE,"TXTCOMPS"}</definedName>
    <definedName name="qd" localSheetId="8" hidden="1">{"comps",#N/A,FALSE,"TXTCOMPS"}</definedName>
    <definedName name="qd" localSheetId="9" hidden="1">{"comps",#N/A,FALSE,"TXTCOMPS"}</definedName>
    <definedName name="qd" localSheetId="3" hidden="1">{"comps",#N/A,FALSE,"TXTCOMPS"}</definedName>
    <definedName name="qd" localSheetId="7" hidden="1">{"comps",#N/A,FALSE,"TXTCOMPS"}</definedName>
    <definedName name="qd" localSheetId="12" hidden="1">{"comps",#N/A,FALSE,"TXTCOMPS"}</definedName>
    <definedName name="qd" hidden="1">{"comps",#N/A,FALSE,"TXTCOMPS"}</definedName>
    <definedName name="qf" localSheetId="2" hidden="1">{"segment_EPS",#N/A,FALSE,"TXTCOMPS"}</definedName>
    <definedName name="qf" localSheetId="10" hidden="1">{"segment_EPS",#N/A,FALSE,"TXTCOMPS"}</definedName>
    <definedName name="qf" localSheetId="6" hidden="1">{"segment_EPS",#N/A,FALSE,"TXTCOMPS"}</definedName>
    <definedName name="qf" localSheetId="8" hidden="1">{"segment_EPS",#N/A,FALSE,"TXTCOMPS"}</definedName>
    <definedName name="qf" localSheetId="9" hidden="1">{"segment_EPS",#N/A,FALSE,"TXTCOMPS"}</definedName>
    <definedName name="qf" localSheetId="3" hidden="1">{"segment_EPS",#N/A,FALSE,"TXTCOMPS"}</definedName>
    <definedName name="qf" localSheetId="7" hidden="1">{"segment_EPS",#N/A,FALSE,"TXTCOMPS"}</definedName>
    <definedName name="qf" localSheetId="12" hidden="1">{"segment_EPS",#N/A,FALSE,"TXTCOMPS"}</definedName>
    <definedName name="qf" hidden="1">{"segment_EPS",#N/A,FALSE,"TXTCOMPS"}</definedName>
    <definedName name="qg" localSheetId="2" hidden="1">{"valuation",#N/A,FALSE,"TXTCOMPS"}</definedName>
    <definedName name="qg" localSheetId="10" hidden="1">{"valuation",#N/A,FALSE,"TXTCOMPS"}</definedName>
    <definedName name="qg" localSheetId="6" hidden="1">{"valuation",#N/A,FALSE,"TXTCOMPS"}</definedName>
    <definedName name="qg" localSheetId="8" hidden="1">{"valuation",#N/A,FALSE,"TXTCOMPS"}</definedName>
    <definedName name="qg" localSheetId="9" hidden="1">{"valuation",#N/A,FALSE,"TXTCOMPS"}</definedName>
    <definedName name="qg" localSheetId="3" hidden="1">{"valuation",#N/A,FALSE,"TXTCOMPS"}</definedName>
    <definedName name="qg" localSheetId="7" hidden="1">{"valuation",#N/A,FALSE,"TXTCOMPS"}</definedName>
    <definedName name="qg" localSheetId="12" hidden="1">{"valuation",#N/A,FALSE,"TXTCOMPS"}</definedName>
    <definedName name="qg" hidden="1">{"valuation",#N/A,FALSE,"TXTCOMPS"}</definedName>
    <definedName name="qs" localSheetId="2" hidden="1">{"valuation",#N/A,FALSE,"TXTCOMPS"}</definedName>
    <definedName name="qs" localSheetId="10" hidden="1">{"valuation",#N/A,FALSE,"TXTCOMPS"}</definedName>
    <definedName name="qs" localSheetId="6" hidden="1">{"valuation",#N/A,FALSE,"TXTCOMPS"}</definedName>
    <definedName name="qs" localSheetId="8" hidden="1">{"valuation",#N/A,FALSE,"TXTCOMPS"}</definedName>
    <definedName name="qs" localSheetId="9" hidden="1">{"valuation",#N/A,FALSE,"TXTCOMPS"}</definedName>
    <definedName name="qs" localSheetId="3" hidden="1">{"valuation",#N/A,FALSE,"TXTCOMPS"}</definedName>
    <definedName name="qs" localSheetId="7" hidden="1">{"valuation",#N/A,FALSE,"TXTCOMPS"}</definedName>
    <definedName name="qs" localSheetId="12" hidden="1">{"valuation",#N/A,FALSE,"TXTCOMPS"}</definedName>
    <definedName name="qs" hidden="1">{"valuation",#N/A,FALSE,"TXTCOMPS"}</definedName>
    <definedName name="Qs_93">#REF!</definedName>
    <definedName name="Qs_94">#REF!</definedName>
    <definedName name="Qs_95">#REF!</definedName>
    <definedName name="Range_Names">#REF!</definedName>
    <definedName name="RDC">#REF!</definedName>
    <definedName name="RDCosts">#REF!</definedName>
    <definedName name="RefComp">#REF!</definedName>
    <definedName name="Regional">#REF!</definedName>
    <definedName name="rep" localSheetId="2" hidden="1">{#N/A,#N/A,FALSE,"COVER";#N/A,#N/A,FALSE,"VALUATION";#N/A,#N/A,FALSE,"FORECAST";#N/A,#N/A,FALSE,"FY ANALYSIS ";#N/A,#N/A,FALSE," HY ANALYSIS"}</definedName>
    <definedName name="rep" localSheetId="10" hidden="1">{#N/A,#N/A,FALSE,"COVER";#N/A,#N/A,FALSE,"VALUATION";#N/A,#N/A,FALSE,"FORECAST";#N/A,#N/A,FALSE,"FY ANALYSIS ";#N/A,#N/A,FALSE," HY ANALYSIS"}</definedName>
    <definedName name="rep" localSheetId="6" hidden="1">{#N/A,#N/A,FALSE,"COVER";#N/A,#N/A,FALSE,"VALUATION";#N/A,#N/A,FALSE,"FORECAST";#N/A,#N/A,FALSE,"FY ANALYSIS ";#N/A,#N/A,FALSE," HY ANALYSIS"}</definedName>
    <definedName name="rep" localSheetId="8" hidden="1">{#N/A,#N/A,FALSE,"COVER";#N/A,#N/A,FALSE,"VALUATION";#N/A,#N/A,FALSE,"FORECAST";#N/A,#N/A,FALSE,"FY ANALYSIS ";#N/A,#N/A,FALSE," HY ANALYSIS"}</definedName>
    <definedName name="rep" localSheetId="9" hidden="1">{#N/A,#N/A,FALSE,"COVER";#N/A,#N/A,FALSE,"VALUATION";#N/A,#N/A,FALSE,"FORECAST";#N/A,#N/A,FALSE,"FY ANALYSIS ";#N/A,#N/A,FALSE," HY ANALYSIS"}</definedName>
    <definedName name="rep" localSheetId="3" hidden="1">{#N/A,#N/A,FALSE,"COVER";#N/A,#N/A,FALSE,"VALUATION";#N/A,#N/A,FALSE,"FORECAST";#N/A,#N/A,FALSE,"FY ANALYSIS ";#N/A,#N/A,FALSE," HY ANALYSIS"}</definedName>
    <definedName name="rep" localSheetId="7" hidden="1">{#N/A,#N/A,FALSE,"COVER";#N/A,#N/A,FALSE,"VALUATION";#N/A,#N/A,FALSE,"FORECAST";#N/A,#N/A,FALSE,"FY ANALYSIS ";#N/A,#N/A,FALSE," HY ANALYSIS"}</definedName>
    <definedName name="rep" localSheetId="12" hidden="1">{#N/A,#N/A,FALSE,"COVER";#N/A,#N/A,FALSE,"VALUATION";#N/A,#N/A,FALSE,"FORECAST";#N/A,#N/A,FALSE,"FY ANALYSIS ";#N/A,#N/A,FALSE," HY ANALYSIS"}</definedName>
    <definedName name="rep" hidden="1">{#N/A,#N/A,FALSE,"COVER";#N/A,#N/A,FALSE,"VALUATION";#N/A,#N/A,FALSE,"FORECAST";#N/A,#N/A,FALSE,"FY ANALYSIS ";#N/A,#N/A,FALSE," HY ANALYSIS"}</definedName>
    <definedName name="RESERVES">#REF!</definedName>
    <definedName name="reserves93">#REF!</definedName>
    <definedName name="reserves94">#REF!</definedName>
    <definedName name="reserves95">#REF!</definedName>
    <definedName name="resss" localSheetId="2" hidden="1">{"comps",#N/A,FALSE,"TXTCOMPS";"segment_EPS",#N/A,FALSE,"TXTCOMPS";"valuation",#N/A,FALSE,"TXTCOMPS"}</definedName>
    <definedName name="resss" localSheetId="10" hidden="1">{"comps",#N/A,FALSE,"TXTCOMPS";"segment_EPS",#N/A,FALSE,"TXTCOMPS";"valuation",#N/A,FALSE,"TXTCOMPS"}</definedName>
    <definedName name="resss" localSheetId="6" hidden="1">{"comps",#N/A,FALSE,"TXTCOMPS";"segment_EPS",#N/A,FALSE,"TXTCOMPS";"valuation",#N/A,FALSE,"TXTCOMPS"}</definedName>
    <definedName name="resss" localSheetId="8" hidden="1">{"comps",#N/A,FALSE,"TXTCOMPS";"segment_EPS",#N/A,FALSE,"TXTCOMPS";"valuation",#N/A,FALSE,"TXTCOMPS"}</definedName>
    <definedName name="resss" localSheetId="9" hidden="1">{"comps",#N/A,FALSE,"TXTCOMPS";"segment_EPS",#N/A,FALSE,"TXTCOMPS";"valuation",#N/A,FALSE,"TXTCOMPS"}</definedName>
    <definedName name="resss" localSheetId="3" hidden="1">{"comps",#N/A,FALSE,"TXTCOMPS";"segment_EPS",#N/A,FALSE,"TXTCOMPS";"valuation",#N/A,FALSE,"TXTCOMPS"}</definedName>
    <definedName name="resss" localSheetId="7" hidden="1">{"comps",#N/A,FALSE,"TXTCOMPS";"segment_EPS",#N/A,FALSE,"TXTCOMPS";"valuation",#N/A,FALSE,"TXTCOMPS"}</definedName>
    <definedName name="resss" localSheetId="12" hidden="1">{"comps",#N/A,FALSE,"TXTCOMPS";"segment_EPS",#N/A,FALSE,"TXTCOMPS";"valuation",#N/A,FALSE,"TXTCOMPS"}</definedName>
    <definedName name="resss" hidden="1">{"comps",#N/A,FALSE,"TXTCOMPS";"segment_EPS",#N/A,FALSE,"TXTCOMPS";"valuation",#N/A,FALSE,"TXTCOMPS"}</definedName>
    <definedName name="Revenue">#REF!</definedName>
    <definedName name="REVENUE_WORKSHEET_1">#REF!</definedName>
    <definedName name="REVENUE_WORKSHEET_2">#REF!</definedName>
    <definedName name="Revenue_Worksheet_3">#REF!</definedName>
    <definedName name="Revenue_Worksheet_4">#REF!</definedName>
    <definedName name="Revenue1">#REF!</definedName>
    <definedName name="Revenue2">#REF!</definedName>
    <definedName name="RM_DDA_2004">#REF!</definedName>
    <definedName name="RM_DDA_2005">#REF!</definedName>
    <definedName name="RM_DDA_2006">#REF!</definedName>
    <definedName name="RM_DDA_2007">#REF!</definedName>
    <definedName name="RM_DDA_2008">#REF!</definedName>
    <definedName name="ROCC_Intl_2004">#REF!</definedName>
    <definedName name="ROCC_US_2004">#REF!</definedName>
    <definedName name="ROCC_WW_2004">#REF!</definedName>
    <definedName name="RT" localSheetId="2" hidden="1">{"segment_EPS",#N/A,FALSE,"TXTCOMPS"}</definedName>
    <definedName name="RT" localSheetId="10" hidden="1">{"segment_EPS",#N/A,FALSE,"TXTCOMPS"}</definedName>
    <definedName name="RT" localSheetId="6" hidden="1">{"segment_EPS",#N/A,FALSE,"TXTCOMPS"}</definedName>
    <definedName name="RT" localSheetId="8" hidden="1">{"segment_EPS",#N/A,FALSE,"TXTCOMPS"}</definedName>
    <definedName name="RT" localSheetId="9" hidden="1">{"segment_EPS",#N/A,FALSE,"TXTCOMPS"}</definedName>
    <definedName name="RT" localSheetId="3" hidden="1">{"segment_EPS",#N/A,FALSE,"TXTCOMPS"}</definedName>
    <definedName name="RT" localSheetId="7" hidden="1">{"segment_EPS",#N/A,FALSE,"TXTCOMPS"}</definedName>
    <definedName name="RT" localSheetId="12" hidden="1">{"segment_EPS",#N/A,FALSE,"TXTCOMPS"}</definedName>
    <definedName name="RT" hidden="1">{"segment_EPS",#N/A,FALSE,"TXTCOMPS"}</definedName>
    <definedName name="s" localSheetId="2" hidden="1">{"segment_EPS",#N/A,FALSE,"TXTCOMPS"}</definedName>
    <definedName name="s" localSheetId="10" hidden="1">{"segment_EPS",#N/A,FALSE,"TXTCOMPS"}</definedName>
    <definedName name="s" localSheetId="6" hidden="1">{"segment_EPS",#N/A,FALSE,"TXTCOMPS"}</definedName>
    <definedName name="s" localSheetId="8" hidden="1">{"segment_EPS",#N/A,FALSE,"TXTCOMPS"}</definedName>
    <definedName name="s" localSheetId="9" hidden="1">{"segment_EPS",#N/A,FALSE,"TXTCOMPS"}</definedName>
    <definedName name="s" localSheetId="3" hidden="1">{"segment_EPS",#N/A,FALSE,"TXTCOMPS"}</definedName>
    <definedName name="s" localSheetId="7" hidden="1">{"segment_EPS",#N/A,FALSE,"TXTCOMPS"}</definedName>
    <definedName name="s" localSheetId="12" hidden="1">{"segment_EPS",#N/A,FALSE,"TXTCOMPS"}</definedName>
    <definedName name="s" hidden="1">{"segment_EPS",#N/A,FALSE,"TXTCOMPS"}</definedName>
    <definedName name="SAPBEXrevision" hidden="1">12</definedName>
    <definedName name="SAPBEXsysID" hidden="1">"BW1"</definedName>
    <definedName name="SAPBEXwbID" hidden="1">"EXVQ7024UZF98DYY6FAM7GVXF"</definedName>
    <definedName name="sds" localSheetId="2" hidden="1">{"'보고양식'!$A$58:$K$111"}</definedName>
    <definedName name="sds" localSheetId="10" hidden="1">{"'보고양식'!$A$58:$K$111"}</definedName>
    <definedName name="sds" localSheetId="6" hidden="1">{"'보고양식'!$A$58:$K$111"}</definedName>
    <definedName name="sds" localSheetId="8" hidden="1">{"'보고양식'!$A$58:$K$111"}</definedName>
    <definedName name="sds" localSheetId="9" hidden="1">{"'보고양식'!$A$58:$K$111"}</definedName>
    <definedName name="sds" localSheetId="3" hidden="1">{"'보고양식'!$A$58:$K$111"}</definedName>
    <definedName name="sds" localSheetId="7" hidden="1">{"'보고양식'!$A$58:$K$111"}</definedName>
    <definedName name="sds" localSheetId="12" hidden="1">{"'보고양식'!$A$58:$K$111"}</definedName>
    <definedName name="sds" hidden="1">{"'보고양식'!$A$58:$K$111"}</definedName>
    <definedName name="seg" localSheetId="2" hidden="1">{"segment_EPS",#N/A,FALSE,"TXTCOMPS"}</definedName>
    <definedName name="seg" localSheetId="10" hidden="1">{"segment_EPS",#N/A,FALSE,"TXTCOMPS"}</definedName>
    <definedName name="seg" localSheetId="6" hidden="1">{"segment_EPS",#N/A,FALSE,"TXTCOMPS"}</definedName>
    <definedName name="seg" localSheetId="8" hidden="1">{"segment_EPS",#N/A,FALSE,"TXTCOMPS"}</definedName>
    <definedName name="seg" localSheetId="9" hidden="1">{"segment_EPS",#N/A,FALSE,"TXTCOMPS"}</definedName>
    <definedName name="seg" localSheetId="3" hidden="1">{"segment_EPS",#N/A,FALSE,"TXTCOMPS"}</definedName>
    <definedName name="seg" localSheetId="7" hidden="1">{"segment_EPS",#N/A,FALSE,"TXTCOMPS"}</definedName>
    <definedName name="seg" localSheetId="12" hidden="1">{"segment_EPS",#N/A,FALSE,"TXTCOMPS"}</definedName>
    <definedName name="seg" hidden="1">{"segment_EPS",#N/A,FALSE,"TXTCOMPS"}</definedName>
    <definedName name="SegmentSummary">#REF!</definedName>
    <definedName name="sencount" hidden="1">1</definedName>
    <definedName name="Share_Data">#REF!,#REF!</definedName>
    <definedName name="Shares_00">#REF!</definedName>
    <definedName name="Shares_01">#REF!</definedName>
    <definedName name="Shares_10">#REF!</definedName>
    <definedName name="Shares_99">#REF!</definedName>
    <definedName name="shrs"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1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II">#REF!</definedName>
    <definedName name="SLB">#REF!</definedName>
    <definedName name="solver_lin" hidden="1">0</definedName>
    <definedName name="solver_num" hidden="1">0</definedName>
    <definedName name="solver_typ" hidden="1">3</definedName>
    <definedName name="solver_val" hidden="1">0.6</definedName>
    <definedName name="SourceFolder">#REF!</definedName>
    <definedName name="ssss" localSheetId="2" hidden="1">{#N/A,#N/A,FALSE,"Report Print"}</definedName>
    <definedName name="ssss" localSheetId="10" hidden="1">{#N/A,#N/A,FALSE,"Report Print"}</definedName>
    <definedName name="ssss" localSheetId="6" hidden="1">{#N/A,#N/A,FALSE,"Report Print"}</definedName>
    <definedName name="ssss" localSheetId="8" hidden="1">{#N/A,#N/A,FALSE,"Report Print"}</definedName>
    <definedName name="ssss" localSheetId="9" hidden="1">{#N/A,#N/A,FALSE,"Report Print"}</definedName>
    <definedName name="ssss" localSheetId="3" hidden="1">{#N/A,#N/A,FALSE,"Report Print"}</definedName>
    <definedName name="ssss" localSheetId="7" hidden="1">{#N/A,#N/A,FALSE,"Report Print"}</definedName>
    <definedName name="ssss" localSheetId="12" hidden="1">{#N/A,#N/A,FALSE,"Report Print"}</definedName>
    <definedName name="ssss" hidden="1">{#N/A,#N/A,FALSE,"Report Print"}</definedName>
    <definedName name="Summary_Date">#REF!</definedName>
    <definedName name="Surprise2" localSheetId="2" hidden="1">{"INCSTMT1",#N/A,FALSE,"COR";"INCSTMT2",#N/A,FALSE,"COR"}</definedName>
    <definedName name="Surprise2" localSheetId="10" hidden="1">{"INCSTMT1",#N/A,FALSE,"COR";"INCSTMT2",#N/A,FALSE,"COR"}</definedName>
    <definedName name="Surprise2" localSheetId="6" hidden="1">{"INCSTMT1",#N/A,FALSE,"COR";"INCSTMT2",#N/A,FALSE,"COR"}</definedName>
    <definedName name="Surprise2" localSheetId="8" hidden="1">{"INCSTMT1",#N/A,FALSE,"COR";"INCSTMT2",#N/A,FALSE,"COR"}</definedName>
    <definedName name="Surprise2" localSheetId="9" hidden="1">{"INCSTMT1",#N/A,FALSE,"COR";"INCSTMT2",#N/A,FALSE,"COR"}</definedName>
    <definedName name="Surprise2" localSheetId="3" hidden="1">{"INCSTMT1",#N/A,FALSE,"COR";"INCSTMT2",#N/A,FALSE,"COR"}</definedName>
    <definedName name="Surprise2" localSheetId="7" hidden="1">{"INCSTMT1",#N/A,FALSE,"COR";"INCSTMT2",#N/A,FALSE,"COR"}</definedName>
    <definedName name="Surprise2" localSheetId="12" hidden="1">{"INCSTMT1",#N/A,FALSE,"COR";"INCSTMT2",#N/A,FALSE,"COR"}</definedName>
    <definedName name="Surprise2" hidden="1">{"INCSTMT1",#N/A,FALSE,"COR";"INCSTMT2",#N/A,FALSE,"COR"}</definedName>
    <definedName name="Switch">'[27]A&amp;G Handling'!$CJ$3</definedName>
    <definedName name="t" localSheetId="2" hidden="1">{"INCSTMT1",#N/A,FALSE,"COR";"INCSTMT2",#N/A,FALSE,"COR"}</definedName>
    <definedName name="t" localSheetId="10" hidden="1">{"segment_EPS",#N/A,FALSE,"TXTCOMPS"}</definedName>
    <definedName name="t" localSheetId="6" hidden="1">{"INCSTMT1",#N/A,FALSE,"COR";"INCSTMT2",#N/A,FALSE,"COR"}</definedName>
    <definedName name="t" localSheetId="8" hidden="1">{"INCSTMT1",#N/A,FALSE,"COR";"INCSTMT2",#N/A,FALSE,"COR"}</definedName>
    <definedName name="t" localSheetId="9" hidden="1">{"segment_EPS",#N/A,FALSE,"TXTCOMPS"}</definedName>
    <definedName name="t" localSheetId="3" hidden="1">{"segment_EPS",#N/A,FALSE,"TXTCOMPS"}</definedName>
    <definedName name="t" localSheetId="7" hidden="1">{"INCSTMT1",#N/A,FALSE,"COR";"INCSTMT2",#N/A,FALSE,"COR"}</definedName>
    <definedName name="t" localSheetId="12" hidden="1">{"segment_EPS",#N/A,FALSE,"TXTCOMPS"}</definedName>
    <definedName name="t" hidden="1">{"segment_EPS",#N/A,FALSE,"TXTCOMPS"}</definedName>
    <definedName name="taxtar">#REF!</definedName>
    <definedName name="taxtar2">#REF!</definedName>
    <definedName name="Team">#REF!</definedName>
    <definedName name="TEST" localSheetId="2" hidden="1">{#N/A,#N/A,FALSE,"COVER";#N/A,#N/A,FALSE,"PF ASSUMPT";#N/A,#N/A,FALSE,"PF EPS";#N/A,#N/A,FALSE,"CASHFLOWS";#N/A,#N/A,FALSE,"BALANCESHEET"}</definedName>
    <definedName name="TEST" localSheetId="10" hidden="1">{#N/A,#N/A,FALSE,"COVER";#N/A,#N/A,FALSE,"PF ASSUMPT";#N/A,#N/A,FALSE,"PF EPS";#N/A,#N/A,FALSE,"CASHFLOWS";#N/A,#N/A,FALSE,"BALANCESHEET"}</definedName>
    <definedName name="TEST" localSheetId="6" hidden="1">{#N/A,#N/A,FALSE,"COVER";#N/A,#N/A,FALSE,"PF ASSUMPT";#N/A,#N/A,FALSE,"PF EPS";#N/A,#N/A,FALSE,"CASHFLOWS";#N/A,#N/A,FALSE,"BALANCESHEET"}</definedName>
    <definedName name="TEST" localSheetId="8" hidden="1">{#N/A,#N/A,FALSE,"COVER";#N/A,#N/A,FALSE,"PF ASSUMPT";#N/A,#N/A,FALSE,"PF EPS";#N/A,#N/A,FALSE,"CASHFLOWS";#N/A,#N/A,FALSE,"BALANCESHEET"}</definedName>
    <definedName name="TEST" localSheetId="9" hidden="1">{#N/A,#N/A,FALSE,"COVER";#N/A,#N/A,FALSE,"PF ASSUMPT";#N/A,#N/A,FALSE,"PF EPS";#N/A,#N/A,FALSE,"CASHFLOWS";#N/A,#N/A,FALSE,"BALANCESHEET"}</definedName>
    <definedName name="TEST" localSheetId="3" hidden="1">{#N/A,#N/A,FALSE,"COVER";#N/A,#N/A,FALSE,"PF ASSUMPT";#N/A,#N/A,FALSE,"PF EPS";#N/A,#N/A,FALSE,"CASHFLOWS";#N/A,#N/A,FALSE,"BALANCESHEET"}</definedName>
    <definedName name="TEST" localSheetId="7" hidden="1">{#N/A,#N/A,FALSE,"COVER";#N/A,#N/A,FALSE,"PF ASSUMPT";#N/A,#N/A,FALSE,"PF EPS";#N/A,#N/A,FALSE,"CASHFLOWS";#N/A,#N/A,FALSE,"BALANCESHEET"}</definedName>
    <definedName name="TEST" localSheetId="12" hidden="1">{#N/A,#N/A,FALSE,"COVER";#N/A,#N/A,FALSE,"PF ASSUMPT";#N/A,#N/A,FALSE,"PF EPS";#N/A,#N/A,FALSE,"CASHFLOWS";#N/A,#N/A,FALSE,"BALANCESHEET"}</definedName>
    <definedName name="TEST" hidden="1">{#N/A,#N/A,FALSE,"COVER";#N/A,#N/A,FALSE,"PF ASSUMPT";#N/A,#N/A,FALSE,"PF EPS";#N/A,#N/A,FALSE,"CASHFLOWS";#N/A,#N/A,FALSE,"BALANCESHEET"}</definedName>
    <definedName name="test1" localSheetId="2" hidden="1">{#N/A,#N/A,FALSE,"COVER";#N/A,#N/A,FALSE,"PF ASSUMPT";#N/A,#N/A,FALSE,"PF EPS";#N/A,#N/A,FALSE,"CASHFLOWS";#N/A,#N/A,FALSE,"BALANCESHEET"}</definedName>
    <definedName name="test1" localSheetId="10" hidden="1">{#N/A,#N/A,FALSE,"COVER";#N/A,#N/A,FALSE,"PF ASSUMPT";#N/A,#N/A,FALSE,"PF EPS";#N/A,#N/A,FALSE,"CASHFLOWS";#N/A,#N/A,FALSE,"BALANCESHEET"}</definedName>
    <definedName name="test1" localSheetId="6" hidden="1">{#N/A,#N/A,FALSE,"COVER";#N/A,#N/A,FALSE,"PF ASSUMPT";#N/A,#N/A,FALSE,"PF EPS";#N/A,#N/A,FALSE,"CASHFLOWS";#N/A,#N/A,FALSE,"BALANCESHEET"}</definedName>
    <definedName name="test1" localSheetId="8" hidden="1">{#N/A,#N/A,FALSE,"COVER";#N/A,#N/A,FALSE,"PF ASSUMPT";#N/A,#N/A,FALSE,"PF EPS";#N/A,#N/A,FALSE,"CASHFLOWS";#N/A,#N/A,FALSE,"BALANCESHEET"}</definedName>
    <definedName name="test1" localSheetId="9" hidden="1">{#N/A,#N/A,FALSE,"COVER";#N/A,#N/A,FALSE,"PF ASSUMPT";#N/A,#N/A,FALSE,"PF EPS";#N/A,#N/A,FALSE,"CASHFLOWS";#N/A,#N/A,FALSE,"BALANCESHEET"}</definedName>
    <definedName name="test1" localSheetId="3" hidden="1">{#N/A,#N/A,FALSE,"COVER";#N/A,#N/A,FALSE,"PF ASSUMPT";#N/A,#N/A,FALSE,"PF EPS";#N/A,#N/A,FALSE,"CASHFLOWS";#N/A,#N/A,FALSE,"BALANCESHEET"}</definedName>
    <definedName name="test1" localSheetId="7" hidden="1">{#N/A,#N/A,FALSE,"COVER";#N/A,#N/A,FALSE,"PF ASSUMPT";#N/A,#N/A,FALSE,"PF EPS";#N/A,#N/A,FALSE,"CASHFLOWS";#N/A,#N/A,FALSE,"BALANCESHEET"}</definedName>
    <definedName name="test1" localSheetId="12" hidden="1">{#N/A,#N/A,FALSE,"COVER";#N/A,#N/A,FALSE,"PF ASSUMPT";#N/A,#N/A,FALSE,"PF EPS";#N/A,#N/A,FALSE,"CASHFLOWS";#N/A,#N/A,FALSE,"BALANCESHEET"}</definedName>
    <definedName name="test1" hidden="1">{#N/A,#N/A,FALSE,"COVER";#N/A,#N/A,FALSE,"PF ASSUMPT";#N/A,#N/A,FALSE,"PF EPS";#N/A,#N/A,FALSE,"CASHFLOWS";#N/A,#N/A,FALSE,"BALANCESHEET"}</definedName>
    <definedName name="Test3" localSheetId="2" hidden="1">{#N/A,#N/A,FALSE,"ASSUMPTIONS";#N/A,#N/A,FALSE,"EPSMODEL";#N/A,#N/A,FALSE,"CASHFLOWS";#N/A,#N/A,FALSE,"BALANCESHEET"}</definedName>
    <definedName name="Test3" localSheetId="10" hidden="1">{#N/A,#N/A,FALSE,"ASSUMPTIONS";#N/A,#N/A,FALSE,"EPSMODEL";#N/A,#N/A,FALSE,"CASHFLOWS";#N/A,#N/A,FALSE,"BALANCESHEET"}</definedName>
    <definedName name="Test3" localSheetId="6" hidden="1">{#N/A,#N/A,FALSE,"ASSUMPTIONS";#N/A,#N/A,FALSE,"EPSMODEL";#N/A,#N/A,FALSE,"CASHFLOWS";#N/A,#N/A,FALSE,"BALANCESHEET"}</definedName>
    <definedName name="Test3" localSheetId="8" hidden="1">{#N/A,#N/A,FALSE,"ASSUMPTIONS";#N/A,#N/A,FALSE,"EPSMODEL";#N/A,#N/A,FALSE,"CASHFLOWS";#N/A,#N/A,FALSE,"BALANCESHEET"}</definedName>
    <definedName name="Test3" localSheetId="9" hidden="1">{#N/A,#N/A,FALSE,"ASSUMPTIONS";#N/A,#N/A,FALSE,"EPSMODEL";#N/A,#N/A,FALSE,"CASHFLOWS";#N/A,#N/A,FALSE,"BALANCESHEET"}</definedName>
    <definedName name="Test3" localSheetId="3" hidden="1">{#N/A,#N/A,FALSE,"ASSUMPTIONS";#N/A,#N/A,FALSE,"EPSMODEL";#N/A,#N/A,FALSE,"CASHFLOWS";#N/A,#N/A,FALSE,"BALANCESHEET"}</definedName>
    <definedName name="Test3" localSheetId="7" hidden="1">{#N/A,#N/A,FALSE,"ASSUMPTIONS";#N/A,#N/A,FALSE,"EPSMODEL";#N/A,#N/A,FALSE,"CASHFLOWS";#N/A,#N/A,FALSE,"BALANCESHEET"}</definedName>
    <definedName name="Test3" localSheetId="12" hidden="1">{#N/A,#N/A,FALSE,"ASSUMPTIONS";#N/A,#N/A,FALSE,"EPSMODEL";#N/A,#N/A,FALSE,"CASHFLOWS";#N/A,#N/A,FALSE,"BALANCESHEET"}</definedName>
    <definedName name="Test3" hidden="1">{#N/A,#N/A,FALSE,"ASSUMPTIONS";#N/A,#N/A,FALSE,"EPSMODEL";#N/A,#N/A,FALSE,"CASHFLOWS";#N/A,#N/A,FALSE,"BALANCESHEET"}</definedName>
    <definedName name="test4" localSheetId="2" hidden="1">{#N/A,#N/A,FALSE,"ASSUMPTIONS";#N/A,#N/A,FALSE,"EPSMODEL";#N/A,#N/A,FALSE,"CASHFLOWS";#N/A,#N/A,FALSE,"BALANCESHEET"}</definedName>
    <definedName name="test4" localSheetId="10" hidden="1">{#N/A,#N/A,FALSE,"ASSUMPTIONS";#N/A,#N/A,FALSE,"EPSMODEL";#N/A,#N/A,FALSE,"CASHFLOWS";#N/A,#N/A,FALSE,"BALANCESHEET"}</definedName>
    <definedName name="test4" localSheetId="6" hidden="1">{#N/A,#N/A,FALSE,"ASSUMPTIONS";#N/A,#N/A,FALSE,"EPSMODEL";#N/A,#N/A,FALSE,"CASHFLOWS";#N/A,#N/A,FALSE,"BALANCESHEET"}</definedName>
    <definedName name="test4" localSheetId="8" hidden="1">{#N/A,#N/A,FALSE,"ASSUMPTIONS";#N/A,#N/A,FALSE,"EPSMODEL";#N/A,#N/A,FALSE,"CASHFLOWS";#N/A,#N/A,FALSE,"BALANCESHEET"}</definedName>
    <definedName name="test4" localSheetId="9" hidden="1">{#N/A,#N/A,FALSE,"ASSUMPTIONS";#N/A,#N/A,FALSE,"EPSMODEL";#N/A,#N/A,FALSE,"CASHFLOWS";#N/A,#N/A,FALSE,"BALANCESHEET"}</definedName>
    <definedName name="test4" localSheetId="3" hidden="1">{#N/A,#N/A,FALSE,"ASSUMPTIONS";#N/A,#N/A,FALSE,"EPSMODEL";#N/A,#N/A,FALSE,"CASHFLOWS";#N/A,#N/A,FALSE,"BALANCESHEET"}</definedName>
    <definedName name="test4" localSheetId="7" hidden="1">{#N/A,#N/A,FALSE,"ASSUMPTIONS";#N/A,#N/A,FALSE,"EPSMODEL";#N/A,#N/A,FALSE,"CASHFLOWS";#N/A,#N/A,FALSE,"BALANCESHEET"}</definedName>
    <definedName name="test4" localSheetId="12" hidden="1">{#N/A,#N/A,FALSE,"ASSUMPTIONS";#N/A,#N/A,FALSE,"EPSMODEL";#N/A,#N/A,FALSE,"CASHFLOWS";#N/A,#N/A,FALSE,"BALANCESHEET"}</definedName>
    <definedName name="test4" hidden="1">{#N/A,#N/A,FALSE,"ASSUMPTIONS";#N/A,#N/A,FALSE,"EPSMODEL";#N/A,#N/A,FALSE,"CASHFLOWS";#N/A,#N/A,FALSE,"BALANCESHEET"}</definedName>
    <definedName name="Ticker">#REF!</definedName>
    <definedName name="top">#REF!</definedName>
    <definedName name="totcost93">#REF!</definedName>
    <definedName name="totcost94">#REF!</definedName>
    <definedName name="trans">#N/A</definedName>
    <definedName name="transx">#N/A</definedName>
    <definedName name="trc_CFPSGROWTH5YR">#REF!</definedName>
    <definedName name="trc_CFPSGRWPRV5YR">#REF!</definedName>
    <definedName name="trc_CurFY">#REF!</definedName>
    <definedName name="trc_DIVGROWTH5YR">#REF!</definedName>
    <definedName name="trc_DIVGRWPRV5YR">#REF!</definedName>
    <definedName name="trc_DocID">#REF!</definedName>
    <definedName name="trc_EBITDAGROWTH5YR">#REF!</definedName>
    <definedName name="trc_EBITDAGRWPRV5YR">#REF!</definedName>
    <definedName name="trc_EBITNXT5">#REF!</definedName>
    <definedName name="trc_EBITPRV5">#REF!</definedName>
    <definedName name="trc_EPSGRWPRV5YR">#REF!</definedName>
    <definedName name="trc_Flavor">#REF!</definedName>
    <definedName name="trc_NETGROWTH5YR">#REF!</definedName>
    <definedName name="trc_NETGRWPRV5YR">#REF!</definedName>
    <definedName name="trc_QDType">#REF!</definedName>
    <definedName name="trc_RATING">#REF!</definedName>
    <definedName name="trc_ReleaseDate">#REF!</definedName>
    <definedName name="trc_REVGROWTH5YR">#REF!</definedName>
    <definedName name="trc_REVGRWPRV5YR">#REF!</definedName>
    <definedName name="trc_RISK">#REF!</definedName>
    <definedName name="trc_SHARESOUT">#REF!</definedName>
    <definedName name="trc_SHROUTGROWTH5YR">#REF!</definedName>
    <definedName name="trc_SHROUTGRWPRV5YR">#REF!</definedName>
    <definedName name="trc_submitter">#REF!</definedName>
    <definedName name="trc_submittername">#REF!</definedName>
    <definedName name="trc_TARGET">#REF!</definedName>
    <definedName name="trc_TemplateID">#REF!</definedName>
    <definedName name="trc_TEV">#REF!</definedName>
    <definedName name="trc_Ticker">#REF!</definedName>
    <definedName name="trc_Version">#REF!</definedName>
    <definedName name="trc_XLS_DATASHEET_ProtectDate">36877.6919097222</definedName>
    <definedName name="trc_Y1">#REF!</definedName>
    <definedName name="trc_Y1COMMONEQ">#REF!</definedName>
    <definedName name="trc_Y1DILSHR">#REF!</definedName>
    <definedName name="trc_Y1DPS">#REF!</definedName>
    <definedName name="trc_Y1EBIT">#REF!</definedName>
    <definedName name="trc_Y1EBITDA">#REF!</definedName>
    <definedName name="trc_Y1FREE_CFPS">#REF!</definedName>
    <definedName name="trc_Y1LTDEBT">#REF!</definedName>
    <definedName name="trc_Y1NETINC">#REF!</definedName>
    <definedName name="trc_Y1Q1">#REF!</definedName>
    <definedName name="trc_Y1Q2">#REF!</definedName>
    <definedName name="trc_Y1Q3">#REF!</definedName>
    <definedName name="trc_Y1Q4">#REF!</definedName>
    <definedName name="trc_Y1REVENUE">#REF!</definedName>
    <definedName name="trc_Y1ROE">#REF!</definedName>
    <definedName name="trc_Y1TAXRATE">#REF!</definedName>
    <definedName name="trc_Y1Total">#REF!</definedName>
    <definedName name="trc_Y2">#REF!</definedName>
    <definedName name="trc_Y2COMMONEQ">#REF!</definedName>
    <definedName name="trc_Y2DILSHR">#REF!</definedName>
    <definedName name="trc_Y2DPS">#REF!</definedName>
    <definedName name="trc_Y2EBIT">#REF!</definedName>
    <definedName name="trc_Y2EBITDA">#REF!</definedName>
    <definedName name="trc_Y2FREE_CFPS">#REF!</definedName>
    <definedName name="trc_Y2LTDEBT">#REF!</definedName>
    <definedName name="trc_Y2NETINC">#REF!</definedName>
    <definedName name="trc_Y2Q1">#REF!</definedName>
    <definedName name="trc_Y2Q2">#REF!</definedName>
    <definedName name="trc_Y2Q3">#REF!</definedName>
    <definedName name="trc_Y2Q4">#REF!</definedName>
    <definedName name="trc_Y2REVENUE">#REF!</definedName>
    <definedName name="trc_Y2ROE">#REF!</definedName>
    <definedName name="trc_Y2TAXRATE">#REF!</definedName>
    <definedName name="trc_Y2Total">#REF!</definedName>
    <definedName name="trc_Y3">#REF!</definedName>
    <definedName name="trc_Y3COMMONEQ">#REF!</definedName>
    <definedName name="trc_Y3DILSHR">#REF!</definedName>
    <definedName name="trc_Y3DPS">#REF!</definedName>
    <definedName name="trc_Y3EBIT">#REF!</definedName>
    <definedName name="trc_Y3EBITDA">#REF!</definedName>
    <definedName name="trc_Y3FREE_CFPS">#REF!</definedName>
    <definedName name="trc_Y3LTDEBT">#REF!</definedName>
    <definedName name="trc_Y3NETINC">#REF!</definedName>
    <definedName name="trc_Y3Q1">#REF!</definedName>
    <definedName name="trc_Y3Q2">#REF!</definedName>
    <definedName name="trc_Y3Q3">#REF!</definedName>
    <definedName name="trc_Y3Q4">#REF!</definedName>
    <definedName name="trc_Y3REVENUE">#REF!</definedName>
    <definedName name="trc_Y3ROE">#REF!</definedName>
    <definedName name="trc_Y3TAXRATE">#REF!</definedName>
    <definedName name="trc_Y3Total">#REF!</definedName>
    <definedName name="trc_Y4">#REF!</definedName>
    <definedName name="trc_Y4COMMONEQ">#REF!</definedName>
    <definedName name="trc_Y4DILSHR">#REF!</definedName>
    <definedName name="trc_Y4DPS">#REF!</definedName>
    <definedName name="trc_Y4EBIT">#REF!</definedName>
    <definedName name="trc_Y4EBITDA">#REF!</definedName>
    <definedName name="trc_Y4FREE_CFPS">#REF!</definedName>
    <definedName name="trc_Y4LTDEBT">#REF!</definedName>
    <definedName name="trc_Y4NETINC">#REF!</definedName>
    <definedName name="trc_Y4Q1">#REF!</definedName>
    <definedName name="trc_Y4Q2">#REF!</definedName>
    <definedName name="trc_Y4Q3">#REF!</definedName>
    <definedName name="trc_Y4Q4">#REF!</definedName>
    <definedName name="trc_Y4REVENUE">#REF!</definedName>
    <definedName name="trc_Y4ROE">#REF!</definedName>
    <definedName name="trc_Y4TAXRATE">#REF!</definedName>
    <definedName name="trc_Y4Total">#REF!</definedName>
    <definedName name="TRI" localSheetId="2" hidden="1">{#N/A,#N/A,FALSE,"COVER";#N/A,#N/A,FALSE,"PF ASSUMPT";#N/A,#N/A,FALSE,"PF EPS";#N/A,#N/A,FALSE,"CASHFLOWS";#N/A,#N/A,FALSE,"BALANCESHEET"}</definedName>
    <definedName name="TRI" localSheetId="10" hidden="1">{#N/A,#N/A,FALSE,"COVER";#N/A,#N/A,FALSE,"PF ASSUMPT";#N/A,#N/A,FALSE,"PF EPS";#N/A,#N/A,FALSE,"CASHFLOWS";#N/A,#N/A,FALSE,"BALANCESHEET"}</definedName>
    <definedName name="TRI" localSheetId="6" hidden="1">{#N/A,#N/A,FALSE,"COVER";#N/A,#N/A,FALSE,"PF ASSUMPT";#N/A,#N/A,FALSE,"PF EPS";#N/A,#N/A,FALSE,"CASHFLOWS";#N/A,#N/A,FALSE,"BALANCESHEET"}</definedName>
    <definedName name="TRI" localSheetId="8" hidden="1">{#N/A,#N/A,FALSE,"COVER";#N/A,#N/A,FALSE,"PF ASSUMPT";#N/A,#N/A,FALSE,"PF EPS";#N/A,#N/A,FALSE,"CASHFLOWS";#N/A,#N/A,FALSE,"BALANCESHEET"}</definedName>
    <definedName name="TRI" localSheetId="9" hidden="1">{#N/A,#N/A,FALSE,"COVER";#N/A,#N/A,FALSE,"PF ASSUMPT";#N/A,#N/A,FALSE,"PF EPS";#N/A,#N/A,FALSE,"CASHFLOWS";#N/A,#N/A,FALSE,"BALANCESHEET"}</definedName>
    <definedName name="TRI" localSheetId="3" hidden="1">{#N/A,#N/A,FALSE,"COVER";#N/A,#N/A,FALSE,"PF ASSUMPT";#N/A,#N/A,FALSE,"PF EPS";#N/A,#N/A,FALSE,"CASHFLOWS";#N/A,#N/A,FALSE,"BALANCESHEET"}</definedName>
    <definedName name="TRI" localSheetId="7" hidden="1">{#N/A,#N/A,FALSE,"COVER";#N/A,#N/A,FALSE,"PF ASSUMPT";#N/A,#N/A,FALSE,"PF EPS";#N/A,#N/A,FALSE,"CASHFLOWS";#N/A,#N/A,FALSE,"BALANCESHEET"}</definedName>
    <definedName name="TRI" localSheetId="12" hidden="1">{#N/A,#N/A,FALSE,"COVER";#N/A,#N/A,FALSE,"PF ASSUMPT";#N/A,#N/A,FALSE,"PF EPS";#N/A,#N/A,FALSE,"CASHFLOWS";#N/A,#N/A,FALSE,"BALANCESHEET"}</definedName>
    <definedName name="TRI" hidden="1">{#N/A,#N/A,FALSE,"COVER";#N/A,#N/A,FALSE,"PF ASSUMPT";#N/A,#N/A,FALSE,"PF EPS";#N/A,#N/A,FALSE,"CASHFLOWS";#N/A,#N/A,FALSE,"BALANCESHEET"}</definedName>
    <definedName name="TRItwo" localSheetId="2" hidden="1">{#N/A,#N/A,FALSE,"COVER";#N/A,#N/A,FALSE,"PF ASSUMPT";#N/A,#N/A,FALSE,"PF EPS";#N/A,#N/A,FALSE,"CASHFLOWS";#N/A,#N/A,FALSE,"BALANCESHEET"}</definedName>
    <definedName name="TRItwo" localSheetId="10" hidden="1">{#N/A,#N/A,FALSE,"COVER";#N/A,#N/A,FALSE,"PF ASSUMPT";#N/A,#N/A,FALSE,"PF EPS";#N/A,#N/A,FALSE,"CASHFLOWS";#N/A,#N/A,FALSE,"BALANCESHEET"}</definedName>
    <definedName name="TRItwo" localSheetId="6" hidden="1">{#N/A,#N/A,FALSE,"COVER";#N/A,#N/A,FALSE,"PF ASSUMPT";#N/A,#N/A,FALSE,"PF EPS";#N/A,#N/A,FALSE,"CASHFLOWS";#N/A,#N/A,FALSE,"BALANCESHEET"}</definedName>
    <definedName name="TRItwo" localSheetId="8" hidden="1">{#N/A,#N/A,FALSE,"COVER";#N/A,#N/A,FALSE,"PF ASSUMPT";#N/A,#N/A,FALSE,"PF EPS";#N/A,#N/A,FALSE,"CASHFLOWS";#N/A,#N/A,FALSE,"BALANCESHEET"}</definedName>
    <definedName name="TRItwo" localSheetId="9" hidden="1">{#N/A,#N/A,FALSE,"COVER";#N/A,#N/A,FALSE,"PF ASSUMPT";#N/A,#N/A,FALSE,"PF EPS";#N/A,#N/A,FALSE,"CASHFLOWS";#N/A,#N/A,FALSE,"BALANCESHEET"}</definedName>
    <definedName name="TRItwo" localSheetId="3" hidden="1">{#N/A,#N/A,FALSE,"COVER";#N/A,#N/A,FALSE,"PF ASSUMPT";#N/A,#N/A,FALSE,"PF EPS";#N/A,#N/A,FALSE,"CASHFLOWS";#N/A,#N/A,FALSE,"BALANCESHEET"}</definedName>
    <definedName name="TRItwo" localSheetId="7" hidden="1">{#N/A,#N/A,FALSE,"COVER";#N/A,#N/A,FALSE,"PF ASSUMPT";#N/A,#N/A,FALSE,"PF EPS";#N/A,#N/A,FALSE,"CASHFLOWS";#N/A,#N/A,FALSE,"BALANCESHEET"}</definedName>
    <definedName name="TRItwo" localSheetId="12" hidden="1">{#N/A,#N/A,FALSE,"COVER";#N/A,#N/A,FALSE,"PF ASSUMPT";#N/A,#N/A,FALSE,"PF EPS";#N/A,#N/A,FALSE,"CASHFLOWS";#N/A,#N/A,FALSE,"BALANCESHEET"}</definedName>
    <definedName name="TRItwo" hidden="1">{#N/A,#N/A,FALSE,"COVER";#N/A,#N/A,FALSE,"PF ASSUMPT";#N/A,#N/A,FALSE,"PF EPS";#N/A,#N/A,FALSE,"CASHFLOWS";#N/A,#N/A,FALSE,"BALANCESHEET"}</definedName>
    <definedName name="tyui" localSheetId="2" hidden="1">{"valuation",#N/A,FALSE,"TXTCOMPS"}</definedName>
    <definedName name="tyui" localSheetId="10" hidden="1">{"valuation",#N/A,FALSE,"TXTCOMPS"}</definedName>
    <definedName name="tyui" localSheetId="6" hidden="1">{"valuation",#N/A,FALSE,"TXTCOMPS"}</definedName>
    <definedName name="tyui" localSheetId="8" hidden="1">{"valuation",#N/A,FALSE,"TXTCOMPS"}</definedName>
    <definedName name="tyui" localSheetId="9" hidden="1">{"valuation",#N/A,FALSE,"TXTCOMPS"}</definedName>
    <definedName name="tyui" localSheetId="3" hidden="1">{"valuation",#N/A,FALSE,"TXTCOMPS"}</definedName>
    <definedName name="tyui" localSheetId="7" hidden="1">{"valuation",#N/A,FALSE,"TXTCOMPS"}</definedName>
    <definedName name="tyui" localSheetId="12" hidden="1">{"valuation",#N/A,FALSE,"TXTCOMPS"}</definedName>
    <definedName name="tyui" hidden="1">{"valuation",#N/A,FALSE,"TXTCOMPS"}</definedName>
    <definedName name="u" localSheetId="2" hidden="1">{"valuation",#N/A,FALSE,"TXTCOMPS"}</definedName>
    <definedName name="u" localSheetId="10" hidden="1">{"valuation",#N/A,FALSE,"TXTCOMPS"}</definedName>
    <definedName name="u" localSheetId="6" hidden="1">{"valuation",#N/A,FALSE,"TXTCOMPS"}</definedName>
    <definedName name="u" localSheetId="8" hidden="1">{"valuation",#N/A,FALSE,"TXTCOMPS"}</definedName>
    <definedName name="u" localSheetId="9" hidden="1">{"valuation",#N/A,FALSE,"TXTCOMPS"}</definedName>
    <definedName name="u" localSheetId="3" hidden="1">{"valuation",#N/A,FALSE,"TXTCOMPS"}</definedName>
    <definedName name="u" localSheetId="7" hidden="1">{"valuation",#N/A,FALSE,"TXTCOMPS"}</definedName>
    <definedName name="u" localSheetId="12" hidden="1">{"valuation",#N/A,FALSE,"TXTCOMPS"}</definedName>
    <definedName name="u" hidden="1">{"valuation",#N/A,FALSE,"TXTCOMPS"}</definedName>
    <definedName name="US_EP_Depr_2003">#REF!</definedName>
    <definedName name="US_EP_Depr_2004">#REF!</definedName>
    <definedName name="US_EP_NI_2004">#REF!</definedName>
    <definedName name="USAnnualSegs">#REF!</definedName>
    <definedName name="USGasProd_2004">#REF!</definedName>
    <definedName name="USOilProd_2004">#REF!</definedName>
    <definedName name="USOtherCosts_2004">#REF!</definedName>
    <definedName name="USProd_2004">#REF!</definedName>
    <definedName name="USProdCosts_2004">#REF!</definedName>
    <definedName name="USQuartSegs">#REF!</definedName>
    <definedName name="v" localSheetId="2" hidden="1">[24]ｾｸﾞﾒﾝﾄ!$E$164:$I$164</definedName>
    <definedName name="v" localSheetId="10" hidden="1">{"valuation",#N/A,FALSE,"TXTCOMPS"}</definedName>
    <definedName name="v" localSheetId="6" hidden="1">[24]ｾｸﾞﾒﾝﾄ!$E$164:$I$164</definedName>
    <definedName name="v" localSheetId="8" hidden="1">[24]ｾｸﾞﾒﾝﾄ!$E$164:$I$164</definedName>
    <definedName name="v" localSheetId="9" hidden="1">{"valuation",#N/A,FALSE,"TXTCOMPS"}</definedName>
    <definedName name="v" localSheetId="3" hidden="1">{"valuation",#N/A,FALSE,"TXTCOMPS"}</definedName>
    <definedName name="v" localSheetId="7" hidden="1">[24]ｾｸﾞﾒﾝﾄ!$E$164:$I$164</definedName>
    <definedName name="v" localSheetId="12" hidden="1">{"valuation",#N/A,FALSE,"TXTCOMPS"}</definedName>
    <definedName name="v" hidden="1">{"valuation",#N/A,FALSE,"TXTCOMPS"}</definedName>
    <definedName name="va" localSheetId="2" hidden="1">{"valuation",#N/A,FALSE,"TXTCOMPS"}</definedName>
    <definedName name="va" localSheetId="10" hidden="1">{"valuation",#N/A,FALSE,"TXTCOMPS"}</definedName>
    <definedName name="va" localSheetId="6" hidden="1">{"valuation",#N/A,FALSE,"TXTCOMPS"}</definedName>
    <definedName name="va" localSheetId="8" hidden="1">{"valuation",#N/A,FALSE,"TXTCOMPS"}</definedName>
    <definedName name="va" localSheetId="9" hidden="1">{"valuation",#N/A,FALSE,"TXTCOMPS"}</definedName>
    <definedName name="va" localSheetId="3" hidden="1">{"valuation",#N/A,FALSE,"TXTCOMPS"}</definedName>
    <definedName name="va" localSheetId="7" hidden="1">{"valuation",#N/A,FALSE,"TXTCOMPS"}</definedName>
    <definedName name="va" localSheetId="12" hidden="1">{"valuation",#N/A,FALSE,"TXTCOMPS"}</definedName>
    <definedName name="va" hidden="1">{"valuation",#N/A,FALSE,"TXTCOMPS"}</definedName>
    <definedName name="Valuation" localSheetId="2" hidden="1">{#N/A,#N/A,FALSE,"COVER";#N/A,#N/A,FALSE,"ASSUMPTIONS";#N/A,#N/A,FALSE,"EPSMODEL";#N/A,#N/A,FALSE,"CASHFLOWS";#N/A,#N/A,FALSE,"BALANCESHEET"}</definedName>
    <definedName name="Valuation" localSheetId="10" hidden="1">{#N/A,#N/A,FALSE,"COVER";#N/A,#N/A,FALSE,"ASSUMPTIONS";#N/A,#N/A,FALSE,"EPSMODEL";#N/A,#N/A,FALSE,"CASHFLOWS";#N/A,#N/A,FALSE,"BALANCESHEET"}</definedName>
    <definedName name="Valuation" localSheetId="6" hidden="1">{#N/A,#N/A,FALSE,"COVER";#N/A,#N/A,FALSE,"ASSUMPTIONS";#N/A,#N/A,FALSE,"EPSMODEL";#N/A,#N/A,FALSE,"CASHFLOWS";#N/A,#N/A,FALSE,"BALANCESHEET"}</definedName>
    <definedName name="Valuation" localSheetId="8" hidden="1">{#N/A,#N/A,FALSE,"COVER";#N/A,#N/A,FALSE,"ASSUMPTIONS";#N/A,#N/A,FALSE,"EPSMODEL";#N/A,#N/A,FALSE,"CASHFLOWS";#N/A,#N/A,FALSE,"BALANCESHEET"}</definedName>
    <definedName name="Valuation" localSheetId="9" hidden="1">{#N/A,#N/A,FALSE,"COVER";#N/A,#N/A,FALSE,"ASSUMPTIONS";#N/A,#N/A,FALSE,"EPSMODEL";#N/A,#N/A,FALSE,"CASHFLOWS";#N/A,#N/A,FALSE,"BALANCESHEET"}</definedName>
    <definedName name="Valuation" localSheetId="3" hidden="1">{#N/A,#N/A,FALSE,"COVER";#N/A,#N/A,FALSE,"ASSUMPTIONS";#N/A,#N/A,FALSE,"EPSMODEL";#N/A,#N/A,FALSE,"CASHFLOWS";#N/A,#N/A,FALSE,"BALANCESHEET"}</definedName>
    <definedName name="Valuation" localSheetId="7" hidden="1">{#N/A,#N/A,FALSE,"COVER";#N/A,#N/A,FALSE,"ASSUMPTIONS";#N/A,#N/A,FALSE,"EPSMODEL";#N/A,#N/A,FALSE,"CASHFLOWS";#N/A,#N/A,FALSE,"BALANCESHEET"}</definedName>
    <definedName name="Valuation" localSheetId="12" hidden="1">{#N/A,#N/A,FALSE,"COVER";#N/A,#N/A,FALSE,"ASSUMPTIONS";#N/A,#N/A,FALSE,"EPSMODEL";#N/A,#N/A,FALSE,"CASHFLOWS";#N/A,#N/A,FALSE,"BALANCESHEET"}</definedName>
    <definedName name="Valuation" hidden="1">{#N/A,#N/A,FALSE,"COVER";#N/A,#N/A,FALSE,"ASSUMPTIONS";#N/A,#N/A,FALSE,"EPSMODEL";#N/A,#N/A,FALSE,"CASHFLOWS";#N/A,#N/A,FALSE,"BALANCESHEET"}</definedName>
    <definedName name="Valuation1" localSheetId="2" hidden="1">{#N/A,#N/A,FALSE,"COVER";#N/A,#N/A,FALSE,"ASSUMPTIONS";#N/A,#N/A,FALSE,"EPSMODEL";#N/A,#N/A,FALSE,"CASHFLOWS";#N/A,#N/A,FALSE,"BALANCESHEET"}</definedName>
    <definedName name="Valuation1" localSheetId="10" hidden="1">{#N/A,#N/A,FALSE,"COVER";#N/A,#N/A,FALSE,"ASSUMPTIONS";#N/A,#N/A,FALSE,"EPSMODEL";#N/A,#N/A,FALSE,"CASHFLOWS";#N/A,#N/A,FALSE,"BALANCESHEET"}</definedName>
    <definedName name="Valuation1" localSheetId="6" hidden="1">{#N/A,#N/A,FALSE,"COVER";#N/A,#N/A,FALSE,"ASSUMPTIONS";#N/A,#N/A,FALSE,"EPSMODEL";#N/A,#N/A,FALSE,"CASHFLOWS";#N/A,#N/A,FALSE,"BALANCESHEET"}</definedName>
    <definedName name="Valuation1" localSheetId="8" hidden="1">{#N/A,#N/A,FALSE,"COVER";#N/A,#N/A,FALSE,"ASSUMPTIONS";#N/A,#N/A,FALSE,"EPSMODEL";#N/A,#N/A,FALSE,"CASHFLOWS";#N/A,#N/A,FALSE,"BALANCESHEET"}</definedName>
    <definedName name="Valuation1" localSheetId="9" hidden="1">{#N/A,#N/A,FALSE,"COVER";#N/A,#N/A,FALSE,"ASSUMPTIONS";#N/A,#N/A,FALSE,"EPSMODEL";#N/A,#N/A,FALSE,"CASHFLOWS";#N/A,#N/A,FALSE,"BALANCESHEET"}</definedName>
    <definedName name="Valuation1" localSheetId="3" hidden="1">{#N/A,#N/A,FALSE,"COVER";#N/A,#N/A,FALSE,"ASSUMPTIONS";#N/A,#N/A,FALSE,"EPSMODEL";#N/A,#N/A,FALSE,"CASHFLOWS";#N/A,#N/A,FALSE,"BALANCESHEET"}</definedName>
    <definedName name="Valuation1" localSheetId="7" hidden="1">{#N/A,#N/A,FALSE,"COVER";#N/A,#N/A,FALSE,"ASSUMPTIONS";#N/A,#N/A,FALSE,"EPSMODEL";#N/A,#N/A,FALSE,"CASHFLOWS";#N/A,#N/A,FALSE,"BALANCESHEET"}</definedName>
    <definedName name="Valuation1" localSheetId="12" hidden="1">{#N/A,#N/A,FALSE,"COVER";#N/A,#N/A,FALSE,"ASSUMPTIONS";#N/A,#N/A,FALSE,"EPSMODEL";#N/A,#N/A,FALSE,"CASHFLOWS";#N/A,#N/A,FALSE,"BALANCESHEET"}</definedName>
    <definedName name="Valuation1" hidden="1">{#N/A,#N/A,FALSE,"COVER";#N/A,#N/A,FALSE,"ASSUMPTIONS";#N/A,#N/A,FALSE,"EPSMODEL";#N/A,#N/A,FALSE,"CASHFLOWS";#N/A,#N/A,FALSE,"BALANCESHEET"}</definedName>
    <definedName name="Valuepage">#REF!</definedName>
    <definedName name="valuetwo" localSheetId="2" hidden="1">{#N/A,#N/A,FALSE,"COVER";#N/A,#N/A,FALSE,"ASSUMPTIONS";#N/A,#N/A,FALSE,"EPSMODEL";#N/A,#N/A,FALSE,"CASHFLOWS";#N/A,#N/A,FALSE,"BALANCESHEET"}</definedName>
    <definedName name="valuetwo" localSheetId="10" hidden="1">{#N/A,#N/A,FALSE,"COVER";#N/A,#N/A,FALSE,"ASSUMPTIONS";#N/A,#N/A,FALSE,"EPSMODEL";#N/A,#N/A,FALSE,"CASHFLOWS";#N/A,#N/A,FALSE,"BALANCESHEET"}</definedName>
    <definedName name="valuetwo" localSheetId="6" hidden="1">{#N/A,#N/A,FALSE,"COVER";#N/A,#N/A,FALSE,"ASSUMPTIONS";#N/A,#N/A,FALSE,"EPSMODEL";#N/A,#N/A,FALSE,"CASHFLOWS";#N/A,#N/A,FALSE,"BALANCESHEET"}</definedName>
    <definedName name="valuetwo" localSheetId="8" hidden="1">{#N/A,#N/A,FALSE,"COVER";#N/A,#N/A,FALSE,"ASSUMPTIONS";#N/A,#N/A,FALSE,"EPSMODEL";#N/A,#N/A,FALSE,"CASHFLOWS";#N/A,#N/A,FALSE,"BALANCESHEET"}</definedName>
    <definedName name="valuetwo" localSheetId="9" hidden="1">{#N/A,#N/A,FALSE,"COVER";#N/A,#N/A,FALSE,"ASSUMPTIONS";#N/A,#N/A,FALSE,"EPSMODEL";#N/A,#N/A,FALSE,"CASHFLOWS";#N/A,#N/A,FALSE,"BALANCESHEET"}</definedName>
    <definedName name="valuetwo" localSheetId="3" hidden="1">{#N/A,#N/A,FALSE,"COVER";#N/A,#N/A,FALSE,"ASSUMPTIONS";#N/A,#N/A,FALSE,"EPSMODEL";#N/A,#N/A,FALSE,"CASHFLOWS";#N/A,#N/A,FALSE,"BALANCESHEET"}</definedName>
    <definedName name="valuetwo" localSheetId="7" hidden="1">{#N/A,#N/A,FALSE,"COVER";#N/A,#N/A,FALSE,"ASSUMPTIONS";#N/A,#N/A,FALSE,"EPSMODEL";#N/A,#N/A,FALSE,"CASHFLOWS";#N/A,#N/A,FALSE,"BALANCESHEET"}</definedName>
    <definedName name="valuetwo" localSheetId="12" hidden="1">{#N/A,#N/A,FALSE,"COVER";#N/A,#N/A,FALSE,"ASSUMPTIONS";#N/A,#N/A,FALSE,"EPSMODEL";#N/A,#N/A,FALSE,"CASHFLOWS";#N/A,#N/A,FALSE,"BALANCESHEET"}</definedName>
    <definedName name="valuetwo" hidden="1">{#N/A,#N/A,FALSE,"COVER";#N/A,#N/A,FALSE,"ASSUMPTIONS";#N/A,#N/A,FALSE,"EPSMODEL";#N/A,#N/A,FALSE,"CASHFLOWS";#N/A,#N/A,FALSE,"BALANCESHEET"}</definedName>
    <definedName name="VRC">#REF!</definedName>
    <definedName name="w" localSheetId="2" hidden="1">[24]単独!$AR$14:$AR$18</definedName>
    <definedName name="w" localSheetId="10" hidden="1">{"valuation",#N/A,FALSE,"TXTCOMPS"}</definedName>
    <definedName name="w" localSheetId="6" hidden="1">[24]単独!$AR$14:$AR$18</definedName>
    <definedName name="w" localSheetId="8" hidden="1">[24]単独!$AR$14:$AR$18</definedName>
    <definedName name="w" localSheetId="9" hidden="1">{"valuation",#N/A,FALSE,"TXTCOMPS"}</definedName>
    <definedName name="w" localSheetId="3" hidden="1">{"valuation",#N/A,FALSE,"TXTCOMPS"}</definedName>
    <definedName name="w" localSheetId="7" hidden="1">[24]単独!$AR$14:$AR$18</definedName>
    <definedName name="w" localSheetId="12" hidden="1">{"valuation",#N/A,FALSE,"TXTCOMPS"}</definedName>
    <definedName name="w" hidden="1">{"valuation",#N/A,FALSE,"TXTCOMPS"}</definedName>
    <definedName name="wed"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 localSheetId="2" hidden="1">{"INCSTMT1",#N/A,FALSE,"COR";"INCSTMT2",#N/A,FALSE,"COR"}</definedName>
    <definedName name="wet" localSheetId="10" hidden="1">{"INCSTMT1",#N/A,FALSE,"COR";"INCSTMT2",#N/A,FALSE,"COR"}</definedName>
    <definedName name="wet" localSheetId="6" hidden="1">{"INCSTMT1",#N/A,FALSE,"COR";"INCSTMT2",#N/A,FALSE,"COR"}</definedName>
    <definedName name="wet" localSheetId="8" hidden="1">{"INCSTMT1",#N/A,FALSE,"COR";"INCSTMT2",#N/A,FALSE,"COR"}</definedName>
    <definedName name="wet" localSheetId="9" hidden="1">{"INCSTMT1",#N/A,FALSE,"COR";"INCSTMT2",#N/A,FALSE,"COR"}</definedName>
    <definedName name="wet" localSheetId="3" hidden="1">{"INCSTMT1",#N/A,FALSE,"COR";"INCSTMT2",#N/A,FALSE,"COR"}</definedName>
    <definedName name="wet" localSheetId="7" hidden="1">{"INCSTMT1",#N/A,FALSE,"COR";"INCSTMT2",#N/A,FALSE,"COR"}</definedName>
    <definedName name="wet" localSheetId="12" hidden="1">{"INCSTMT1",#N/A,FALSE,"COR";"INCSTMT2",#N/A,FALSE,"COR"}</definedName>
    <definedName name="wet" hidden="1">{"INCSTMT1",#N/A,FALSE,"COR";"INCSTMT2",#N/A,FALSE,"COR"}</definedName>
    <definedName name="wetwo"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ORLDWIDE">#REF!</definedName>
    <definedName name="wrn.2._.pagers." localSheetId="2" hidden="1">{"Cover",#N/A,FALSE,"Cover";"Summary",#N/A,FALSE,"Summarpage"}</definedName>
    <definedName name="wrn.2._.pagers." localSheetId="10" hidden="1">{"Cover",#N/A,FALSE,"Cover";"Summary",#N/A,FALSE,"Summarpage"}</definedName>
    <definedName name="wrn.2._.pagers." localSheetId="6" hidden="1">{"Cover",#N/A,FALSE,"Cover";"Summary",#N/A,FALSE,"Summarpage"}</definedName>
    <definedName name="wrn.2._.pagers." localSheetId="8" hidden="1">{"Cover",#N/A,FALSE,"Cover";"Summary",#N/A,FALSE,"Summarpage"}</definedName>
    <definedName name="wrn.2._.pagers." localSheetId="9" hidden="1">{"Cover",#N/A,FALSE,"Cover";"Summary",#N/A,FALSE,"Summarpage"}</definedName>
    <definedName name="wrn.2._.pagers." localSheetId="3" hidden="1">{"Cover",#N/A,FALSE,"Cover";"Summary",#N/A,FALSE,"Summarpage"}</definedName>
    <definedName name="wrn.2._.pagers." localSheetId="7" hidden="1">{"Cover",#N/A,FALSE,"Cover";"Summary",#N/A,FALSE,"Summarpage"}</definedName>
    <definedName name="wrn.2._.pagers." localSheetId="12" hidden="1">{"Cover",#N/A,FALSE,"Cover";"Summary",#N/A,FALSE,"Summarpage"}</definedName>
    <definedName name="wrn.2._.pagers." hidden="1">{"Cover",#N/A,FALSE,"Cover";"Summary",#N/A,FALSE,"Summarpage"}</definedName>
    <definedName name="wrn.3._.Scenarios." localSheetId="2" hidden="1">{"full model","100% Stock",FALSE,"PROFORMA";"full model","50/50",FALSE,"PROFORMA";"full model","100% Cash",FALSE,"PROFORMA"}</definedName>
    <definedName name="wrn.3._.Scenarios." localSheetId="10" hidden="1">{"full model","100% Stock",FALSE,"PROFORMA";"full model","50/50",FALSE,"PROFORMA";"full model","100% Cash",FALSE,"PROFORMA"}</definedName>
    <definedName name="wrn.3._.Scenarios." localSheetId="6" hidden="1">{"full model","100% Stock",FALSE,"PROFORMA";"full model","50/50",FALSE,"PROFORMA";"full model","100% Cash",FALSE,"PROFORMA"}</definedName>
    <definedName name="wrn.3._.Scenarios." localSheetId="8" hidden="1">{"full model","100% Stock",FALSE,"PROFORMA";"full model","50/50",FALSE,"PROFORMA";"full model","100% Cash",FALSE,"PROFORMA"}</definedName>
    <definedName name="wrn.3._.Scenarios." localSheetId="9" hidden="1">{"full model","100% Stock",FALSE,"PROFORMA";"full model","50/50",FALSE,"PROFORMA";"full model","100% Cash",FALSE,"PROFORMA"}</definedName>
    <definedName name="wrn.3._.Scenarios." localSheetId="3" hidden="1">{"full model","100% Stock",FALSE,"PROFORMA";"full model","50/50",FALSE,"PROFORMA";"full model","100% Cash",FALSE,"PROFORMA"}</definedName>
    <definedName name="wrn.3._.Scenarios." localSheetId="7" hidden="1">{"full model","100% Stock",FALSE,"PROFORMA";"full model","50/50",FALSE,"PROFORMA";"full model","100% Cash",FALSE,"PROFORMA"}</definedName>
    <definedName name="wrn.3._.Scenarios." localSheetId="12" hidden="1">{"full model","100% Stock",FALSE,"PROFORMA";"full model","50/50",FALSE,"PROFORMA";"full model","100% Cash",FALSE,"PROFORMA"}</definedName>
    <definedName name="wrn.3._.Scenarios." hidden="1">{"full model","100% Stock",FALSE,"PROFORMA";"full model","50/50",FALSE,"PROFORMA";"full model","100% Cash",FALSE,"PROFORMA"}</definedName>
    <definedName name="wrn.Accounts." localSheetId="2" hidden="1">{"turnover",#N/A,FALSE;"profits",#N/A,FALSE;"cash",#N/A,FALSE}</definedName>
    <definedName name="wrn.Accounts." localSheetId="10" hidden="1">{"turnover",#N/A,FALSE;"profits",#N/A,FALSE;"cash",#N/A,FALSE}</definedName>
    <definedName name="wrn.Accounts." localSheetId="6" hidden="1">{"turnover",#N/A,FALSE;"profits",#N/A,FALSE;"cash",#N/A,FALSE}</definedName>
    <definedName name="wrn.Accounts." localSheetId="8" hidden="1">{"turnover",#N/A,FALSE;"profits",#N/A,FALSE;"cash",#N/A,FALSE}</definedName>
    <definedName name="wrn.Accounts." localSheetId="9" hidden="1">{"turnover",#N/A,FALSE;"profits",#N/A,FALSE;"cash",#N/A,FALSE}</definedName>
    <definedName name="wrn.Accounts." localSheetId="3" hidden="1">{"turnover",#N/A,FALSE;"profits",#N/A,FALSE;"cash",#N/A,FALSE}</definedName>
    <definedName name="wrn.Accounts." localSheetId="7" hidden="1">{"turnover",#N/A,FALSE;"profits",#N/A,FALSE;"cash",#N/A,FALSE}</definedName>
    <definedName name="wrn.Accounts." localSheetId="12" hidden="1">{"turnover",#N/A,FALSE;"profits",#N/A,FALSE;"cash",#N/A,FALSE}</definedName>
    <definedName name="wrn.Accounts." hidden="1">{"turnover",#N/A,FALSE;"profits",#N/A,FALSE;"cash",#N/A,FALSE}</definedName>
    <definedName name="wrn.Aging._.and._.Trend._.Analysis." localSheetId="2"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N._.MODELS." localSheetId="2" hidden="1">{"QTRINC1",#N/A,FALSE,"QTRINC";"QTRINC2",#N/A,FALSE,"QTRINC";"QTRSALES",#N/A,FALSE,"QTRSALES";"ANNSALES",#N/A,FALSE,"ANNSALES";"CASHFLOW",#N/A,FALSE,"CASHFLOW"}</definedName>
    <definedName name="wrn.AGN._.MODELS." localSheetId="10" hidden="1">{"QTRINC1",#N/A,FALSE,"QTRINC";"QTRINC2",#N/A,FALSE,"QTRINC";"QTRSALES",#N/A,FALSE,"QTRSALES";"ANNSALES",#N/A,FALSE,"ANNSALES";"CASHFLOW",#N/A,FALSE,"CASHFLOW"}</definedName>
    <definedName name="wrn.AGN._.MODELS." localSheetId="6" hidden="1">{"QTRINC1",#N/A,FALSE,"QTRINC";"QTRINC2",#N/A,FALSE,"QTRINC";"QTRSALES",#N/A,FALSE,"QTRSALES";"ANNSALES",#N/A,FALSE,"ANNSALES";"CASHFLOW",#N/A,FALSE,"CASHFLOW"}</definedName>
    <definedName name="wrn.AGN._.MODELS." localSheetId="8" hidden="1">{"QTRINC1",#N/A,FALSE,"QTRINC";"QTRINC2",#N/A,FALSE,"QTRINC";"QTRSALES",#N/A,FALSE,"QTRSALES";"ANNSALES",#N/A,FALSE,"ANNSALES";"CASHFLOW",#N/A,FALSE,"CASHFLOW"}</definedName>
    <definedName name="wrn.AGN._.MODELS." localSheetId="9" hidden="1">{"QTRINC1",#N/A,FALSE,"QTRINC";"QTRINC2",#N/A,FALSE,"QTRINC";"QTRSALES",#N/A,FALSE,"QTRSALES";"ANNSALES",#N/A,FALSE,"ANNSALES";"CASHFLOW",#N/A,FALSE,"CASHFLOW"}</definedName>
    <definedName name="wrn.AGN._.MODELS." localSheetId="3" hidden="1">{"QTRINC1",#N/A,FALSE,"QTRINC";"QTRINC2",#N/A,FALSE,"QTRINC";"QTRSALES",#N/A,FALSE,"QTRSALES";"ANNSALES",#N/A,FALSE,"ANNSALES";"CASHFLOW",#N/A,FALSE,"CASHFLOW"}</definedName>
    <definedName name="wrn.AGN._.MODELS." localSheetId="7" hidden="1">{"QTRINC1",#N/A,FALSE,"QTRINC";"QTRINC2",#N/A,FALSE,"QTRINC";"QTRSALES",#N/A,FALSE,"QTRSALES";"ANNSALES",#N/A,FALSE,"ANNSALES";"CASHFLOW",#N/A,FALSE,"CASHFLOW"}</definedName>
    <definedName name="wrn.AGN._.MODELS." localSheetId="12"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HP._.MODELS." localSheetId="2" hidden="1">{"QTRINC",#N/A,FALSE,"QTRINC";"MARGIN",#N/A,FALSE,"MARGIN";"CASHFLOW",#N/A,FALSE,"CASHFLOW"}</definedName>
    <definedName name="wrn.AHP._.MODELS." localSheetId="10" hidden="1">{"QTRINC",#N/A,FALSE,"QTRINC";"MARGIN",#N/A,FALSE,"MARGIN";"CASHFLOW",#N/A,FALSE,"CASHFLOW"}</definedName>
    <definedName name="wrn.AHP._.MODELS." localSheetId="6" hidden="1">{"QTRINC",#N/A,FALSE,"QTRINC";"MARGIN",#N/A,FALSE,"MARGIN";"CASHFLOW",#N/A,FALSE,"CASHFLOW"}</definedName>
    <definedName name="wrn.AHP._.MODELS." localSheetId="8" hidden="1">{"QTRINC",#N/A,FALSE,"QTRINC";"MARGIN",#N/A,FALSE,"MARGIN";"CASHFLOW",#N/A,FALSE,"CASHFLOW"}</definedName>
    <definedName name="wrn.AHP._.MODELS." localSheetId="9" hidden="1">{"QTRINC",#N/A,FALSE,"QTRINC";"MARGIN",#N/A,FALSE,"MARGIN";"CASHFLOW",#N/A,FALSE,"CASHFLOW"}</definedName>
    <definedName name="wrn.AHP._.MODELS." localSheetId="3" hidden="1">{"QTRINC",#N/A,FALSE,"QTRINC";"MARGIN",#N/A,FALSE,"MARGIN";"CASHFLOW",#N/A,FALSE,"CASHFLOW"}</definedName>
    <definedName name="wrn.AHP._.MODELS." localSheetId="7" hidden="1">{"QTRINC",#N/A,FALSE,"QTRINC";"MARGIN",#N/A,FALSE,"MARGIN";"CASHFLOW",#N/A,FALSE,"CASHFLOW"}</definedName>
    <definedName name="wrn.AHP._.MODELS." localSheetId="12" hidden="1">{"QTRINC",#N/A,FALSE,"QTRINC";"MARGIN",#N/A,FALSE,"MARGIN";"CASHFLOW",#N/A,FALSE,"CASHFLOW"}</definedName>
    <definedName name="wrn.AHP._.MODELS." hidden="1">{"QTRINC",#N/A,FALSE,"QTRINC";"MARGIN",#N/A,FALSE,"MARGIN";"CASHFLOW",#N/A,FALSE,"CASHFLOW"}</definedName>
    <definedName name="wrn.all." localSheetId="2" hidden="1">{#N/A,#N/A,FALSE,"Time Warner";#N/A,#N/A,FALSE,"Entertainment Group";#N/A,#N/A,FALSE,"EBITDA";#N/A,#N/A,FALSE,"Notes"}</definedName>
    <definedName name="wrn.all." localSheetId="10" hidden="1">{"comps",#N/A,FALSE,"TXTCOMPS";"segment_EPS",#N/A,FALSE,"TXTCOMPS";"valuation",#N/A,FALSE,"TXTCOMPS"}</definedName>
    <definedName name="wrn.all." localSheetId="6" hidden="1">{#N/A,#N/A,FALSE,"Time Warner";#N/A,#N/A,FALSE,"Entertainment Group";#N/A,#N/A,FALSE,"EBITDA";#N/A,#N/A,FALSE,"Notes"}</definedName>
    <definedName name="wrn.All." localSheetId="8" hidden="1">{"Netbacks",#N/A,FALSE,"B";"IS Annually",#N/A,FALSE,"C";"IS Q95 Q96",#N/A,FALSE,"C";"Corp Pro",#N/A,FALSE,"D";"Prod Pro",#N/A,FALSE,"E"}</definedName>
    <definedName name="wrn.all." localSheetId="9" hidden="1">{"comps",#N/A,FALSE,"TXTCOMPS";"segment_EPS",#N/A,FALSE,"TXTCOMPS";"valuation",#N/A,FALSE,"TXTCOMPS"}</definedName>
    <definedName name="wrn.all." localSheetId="3" hidden="1">{"comps",#N/A,FALSE,"TXTCOMPS";"segment_EPS",#N/A,FALSE,"TXTCOMPS";"valuation",#N/A,FALSE,"TXTCOMPS"}</definedName>
    <definedName name="wrn.all." localSheetId="7" hidden="1">{#N/A,#N/A,FALSE,"Time Warner";#N/A,#N/A,FALSE,"Entertainment Group";#N/A,#N/A,FALSE,"EBITDA";#N/A,#N/A,FALSE,"Notes"}</definedName>
    <definedName name="wrn.all." localSheetId="12" hidden="1">{"comps",#N/A,FALSE,"TXTCOMPS";"segment_EPS",#N/A,FALSE,"TXTCOMPS";"valuation",#N/A,FALSE,"TXTCOMPS"}</definedName>
    <definedName name="wrn.all." hidden="1">{"comps",#N/A,FALSE,"TXTCOMPS";"segment_EPS",#N/A,FALSE,"TXTCOMPS";"valuation",#N/A,FALSE,"TXTCOMPS"}</definedName>
    <definedName name="wrn.all._.business._.units." localSheetId="2"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10"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6"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8"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9"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3"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7"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12"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sheets." localSheetId="2"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0"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6"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8"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9"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3"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7"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2" hidden="1">{"Operating Statictics",#N/A,FALSE,"Operating Statistics";"Netbacks",#N/A,FALSE,"Netbacks";"IS Quarterly",#N/A,FALSE,"Income Statement";"IS Yearly",#N/A,FALSE,"Income Statement";"Corporate Profile",#N/A,FALSE,"Corporate Profile";"Production Schedule",#N/A,FALSE,"Production Schedule"}</definedName>
    <definedName name="wrn.All._.sheets." hidden="1">{"Operating Statictics",#N/A,FALSE,"Operating Statistics";"Netbacks",#N/A,FALSE,"Netbacks";"IS Quarterly",#N/A,FALSE,"Income Statement";"IS Yearly",#N/A,FALSE,"Income Statement";"Corporate Profile",#N/A,FALSE,"Corporate Profile";"Production Schedule",#N/A,FALSE,"Production Schedule"}</definedName>
    <definedName name="wrn.allpages." localSheetId="2" hidden="1">{#N/A,#N/A,TRUE,"Historicals";#N/A,#N/A,TRUE,"Charts";#N/A,#N/A,TRUE,"Forecasts"}</definedName>
    <definedName name="wrn.allpages." localSheetId="10" hidden="1">{#N/A,#N/A,TRUE,"Historicals";#N/A,#N/A,TRUE,"Charts";#N/A,#N/A,TRUE,"Forecasts"}</definedName>
    <definedName name="wrn.allpages." localSheetId="6" hidden="1">{#N/A,#N/A,TRUE,"Historicals";#N/A,#N/A,TRUE,"Charts";#N/A,#N/A,TRUE,"Forecasts"}</definedName>
    <definedName name="wrn.allpages." localSheetId="8" hidden="1">{#N/A,#N/A,TRUE,"Historicals";#N/A,#N/A,TRUE,"Charts";#N/A,#N/A,TRUE,"Forecasts"}</definedName>
    <definedName name="wrn.allpages." localSheetId="9" hidden="1">{#N/A,#N/A,TRUE,"Historicals";#N/A,#N/A,TRUE,"Charts";#N/A,#N/A,TRUE,"Forecasts"}</definedName>
    <definedName name="wrn.allpages." localSheetId="3" hidden="1">{#N/A,#N/A,TRUE,"Historicals";#N/A,#N/A,TRUE,"Charts";#N/A,#N/A,TRUE,"Forecasts"}</definedName>
    <definedName name="wrn.allpages." localSheetId="7" hidden="1">{#N/A,#N/A,TRUE,"Historicals";#N/A,#N/A,TRUE,"Charts";#N/A,#N/A,TRUE,"Forecasts"}</definedName>
    <definedName name="wrn.allpages." localSheetId="12" hidden="1">{#N/A,#N/A,TRUE,"Historicals";#N/A,#N/A,TRUE,"Charts";#N/A,#N/A,TRUE,"Forecasts"}</definedName>
    <definedName name="wrn.allpages." hidden="1">{#N/A,#N/A,TRUE,"Historicals";#N/A,#N/A,TRUE,"Charts";#N/A,#N/A,TRUE,"Forecasts"}</definedName>
    <definedName name="wrn.AMAT._.Intranet." localSheetId="3" hidden="1">{"AMAT INC",#N/A,FALSE,"AMAT-INC";"AMAT BLSH",#N/A,FALSE,"AMATBLSH"}</definedName>
    <definedName name="wrn.AMAT._.Intranet." hidden="1">{"AMAT INC",#N/A,FALSE,"AMAT-INC";"AMAT BLSH",#N/A,FALSE,"AMATBLSH"}</definedName>
    <definedName name="wrn.AMAT._.Intranet1." localSheetId="3" hidden="1">{"AMAT INC",#N/A,FALSE,"AMAT-INC";"AMAT BLSH",#N/A,FALSE,"AMATBLSH"}</definedName>
    <definedName name="wrn.AMAT._.Intranet1." hidden="1">{"AMAT INC",#N/A,FALSE,"AMAT-INC";"AMAT BLSH",#N/A,FALSE,"AMATBLSH"}</definedName>
    <definedName name="wrn.Annual._.Operating._.Earnings." localSheetId="2" hidden="1">{"Annual 1996",#N/A,FALSE,"Ann-Op (Mng)";"Annual 1996",#N/A,FALSE,"Ann-Op (Rep)";"Operating Vs. Reported Earnings",#N/A,FALSE,"Rpt-Op Inc"}</definedName>
    <definedName name="wrn.Annual._.Operating._.Earnings." localSheetId="10" hidden="1">{"Annual 1996",#N/A,FALSE,"Ann-Op (Mng)";"Annual 1996",#N/A,FALSE,"Ann-Op (Rep)";"Operating Vs. Reported Earnings",#N/A,FALSE,"Rpt-Op Inc"}</definedName>
    <definedName name="wrn.Annual._.Operating._.Earnings." localSheetId="6" hidden="1">{"Annual 1996",#N/A,FALSE,"Ann-Op (Mng)";"Annual 1996",#N/A,FALSE,"Ann-Op (Rep)";"Operating Vs. Reported Earnings",#N/A,FALSE,"Rpt-Op Inc"}</definedName>
    <definedName name="wrn.Annual._.Operating._.Earnings." localSheetId="8" hidden="1">{"Annual 1996",#N/A,FALSE,"Ann-Op (Mng)";"Annual 1996",#N/A,FALSE,"Ann-Op (Rep)";"Operating Vs. Reported Earnings",#N/A,FALSE,"Rpt-Op Inc"}</definedName>
    <definedName name="wrn.Annual._.Operating._.Earnings." localSheetId="9" hidden="1">{"Annual 1996",#N/A,FALSE,"Ann-Op (Mng)";"Annual 1996",#N/A,FALSE,"Ann-Op (Rep)";"Operating Vs. Reported Earnings",#N/A,FALSE,"Rpt-Op Inc"}</definedName>
    <definedName name="wrn.Annual._.Operating._.Earnings." localSheetId="3" hidden="1">{"Annual 1996",#N/A,FALSE,"Ann-Op (Mng)";"Annual 1996",#N/A,FALSE,"Ann-Op (Rep)";"Operating Vs. Reported Earnings",#N/A,FALSE,"Rpt-Op Inc"}</definedName>
    <definedName name="wrn.Annual._.Operating._.Earnings." localSheetId="7" hidden="1">{"Annual 1996",#N/A,FALSE,"Ann-Op (Mng)";"Annual 1996",#N/A,FALSE,"Ann-Op (Rep)";"Operating Vs. Reported Earnings",#N/A,FALSE,"Rpt-Op Inc"}</definedName>
    <definedName name="wrn.Annual._.Operating._.Earnings." localSheetId="12"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2" hidden="1">{"Annual 1996",#N/A,FALSE,"Ann-Op (Mng)";"Annual 1996",#N/A,FALSE,"Ann-Op (Rep)";"Operating Vs. Reported Earnings",#N/A,FALSE,"Rpt-Op Inc"}</definedName>
    <definedName name="wrn.Annual._.Operating._.Earnings1." localSheetId="10" hidden="1">{"Annual 1996",#N/A,FALSE,"Ann-Op (Mng)";"Annual 1996",#N/A,FALSE,"Ann-Op (Rep)";"Operating Vs. Reported Earnings",#N/A,FALSE,"Rpt-Op Inc"}</definedName>
    <definedName name="wrn.Annual._.Operating._.Earnings1." localSheetId="6" hidden="1">{"Annual 1996",#N/A,FALSE,"Ann-Op (Mng)";"Annual 1996",#N/A,FALSE,"Ann-Op (Rep)";"Operating Vs. Reported Earnings",#N/A,FALSE,"Rpt-Op Inc"}</definedName>
    <definedName name="wrn.Annual._.Operating._.Earnings1." localSheetId="8" hidden="1">{"Annual 1996",#N/A,FALSE,"Ann-Op (Mng)";"Annual 1996",#N/A,FALSE,"Ann-Op (Rep)";"Operating Vs. Reported Earnings",#N/A,FALSE,"Rpt-Op Inc"}</definedName>
    <definedName name="wrn.Annual._.Operating._.Earnings1." localSheetId="9" hidden="1">{"Annual 1996",#N/A,FALSE,"Ann-Op (Mng)";"Annual 1996",#N/A,FALSE,"Ann-Op (Rep)";"Operating Vs. Reported Earnings",#N/A,FALSE,"Rpt-Op Inc"}</definedName>
    <definedName name="wrn.Annual._.Operating._.Earnings1." localSheetId="3" hidden="1">{"Annual 1996",#N/A,FALSE,"Ann-Op (Mng)";"Annual 1996",#N/A,FALSE,"Ann-Op (Rep)";"Operating Vs. Reported Earnings",#N/A,FALSE,"Rpt-Op Inc"}</definedName>
    <definedName name="wrn.Annual._.Operating._.Earnings1." localSheetId="7" hidden="1">{"Annual 1996",#N/A,FALSE,"Ann-Op (Mng)";"Annual 1996",#N/A,FALSE,"Ann-Op (Rep)";"Operating Vs. Reported Earnings",#N/A,FALSE,"Rpt-Op Inc"}</definedName>
    <definedName name="wrn.Annual._.Operating._.Earnings1." localSheetId="12"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res_Serono." localSheetId="2" hidden="1">{"revenue",#N/A,FALSE,"Revenue";"Qearn1",#N/A,FALSE,"Qearn";"Qearn2",#N/A,FALSE,"Qearn";"Qmargin",#N/A,FALSE,"Qmargin";"Cashflow",#N/A,FALSE,"Cashflow"}</definedName>
    <definedName name="wrn.Ares_Serono." localSheetId="10" hidden="1">{"revenue",#N/A,FALSE,"Revenue";"Qearn1",#N/A,FALSE,"Qearn";"Qearn2",#N/A,FALSE,"Qearn";"Qmargin",#N/A,FALSE,"Qmargin";"Cashflow",#N/A,FALSE,"Cashflow"}</definedName>
    <definedName name="wrn.Ares_Serono." localSheetId="6" hidden="1">{"revenue",#N/A,FALSE,"Revenue";"Qearn1",#N/A,FALSE,"Qearn";"Qearn2",#N/A,FALSE,"Qearn";"Qmargin",#N/A,FALSE,"Qmargin";"Cashflow",#N/A,FALSE,"Cashflow"}</definedName>
    <definedName name="wrn.Ares_Serono." localSheetId="8" hidden="1">{"revenue",#N/A,FALSE,"Revenue";"Qearn1",#N/A,FALSE,"Qearn";"Qearn2",#N/A,FALSE,"Qearn";"Qmargin",#N/A,FALSE,"Qmargin";"Cashflow",#N/A,FALSE,"Cashflow"}</definedName>
    <definedName name="wrn.Ares_Serono." localSheetId="9" hidden="1">{"revenue",#N/A,FALSE,"Revenue";"Qearn1",#N/A,FALSE,"Qearn";"Qearn2",#N/A,FALSE,"Qearn";"Qmargin",#N/A,FALSE,"Qmargin";"Cashflow",#N/A,FALSE,"Cashflow"}</definedName>
    <definedName name="wrn.Ares_Serono." localSheetId="3" hidden="1">{"revenue",#N/A,FALSE,"Revenue";"Qearn1",#N/A,FALSE,"Qearn";"Qearn2",#N/A,FALSE,"Qearn";"Qmargin",#N/A,FALSE,"Qmargin";"Cashflow",#N/A,FALSE,"Cashflow"}</definedName>
    <definedName name="wrn.Ares_Serono." localSheetId="7" hidden="1">{"revenue",#N/A,FALSE,"Revenue";"Qearn1",#N/A,FALSE,"Qearn";"Qearn2",#N/A,FALSE,"Qearn";"Qmargin",#N/A,FALSE,"Qmargin";"Cashflow",#N/A,FALSE,"Cashflow"}</definedName>
    <definedName name="wrn.Ares_Serono." localSheetId="12" hidden="1">{"revenue",#N/A,FALSE,"Revenue";"Qearn1",#N/A,FALSE,"Qearn";"Qearn2",#N/A,FALSE,"Qearn";"Qmargin",#N/A,FALSE,"Qmargin";"Cashflow",#N/A,FALSE,"Cashflow"}</definedName>
    <definedName name="wrn.Ares_Serono." hidden="1">{"revenue",#N/A,FALSE,"Revenue";"Qearn1",#N/A,FALSE,"Qearn";"Qearn2",#N/A,FALSE,"Qearn";"Qmargin",#N/A,FALSE,"Qmargin";"Cashflow",#N/A,FALSE,"Cashflow"}</definedName>
    <definedName name="wrn.assumptions." localSheetId="2" hidden="1">{"a",#N/A,FALSE,"capex";"a",#N/A,FALSE,"Assumptions"}</definedName>
    <definedName name="wrn.assumptions." localSheetId="10" hidden="1">{"a",#N/A,FALSE,"capex";"a",#N/A,FALSE,"Assumptions"}</definedName>
    <definedName name="wrn.assumptions." localSheetId="6" hidden="1">{"a",#N/A,FALSE,"capex";"a",#N/A,FALSE,"Assumptions"}</definedName>
    <definedName name="wrn.assumptions." localSheetId="8" hidden="1">{"a",#N/A,FALSE,"capex";"a",#N/A,FALSE,"Assumptions"}</definedName>
    <definedName name="wrn.assumptions." localSheetId="9" hidden="1">{"a",#N/A,FALSE,"capex";"a",#N/A,FALSE,"Assumptions"}</definedName>
    <definedName name="wrn.assumptions." localSheetId="3" hidden="1">{"a",#N/A,FALSE,"capex";"a",#N/A,FALSE,"Assumptions"}</definedName>
    <definedName name="wrn.assumptions." localSheetId="7" hidden="1">{"a",#N/A,FALSE,"capex";"a",#N/A,FALSE,"Assumptions"}</definedName>
    <definedName name="wrn.assumptions." localSheetId="12" hidden="1">{"a",#N/A,FALSE,"capex";"a",#N/A,FALSE,"Assumptions"}</definedName>
    <definedName name="wrn.assumptions." hidden="1">{"a",#N/A,FALSE,"capex";"a",#N/A,FALSE,"Assumptions"}</definedName>
    <definedName name="wrn.ba." localSheetId="2"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10"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6"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8"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9"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3"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7"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12"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sic." localSheetId="2" hidden="1">{"ca",#N/A,FALSE,"C";"D",#N/A,FALSE,"D"}</definedName>
    <definedName name="wrn.Basic." localSheetId="10" hidden="1">{"ca",#N/A,FALSE,"C";"D",#N/A,FALSE,"D"}</definedName>
    <definedName name="wrn.Basic." localSheetId="6" hidden="1">{"ca",#N/A,FALSE,"C";"D",#N/A,FALSE,"D"}</definedName>
    <definedName name="wrn.Basic." localSheetId="8" hidden="1">{"ca",#N/A,FALSE,"C";"D",#N/A,FALSE,"D"}</definedName>
    <definedName name="wrn.Basic." localSheetId="9" hidden="1">{"ca",#N/A,FALSE,"C";"D",#N/A,FALSE,"D"}</definedName>
    <definedName name="wrn.Basic." localSheetId="3" hidden="1">{"ca",#N/A,FALSE,"C";"D",#N/A,FALSE,"D"}</definedName>
    <definedName name="wrn.Basic." localSheetId="7" hidden="1">{"ca",#N/A,FALSE,"C";"D",#N/A,FALSE,"D"}</definedName>
    <definedName name="wrn.Basic." localSheetId="12" hidden="1">{"ca",#N/A,FALSE,"C";"D",#N/A,FALSE,"D"}</definedName>
    <definedName name="wrn.Basic." hidden="1">{"ca",#N/A,FALSE,"C";"D",#N/A,FALSE,"D"}</definedName>
    <definedName name="wrn.Cadispa._.SA." localSheetId="2" hidden="1">{"Cadispa SA",#N/A,FALSE,"Cadispa SA"}</definedName>
    <definedName name="wrn.Cadispa._.SA." localSheetId="10" hidden="1">{"Cadispa SA",#N/A,FALSE,"Cadispa SA"}</definedName>
    <definedName name="wrn.Cadispa._.SA." localSheetId="6" hidden="1">{"Cadispa SA",#N/A,FALSE,"Cadispa SA"}</definedName>
    <definedName name="wrn.Cadispa._.SA." localSheetId="8" hidden="1">{"Cadispa SA",#N/A,FALSE,"Cadispa SA"}</definedName>
    <definedName name="wrn.Cadispa._.SA." localSheetId="9" hidden="1">{"Cadispa SA",#N/A,FALSE,"Cadispa SA"}</definedName>
    <definedName name="wrn.Cadispa._.SA." localSheetId="3" hidden="1">{"Cadispa SA",#N/A,FALSE,"Cadispa SA"}</definedName>
    <definedName name="wrn.Cadispa._.SA." localSheetId="7" hidden="1">{"Cadispa SA",#N/A,FALSE,"Cadispa SA"}</definedName>
    <definedName name="wrn.Cadispa._.SA." localSheetId="12" hidden="1">{"Cadispa SA",#N/A,FALSE,"Cadispa SA"}</definedName>
    <definedName name="wrn.Cadispa._.SA." hidden="1">{"Cadispa SA",#N/A,FALSE,"Cadispa SA"}</definedName>
    <definedName name="wrn.Canada." localSheetId="2" hidden="1">{"Canada",#N/A,FALSE,"Canada"}</definedName>
    <definedName name="wrn.Canada." localSheetId="10" hidden="1">{"Canada",#N/A,FALSE,"Canada"}</definedName>
    <definedName name="wrn.Canada." localSheetId="6" hidden="1">{"Canada",#N/A,FALSE,"Canada"}</definedName>
    <definedName name="wrn.Canada." localSheetId="8" hidden="1">{"Canada",#N/A,FALSE,"Canada"}</definedName>
    <definedName name="wrn.Canada." localSheetId="9" hidden="1">{"Canada",#N/A,FALSE,"Canada"}</definedName>
    <definedName name="wrn.Canada." localSheetId="3" hidden="1">{"Canada",#N/A,FALSE,"Canada"}</definedName>
    <definedName name="wrn.Canada." localSheetId="7" hidden="1">{"Canada",#N/A,FALSE,"Canada"}</definedName>
    <definedName name="wrn.Canada." localSheetId="12" hidden="1">{"Canada",#N/A,FALSE,"Canada"}</definedName>
    <definedName name="wrn.Canada." hidden="1">{"Canada",#N/A,FALSE,"Canada"}</definedName>
    <definedName name="wrn.Cash._.Flow." localSheetId="2" hidden="1">{"Cash Flow",#N/A,FALSE,"Multiples"}</definedName>
    <definedName name="wrn.Cash._.Flow." localSheetId="10" hidden="1">{"Cash Flow",#N/A,FALSE,"Multiples"}</definedName>
    <definedName name="wrn.Cash._.Flow." localSheetId="6" hidden="1">{"Cash Flow",#N/A,FALSE,"Multiples"}</definedName>
    <definedName name="wrn.Cash._.Flow." localSheetId="8" hidden="1">{"Cash Flow",#N/A,FALSE,"Multiples"}</definedName>
    <definedName name="wrn.Cash._.Flow." localSheetId="9" hidden="1">{"Cash Flow",#N/A,FALSE,"Multiples"}</definedName>
    <definedName name="wrn.Cash._.Flow." localSheetId="3" hidden="1">{"Cash Flow",#N/A,FALSE,"Multiples"}</definedName>
    <definedName name="wrn.Cash._.Flow." localSheetId="7" hidden="1">{"Cash Flow",#N/A,FALSE,"Multiples"}</definedName>
    <definedName name="wrn.Cash._.Flow." localSheetId="12" hidden="1">{"Cash Flow",#N/A,FALSE,"Multiples"}</definedName>
    <definedName name="wrn.Cash._.Flow." hidden="1">{"Cash Flow",#N/A,FALSE,"Multiples"}</definedName>
    <definedName name="wrn.Cash._.V._.LY." localSheetId="2" hidden="1">{"cash",#N/A,FALSE,"Aerospace";"cash",#N/A,FALSE,"Engines";"cash",#N/A,FALSE,"AES";"cash",#N/A,FALSE,"ES";"cash",#N/A,FALSE,"CAS";"cash",#N/A,FALSE,"ATSC";"cash",#N/A,FALSE,"FMT";"cash",#N/A,FALSE,"Aero Other";"cash",#N/A,FALSE,"Judgement"}</definedName>
    <definedName name="wrn.Cash._.V._.LY." localSheetId="10" hidden="1">{"cash",#N/A,FALSE,"Aerospace";"cash",#N/A,FALSE,"Engines";"cash",#N/A,FALSE,"AES";"cash",#N/A,FALSE,"ES";"cash",#N/A,FALSE,"CAS";"cash",#N/A,FALSE,"ATSC";"cash",#N/A,FALSE,"FMT";"cash",#N/A,FALSE,"Aero Other";"cash",#N/A,FALSE,"Judgement"}</definedName>
    <definedName name="wrn.Cash._.V._.LY." localSheetId="6" hidden="1">{"cash",#N/A,FALSE,"Aerospace";"cash",#N/A,FALSE,"Engines";"cash",#N/A,FALSE,"AES";"cash",#N/A,FALSE,"ES";"cash",#N/A,FALSE,"CAS";"cash",#N/A,FALSE,"ATSC";"cash",#N/A,FALSE,"FMT";"cash",#N/A,FALSE,"Aero Other";"cash",#N/A,FALSE,"Judgement"}</definedName>
    <definedName name="wrn.Cash._.V._.LY." localSheetId="8" hidden="1">{"cash",#N/A,FALSE,"Aerospace";"cash",#N/A,FALSE,"Engines";"cash",#N/A,FALSE,"AES";"cash",#N/A,FALSE,"ES";"cash",#N/A,FALSE,"CAS";"cash",#N/A,FALSE,"ATSC";"cash",#N/A,FALSE,"FMT";"cash",#N/A,FALSE,"Aero Other";"cash",#N/A,FALSE,"Judgement"}</definedName>
    <definedName name="wrn.Cash._.V._.LY." localSheetId="9" hidden="1">{"cash",#N/A,FALSE,"Aerospace";"cash",#N/A,FALSE,"Engines";"cash",#N/A,FALSE,"AES";"cash",#N/A,FALSE,"ES";"cash",#N/A,FALSE,"CAS";"cash",#N/A,FALSE,"ATSC";"cash",#N/A,FALSE,"FMT";"cash",#N/A,FALSE,"Aero Other";"cash",#N/A,FALSE,"Judgement"}</definedName>
    <definedName name="wrn.Cash._.V._.LY." localSheetId="3" hidden="1">{"cash",#N/A,FALSE,"Aerospace";"cash",#N/A,FALSE,"Engines";"cash",#N/A,FALSE,"AES";"cash",#N/A,FALSE,"ES";"cash",#N/A,FALSE,"CAS";"cash",#N/A,FALSE,"ATSC";"cash",#N/A,FALSE,"FMT";"cash",#N/A,FALSE,"Aero Other";"cash",#N/A,FALSE,"Judgement"}</definedName>
    <definedName name="wrn.Cash._.V._.LY." localSheetId="7" hidden="1">{"cash",#N/A,FALSE,"Aerospace";"cash",#N/A,FALSE,"Engines";"cash",#N/A,FALSE,"AES";"cash",#N/A,FALSE,"ES";"cash",#N/A,FALSE,"CAS";"cash",#N/A,FALSE,"ATSC";"cash",#N/A,FALSE,"FMT";"cash",#N/A,FALSE,"Aero Other";"cash",#N/A,FALSE,"Judgement"}</definedName>
    <definedName name="wrn.Cash._.V._.LY." localSheetId="12" hidden="1">{"cash",#N/A,FALSE,"Aerospace";"cash",#N/A,FALSE,"Engines";"cash",#N/A,FALSE,"AES";"cash",#N/A,FALSE,"ES";"cash",#N/A,FALSE,"CAS";"cash",#N/A,FALSE,"ATSC";"cash",#N/A,FALSE,"FMT";"cash",#N/A,FALSE,"Aero Other";"cash",#N/A,FALSE,"Judgement"}</definedName>
    <definedName name="wrn.Cash._.V._.LY." hidden="1">{"cash",#N/A,FALSE,"Aerospace";"cash",#N/A,FALSE,"Engines";"cash",#N/A,FALSE,"AES";"cash",#N/A,FALSE,"ES";"cash",#N/A,FALSE,"CAS";"cash",#N/A,FALSE,"ATSC";"cash",#N/A,FALSE,"FMT";"cash",#N/A,FALSE,"Aero Other";"cash",#N/A,FALSE,"Judgement"}</definedName>
    <definedName name="wrn.Cash._.V._.Prior." localSheetId="2" hidden="1">{"cash",#N/A,FALSE,"Aero V prior";"cash",#N/A,FALSE,"Eng V Prior";"cash",#N/A,FALSE,"AES V Prior";"cash",#N/A,FALSE,"ES V Prior";"cash",#N/A,FALSE,"CAS V Prior";"cash",#N/A,FALSE,"ATSC V Prior";"cash",#N/A,FALSE,"FMT V Prior";"cash",#N/A,FALSE,"Aero Other V Prior";"cash",#N/A,FALSE,"Judge V Prior"}</definedName>
    <definedName name="wrn.Cash._.V._.Prior." localSheetId="10" hidden="1">{"cash",#N/A,FALSE,"Aero V prior";"cash",#N/A,FALSE,"Eng V Prior";"cash",#N/A,FALSE,"AES V Prior";"cash",#N/A,FALSE,"ES V Prior";"cash",#N/A,FALSE,"CAS V Prior";"cash",#N/A,FALSE,"ATSC V Prior";"cash",#N/A,FALSE,"FMT V Prior";"cash",#N/A,FALSE,"Aero Other V Prior";"cash",#N/A,FALSE,"Judge V Prior"}</definedName>
    <definedName name="wrn.Cash._.V._.Prior." localSheetId="6" hidden="1">{"cash",#N/A,FALSE,"Aero V prior";"cash",#N/A,FALSE,"Eng V Prior";"cash",#N/A,FALSE,"AES V Prior";"cash",#N/A,FALSE,"ES V Prior";"cash",#N/A,FALSE,"CAS V Prior";"cash",#N/A,FALSE,"ATSC V Prior";"cash",#N/A,FALSE,"FMT V Prior";"cash",#N/A,FALSE,"Aero Other V Prior";"cash",#N/A,FALSE,"Judge V Prior"}</definedName>
    <definedName name="wrn.Cash._.V._.Prior." localSheetId="8" hidden="1">{"cash",#N/A,FALSE,"Aero V prior";"cash",#N/A,FALSE,"Eng V Prior";"cash",#N/A,FALSE,"AES V Prior";"cash",#N/A,FALSE,"ES V Prior";"cash",#N/A,FALSE,"CAS V Prior";"cash",#N/A,FALSE,"ATSC V Prior";"cash",#N/A,FALSE,"FMT V Prior";"cash",#N/A,FALSE,"Aero Other V Prior";"cash",#N/A,FALSE,"Judge V Prior"}</definedName>
    <definedName name="wrn.Cash._.V._.Prior." localSheetId="9" hidden="1">{"cash",#N/A,FALSE,"Aero V prior";"cash",#N/A,FALSE,"Eng V Prior";"cash",#N/A,FALSE,"AES V Prior";"cash",#N/A,FALSE,"ES V Prior";"cash",#N/A,FALSE,"CAS V Prior";"cash",#N/A,FALSE,"ATSC V Prior";"cash",#N/A,FALSE,"FMT V Prior";"cash",#N/A,FALSE,"Aero Other V Prior";"cash",#N/A,FALSE,"Judge V Prior"}</definedName>
    <definedName name="wrn.Cash._.V._.Prior." localSheetId="3" hidden="1">{"cash",#N/A,FALSE,"Aero V prior";"cash",#N/A,FALSE,"Eng V Prior";"cash",#N/A,FALSE,"AES V Prior";"cash",#N/A,FALSE,"ES V Prior";"cash",#N/A,FALSE,"CAS V Prior";"cash",#N/A,FALSE,"ATSC V Prior";"cash",#N/A,FALSE,"FMT V Prior";"cash",#N/A,FALSE,"Aero Other V Prior";"cash",#N/A,FALSE,"Judge V Prior"}</definedName>
    <definedName name="wrn.Cash._.V._.Prior." localSheetId="7" hidden="1">{"cash",#N/A,FALSE,"Aero V prior";"cash",#N/A,FALSE,"Eng V Prior";"cash",#N/A,FALSE,"AES V Prior";"cash",#N/A,FALSE,"ES V Prior";"cash",#N/A,FALSE,"CAS V Prior";"cash",#N/A,FALSE,"ATSC V Prior";"cash",#N/A,FALSE,"FMT V Prior";"cash",#N/A,FALSE,"Aero Other V Prior";"cash",#N/A,FALSE,"Judge V Prior"}</definedName>
    <definedName name="wrn.Cash._.V._.Prior." localSheetId="12" hidden="1">{"cash",#N/A,FALSE,"Aero V prior";"cash",#N/A,FALSE,"Eng V Prior";"cash",#N/A,FALSE,"AES V Prior";"cash",#N/A,FALSE,"ES V Prior";"cash",#N/A,FALSE,"CAS V Prior";"cash",#N/A,FALSE,"ATSC V Prior";"cash",#N/A,FALSE,"FMT V Prior";"cash",#N/A,FALSE,"Aero Other V Prior";"cash",#N/A,FALSE,"Judge V Prior"}</definedName>
    <definedName name="wrn.Cash._.V._.Prior." hidden="1">{"cash",#N/A,FALSE,"Aero V prior";"cash",#N/A,FALSE,"Eng V Prior";"cash",#N/A,FALSE,"AES V Prior";"cash",#N/A,FALSE,"ES V Prior";"cash",#N/A,FALSE,"CAS V Prior";"cash",#N/A,FALSE,"ATSC V Prior";"cash",#N/A,FALSE,"FMT V Prior";"cash",#N/A,FALSE,"Aero Other V Prior";"cash",#N/A,FALSE,"Judge V Prior"}</definedName>
    <definedName name="wrn.Clam." localSheetId="2" hidden="1">{"Clam",#N/A,FALSE,"Clam"}</definedName>
    <definedName name="wrn.Clam." localSheetId="10" hidden="1">{"Clam",#N/A,FALSE,"Clam"}</definedName>
    <definedName name="wrn.Clam." localSheetId="6" hidden="1">{"Clam",#N/A,FALSE,"Clam"}</definedName>
    <definedName name="wrn.Clam." localSheetId="8" hidden="1">{"Clam",#N/A,FALSE,"Clam"}</definedName>
    <definedName name="wrn.Clam." localSheetId="9" hidden="1">{"Clam",#N/A,FALSE,"Clam"}</definedName>
    <definedName name="wrn.Clam." localSheetId="3" hidden="1">{"Clam",#N/A,FALSE,"Clam"}</definedName>
    <definedName name="wrn.Clam." localSheetId="7" hidden="1">{"Clam",#N/A,FALSE,"Clam"}</definedName>
    <definedName name="wrn.Clam." localSheetId="12" hidden="1">{"Clam",#N/A,FALSE,"Clam"}</definedName>
    <definedName name="wrn.Clam." hidden="1">{"Clam",#N/A,FALSE,"Clam"}</definedName>
    <definedName name="wrn.Client." localSheetId="2" hidden="1">{#N/A,#N/A,FALSE,"Quarterly";#N/A,#N/A,FALSE,"Inc.St.";#N/A,#N/A,FALSE,"Bal.Sht."}</definedName>
    <definedName name="wrn.Client." localSheetId="10" hidden="1">{#N/A,#N/A,FALSE,"Quarterly";#N/A,#N/A,FALSE,"Inc.St.";#N/A,#N/A,FALSE,"Bal.Sht."}</definedName>
    <definedName name="wrn.Client." localSheetId="6" hidden="1">{#N/A,#N/A,FALSE,"Quarterly";#N/A,#N/A,FALSE,"Inc.St.";#N/A,#N/A,FALSE,"Bal.Sht."}</definedName>
    <definedName name="wrn.Client." localSheetId="8" hidden="1">{#N/A,#N/A,FALSE,"Quarterly";#N/A,#N/A,FALSE,"Inc.St.";#N/A,#N/A,FALSE,"Bal.Sht."}</definedName>
    <definedName name="wrn.Client." localSheetId="9" hidden="1">{#N/A,#N/A,FALSE,"Quarterly";#N/A,#N/A,FALSE,"Inc.St.";#N/A,#N/A,FALSE,"Bal.Sht."}</definedName>
    <definedName name="wrn.Client." localSheetId="3" hidden="1">{#N/A,#N/A,FALSE,"Quarterly";#N/A,#N/A,FALSE,"Inc.St.";#N/A,#N/A,FALSE,"Bal.Sht."}</definedName>
    <definedName name="wrn.Client." localSheetId="7" hidden="1">{#N/A,#N/A,FALSE,"Quarterly";#N/A,#N/A,FALSE,"Inc.St.";#N/A,#N/A,FALSE,"Bal.Sht."}</definedName>
    <definedName name="wrn.Client." localSheetId="12" hidden="1">{#N/A,#N/A,FALSE,"Quarterly";#N/A,#N/A,FALSE,"Inc.St.";#N/A,#N/A,FALSE,"Bal.Sht."}</definedName>
    <definedName name="wrn.Client." hidden="1">{#N/A,#N/A,FALSE,"Quarterly";#N/A,#N/A,FALSE,"Inc.St.";#N/A,#N/A,FALSE,"Bal.Sht."}</definedName>
    <definedName name="wrn.Client._.cfbs." localSheetId="2" hidden="1">{"client cfbs",#N/A,FALSE,"Client"}</definedName>
    <definedName name="wrn.Client._.cfbs." localSheetId="10" hidden="1">{"client cfbs",#N/A,FALSE,"Client"}</definedName>
    <definedName name="wrn.Client._.cfbs." localSheetId="6" hidden="1">{"client cfbs",#N/A,FALSE,"Client"}</definedName>
    <definedName name="wrn.Client._.cfbs." localSheetId="8" hidden="1">{"client cfbs",#N/A,FALSE,"Client"}</definedName>
    <definedName name="wrn.Client._.cfbs." localSheetId="9" hidden="1">{"client cfbs",#N/A,FALSE,"Client"}</definedName>
    <definedName name="wrn.Client._.cfbs." localSheetId="3" hidden="1">{"client cfbs",#N/A,FALSE,"Client"}</definedName>
    <definedName name="wrn.Client._.cfbs." localSheetId="7" hidden="1">{"client cfbs",#N/A,FALSE,"Client"}</definedName>
    <definedName name="wrn.Client._.cfbs." localSheetId="12" hidden="1">{"client cfbs",#N/A,FALSE,"Client"}</definedName>
    <definedName name="wrn.Client._.cfbs." hidden="1">{"client cfbs",#N/A,FALSE,"Client"}</definedName>
    <definedName name="wrn.Client._.is." localSheetId="2" hidden="1">{"Client is",#N/A,FALSE,"Client"}</definedName>
    <definedName name="wrn.Client._.is." localSheetId="10" hidden="1">{"Client is",#N/A,FALSE,"Client"}</definedName>
    <definedName name="wrn.Client._.is." localSheetId="6" hidden="1">{"Client is",#N/A,FALSE,"Client"}</definedName>
    <definedName name="wrn.Client._.is." localSheetId="8" hidden="1">{"Client is",#N/A,FALSE,"Client"}</definedName>
    <definedName name="wrn.Client._.is." localSheetId="9" hidden="1">{"Client is",#N/A,FALSE,"Client"}</definedName>
    <definedName name="wrn.Client._.is." localSheetId="3" hidden="1">{"Client is",#N/A,FALSE,"Client"}</definedName>
    <definedName name="wrn.Client._.is." localSheetId="7" hidden="1">{"Client is",#N/A,FALSE,"Client"}</definedName>
    <definedName name="wrn.Client._.is." localSheetId="12" hidden="1">{"Client is",#N/A,FALSE,"Client"}</definedName>
    <definedName name="wrn.Client._.is." hidden="1">{"Client is",#N/A,FALSE,"Client"}</definedName>
    <definedName name="wrn.Client._.Sheets." localSheetId="2" hidden="1">{"Netbacks",#N/A,FALSE,"Netbacks";"IS Quarterly",#N/A,FALSE,"Income Statement";"IS Yearly",#N/A,FALSE,"Income Statement";"Corporate Profile",#N/A,FALSE,"Corporate Profile"}</definedName>
    <definedName name="wrn.Client._.Sheets." localSheetId="10" hidden="1">{"Netbacks",#N/A,FALSE,"Netbacks";"IS Quarterly",#N/A,FALSE,"Income Statement";"IS Yearly",#N/A,FALSE,"Income Statement";"Corporate Profile",#N/A,FALSE,"Corporate Profile"}</definedName>
    <definedName name="wrn.Client._.Sheets." localSheetId="6" hidden="1">{"Netbacks",#N/A,FALSE,"Netbacks";"IS Quarterly",#N/A,FALSE,"Income Statement";"IS Yearly",#N/A,FALSE,"Income Statement";"Corporate Profile",#N/A,FALSE,"Corporate Profile"}</definedName>
    <definedName name="wrn.Client._.Sheets." localSheetId="8" hidden="1">{"Netbacks",#N/A,FALSE,"Netbacks";"IS Quarterly",#N/A,FALSE,"Income Statement";"IS Yearly",#N/A,FALSE,"Income Statement";"Corporate Profile",#N/A,FALSE,"Corporate Profile"}</definedName>
    <definedName name="wrn.Client._.Sheets." localSheetId="9" hidden="1">{"Netbacks",#N/A,FALSE,"Netbacks";"IS Quarterly",#N/A,FALSE,"Income Statement";"IS Yearly",#N/A,FALSE,"Income Statement";"Corporate Profile",#N/A,FALSE,"Corporate Profile"}</definedName>
    <definedName name="wrn.Client._.Sheets." localSheetId="3" hidden="1">{"Netbacks",#N/A,FALSE,"Netbacks";"IS Quarterly",#N/A,FALSE,"Income Statement";"IS Yearly",#N/A,FALSE,"Income Statement";"Corporate Profile",#N/A,FALSE,"Corporate Profile"}</definedName>
    <definedName name="wrn.Client._.Sheets." localSheetId="7" hidden="1">{"Netbacks",#N/A,FALSE,"Netbacks";"IS Quarterly",#N/A,FALSE,"Income Statement";"IS Yearly",#N/A,FALSE,"Income Statement";"Corporate Profile",#N/A,FALSE,"Corporate Profile"}</definedName>
    <definedName name="wrn.Client._.Sheets." localSheetId="12" hidden="1">{"Netbacks",#N/A,FALSE,"Netbacks";"IS Quarterly",#N/A,FALSE,"Income Statement";"IS Yearly",#N/A,FALSE,"Income Statement";"Corporate Profile",#N/A,FALSE,"Corporate Profile"}</definedName>
    <definedName name="wrn.Client._.Sheets." hidden="1">{"Netbacks",#N/A,FALSE,"Netbacks";"IS Quarterly",#N/A,FALSE,"Income Statement";"IS Yearly",#N/A,FALSE,"Income Statement";"Corporate Profile",#N/A,FALSE,"Corporate Profile"}</definedName>
    <definedName name="wrn.Client._.stats." localSheetId="2" hidden="1">{"Client stats",#N/A,FALSE,"Client"}</definedName>
    <definedName name="wrn.Client._.stats." localSheetId="10" hidden="1">{"Client stats",#N/A,FALSE,"Client"}</definedName>
    <definedName name="wrn.Client._.stats." localSheetId="6" hidden="1">{"Client stats",#N/A,FALSE,"Client"}</definedName>
    <definedName name="wrn.Client._.stats." localSheetId="8" hidden="1">{"Client stats",#N/A,FALSE,"Client"}</definedName>
    <definedName name="wrn.Client._.stats." localSheetId="9" hidden="1">{"Client stats",#N/A,FALSE,"Client"}</definedName>
    <definedName name="wrn.Client._.stats." localSheetId="3" hidden="1">{"Client stats",#N/A,FALSE,"Client"}</definedName>
    <definedName name="wrn.Client._.stats." localSheetId="7" hidden="1">{"Client stats",#N/A,FALSE,"Client"}</definedName>
    <definedName name="wrn.Client._.stats." localSheetId="12" hidden="1">{"Client stats",#N/A,FALSE,"Client"}</definedName>
    <definedName name="wrn.Client._.stats." hidden="1">{"Client stats",#N/A,FALSE,"Client"}</definedName>
    <definedName name="wrn.Client2." localSheetId="2" hidden="1">{#N/A,#N/A,FALSE,"Inc. St.";#N/A,#N/A,FALSE,"Bal. Sht."}</definedName>
    <definedName name="wrn.Client2." localSheetId="10" hidden="1">{#N/A,#N/A,FALSE,"Inc. St.";#N/A,#N/A,FALSE,"Bal. Sht."}</definedName>
    <definedName name="wrn.Client2." localSheetId="6" hidden="1">{#N/A,#N/A,FALSE,"Inc. St.";#N/A,#N/A,FALSE,"Bal. Sht."}</definedName>
    <definedName name="wrn.Client2." localSheetId="8" hidden="1">{#N/A,#N/A,FALSE,"Inc. St.";#N/A,#N/A,FALSE,"Bal. Sht."}</definedName>
    <definedName name="wrn.Client2." localSheetId="9" hidden="1">{#N/A,#N/A,FALSE,"Inc. St.";#N/A,#N/A,FALSE,"Bal. Sht."}</definedName>
    <definedName name="wrn.Client2." localSheetId="3" hidden="1">{#N/A,#N/A,FALSE,"Inc. St.";#N/A,#N/A,FALSE,"Bal. Sht."}</definedName>
    <definedName name="wrn.Client2." localSheetId="7" hidden="1">{#N/A,#N/A,FALSE,"Inc. St.";#N/A,#N/A,FALSE,"Bal. Sht."}</definedName>
    <definedName name="wrn.Client2." localSheetId="12" hidden="1">{#N/A,#N/A,FALSE,"Inc. St.";#N/A,#N/A,FALSE,"Bal. Sht."}</definedName>
    <definedName name="wrn.Client2." hidden="1">{#N/A,#N/A,FALSE,"Inc. St.";#N/A,#N/A,FALSE,"Bal. Sht."}</definedName>
    <definedName name="wrn.COMP." localSheetId="2" hidden="1">{"CF",#N/A,FALSE,"Stone Energy";"Mult",#N/A,FALSE,"Stone Energy";"Cover",#N/A,FALSE,"Stone Energy";"TEV",#N/A,FALSE,"Stone Energy"}</definedName>
    <definedName name="wrn.COMP." localSheetId="10" hidden="1">{"CF",#N/A,FALSE,"Stone Energy";"Mult",#N/A,FALSE,"Stone Energy";"Cover",#N/A,FALSE,"Stone Energy";"TEV",#N/A,FALSE,"Stone Energy"}</definedName>
    <definedName name="wrn.COMP." localSheetId="6" hidden="1">{"CF",#N/A,FALSE,"Stone Energy";"Mult",#N/A,FALSE,"Stone Energy";"Cover",#N/A,FALSE,"Stone Energy";"TEV",#N/A,FALSE,"Stone Energy"}</definedName>
    <definedName name="wrn.COMP." localSheetId="8" hidden="1">{"CF",#N/A,FALSE,"Stone Energy";"Mult",#N/A,FALSE,"Stone Energy";"Cover",#N/A,FALSE,"Stone Energy";"TEV",#N/A,FALSE,"Stone Energy"}</definedName>
    <definedName name="wrn.COMP." localSheetId="9" hidden="1">{"CF",#N/A,FALSE,"Stone Energy";"Mult",#N/A,FALSE,"Stone Energy";"Cover",#N/A,FALSE,"Stone Energy";"TEV",#N/A,FALSE,"Stone Energy"}</definedName>
    <definedName name="wrn.COMP." localSheetId="3" hidden="1">{"CF",#N/A,FALSE,"Stone Energy";"Mult",#N/A,FALSE,"Stone Energy";"Cover",#N/A,FALSE,"Stone Energy";"TEV",#N/A,FALSE,"Stone Energy"}</definedName>
    <definedName name="wrn.COMP." localSheetId="7" hidden="1">{"CF",#N/A,FALSE,"Stone Energy";"Mult",#N/A,FALSE,"Stone Energy";"Cover",#N/A,FALSE,"Stone Energy";"TEV",#N/A,FALSE,"Stone Energy"}</definedName>
    <definedName name="wrn.COMP." localSheetId="12" hidden="1">{"CF",#N/A,FALSE,"Stone Energy";"Mult",#N/A,FALSE,"Stone Energy";"Cover",#N/A,FALSE,"Stone Energy";"TEV",#N/A,FALSE,"Stone Energy"}</definedName>
    <definedName name="wrn.COMP." hidden="1">{"CF",#N/A,FALSE,"Stone Energy";"Mult",#N/A,FALSE,"Stone Energy";"Cover",#N/A,FALSE,"Stone Energy";"TEV",#N/A,FALSE,"Stone Energy"}</definedName>
    <definedName name="wrn.Comp1." localSheetId="2" hidden="1">{"BSsheet2",#N/A,FALSE,"BS and Multiple Analysis";"netback2",#N/A,FALSE,"Reserve and Netback Analysis"}</definedName>
    <definedName name="wrn.Comp1." localSheetId="10" hidden="1">{"BSsheet2",#N/A,FALSE,"BS and Multiple Analysis";"netback2",#N/A,FALSE,"Reserve and Netback Analysis"}</definedName>
    <definedName name="wrn.Comp1." localSheetId="6" hidden="1">{"BSsheet2",#N/A,FALSE,"BS and Multiple Analysis";"netback2",#N/A,FALSE,"Reserve and Netback Analysis"}</definedName>
    <definedName name="wrn.Comp1." localSheetId="8" hidden="1">{"BSsheet2",#N/A,FALSE,"BS and Multiple Analysis";"netback2",#N/A,FALSE,"Reserve and Netback Analysis"}</definedName>
    <definedName name="wrn.Comp1." localSheetId="9" hidden="1">{"BSsheet2",#N/A,FALSE,"BS and Multiple Analysis";"netback2",#N/A,FALSE,"Reserve and Netback Analysis"}</definedName>
    <definedName name="wrn.Comp1." localSheetId="3" hidden="1">{"BSsheet2",#N/A,FALSE,"BS and Multiple Analysis";"netback2",#N/A,FALSE,"Reserve and Netback Analysis"}</definedName>
    <definedName name="wrn.Comp1." localSheetId="7" hidden="1">{"BSsheet2",#N/A,FALSE,"BS and Multiple Analysis";"netback2",#N/A,FALSE,"Reserve and Netback Analysis"}</definedName>
    <definedName name="wrn.Comp1." localSheetId="12" hidden="1">{"BSsheet2",#N/A,FALSE,"BS and Multiple Analysis";"netback2",#N/A,FALSE,"Reserve and Netback Analysis"}</definedName>
    <definedName name="wrn.Comp1." hidden="1">{"BSsheet2",#N/A,FALSE,"BS and Multiple Analysis";"netback2",#N/A,FALSE,"Reserve and Netback Analysis"}</definedName>
    <definedName name="wrn.Complete."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s." localSheetId="2" hidden="1">{"comps",#N/A,FALSE,"TXTCOMPS"}</definedName>
    <definedName name="wrn.comps." localSheetId="10" hidden="1">{"comps",#N/A,FALSE,"TXTCOMPS"}</definedName>
    <definedName name="wrn.comps." localSheetId="6" hidden="1">{"comps",#N/A,FALSE,"TXTCOMPS"}</definedName>
    <definedName name="wrn.comps." localSheetId="8" hidden="1">{"comps",#N/A,FALSE,"TXTCOMPS"}</definedName>
    <definedName name="wrn.comps." localSheetId="9" hidden="1">{"comps",#N/A,FALSE,"TXTCOMPS"}</definedName>
    <definedName name="wrn.comps." localSheetId="3" hidden="1">{"comps",#N/A,FALSE,"TXTCOMPS"}</definedName>
    <definedName name="wrn.comps." localSheetId="7" hidden="1">{"comps",#N/A,FALSE,"TXTCOMPS"}</definedName>
    <definedName name="wrn.comps." localSheetId="12" hidden="1">{"comps",#N/A,FALSE,"TXTCOMPS"}</definedName>
    <definedName name="wrn.comps." hidden="1">{"comps",#N/A,FALSE,"TXTCOMPS"}</definedName>
    <definedName name="wrn.Congo." localSheetId="2" hidden="1">{"Congo",#N/A,FALSE,"Congo"}</definedName>
    <definedName name="wrn.Congo." localSheetId="10" hidden="1">{"Congo",#N/A,FALSE,"Congo"}</definedName>
    <definedName name="wrn.Congo." localSheetId="6" hidden="1">{"Congo",#N/A,FALSE,"Congo"}</definedName>
    <definedName name="wrn.Congo." localSheetId="8" hidden="1">{"Congo",#N/A,FALSE,"Congo"}</definedName>
    <definedName name="wrn.Congo." localSheetId="9" hidden="1">{"Congo",#N/A,FALSE,"Congo"}</definedName>
    <definedName name="wrn.Congo." localSheetId="3" hidden="1">{"Congo",#N/A,FALSE,"Congo"}</definedName>
    <definedName name="wrn.Congo." localSheetId="7" hidden="1">{"Congo",#N/A,FALSE,"Congo"}</definedName>
    <definedName name="wrn.Congo." localSheetId="12" hidden="1">{"Congo",#N/A,FALSE,"Congo"}</definedName>
    <definedName name="wrn.Congo." hidden="1">{"Congo",#N/A,FALSE,"Congo"}</definedName>
    <definedName name="wrn.Consolidated._.Statements." localSheetId="2" hidden="1">{"view1",#N/A,FALSE,"EARN (US$)";"view1",#N/A,FALSE,"DASTBS (US$)";"view1",#N/A,FALSE,"DASTCF (US$)"}</definedName>
    <definedName name="wrn.Consolidated._.Statements." localSheetId="10" hidden="1">{"view1",#N/A,FALSE,"EARN (US$)";"view1",#N/A,FALSE,"DASTBS (US$)";"view1",#N/A,FALSE,"DASTCF (US$)"}</definedName>
    <definedName name="wrn.Consolidated._.Statements." localSheetId="6" hidden="1">{"view1",#N/A,FALSE,"EARN (US$)";"view1",#N/A,FALSE,"DASTBS (US$)";"view1",#N/A,FALSE,"DASTCF (US$)"}</definedName>
    <definedName name="wrn.Consolidated._.Statements." localSheetId="8" hidden="1">{"view1",#N/A,FALSE,"EARN (US$)";"view1",#N/A,FALSE,"DASTBS (US$)";"view1",#N/A,FALSE,"DASTCF (US$)"}</definedName>
    <definedName name="wrn.Consolidated._.Statements." localSheetId="9" hidden="1">{"view1",#N/A,FALSE,"EARN (US$)";"view1",#N/A,FALSE,"DASTBS (US$)";"view1",#N/A,FALSE,"DASTCF (US$)"}</definedName>
    <definedName name="wrn.Consolidated._.Statements." localSheetId="3" hidden="1">{"view1",#N/A,FALSE,"EARN (US$)";"view1",#N/A,FALSE,"DASTBS (US$)";"view1",#N/A,FALSE,"DASTCF (US$)"}</definedName>
    <definedName name="wrn.Consolidated._.Statements." localSheetId="7" hidden="1">{"view1",#N/A,FALSE,"EARN (US$)";"view1",#N/A,FALSE,"DASTBS (US$)";"view1",#N/A,FALSE,"DASTCF (US$)"}</definedName>
    <definedName name="wrn.Consolidated._.Statements." localSheetId="12" hidden="1">{"view1",#N/A,FALSE,"EARN (US$)";"view1",#N/A,FALSE,"DASTBS (US$)";"view1",#N/A,FALSE,"DASTCF (US$)"}</definedName>
    <definedName name="wrn.Consolidated._.Statements." hidden="1">{"view1",#N/A,FALSE,"EARN (US$)";"view1",#N/A,FALSE,"DASTBS (US$)";"view1",#N/A,FALSE,"DASTCF (US$)"}</definedName>
    <definedName name="wrn.Corp.._.Profile." localSheetId="2" hidden="1">{"Corp Pro",#N/A,FALSE,"D"}</definedName>
    <definedName name="wrn.Corp.._.Profile." localSheetId="10" hidden="1">{"Corp Pro",#N/A,FALSE,"D"}</definedName>
    <definedName name="wrn.Corp.._.Profile." localSheetId="6" hidden="1">{"Corp Pro",#N/A,FALSE,"D"}</definedName>
    <definedName name="wrn.Corp.._.Profile." localSheetId="8" hidden="1">{"Corp Pro",#N/A,FALSE,"D"}</definedName>
    <definedName name="wrn.Corp.._.Profile." localSheetId="9" hidden="1">{"Corp Pro",#N/A,FALSE,"D"}</definedName>
    <definedName name="wrn.Corp.._.Profile." localSheetId="3" hidden="1">{"Corp Pro",#N/A,FALSE,"D"}</definedName>
    <definedName name="wrn.Corp.._.Profile." localSheetId="7" hidden="1">{"Corp Pro",#N/A,FALSE,"D"}</definedName>
    <definedName name="wrn.Corp.._.Profile." localSheetId="12" hidden="1">{"Corp Pro",#N/A,FALSE,"D"}</definedName>
    <definedName name="wrn.Corp.._.Profile." hidden="1">{"Corp Pro",#N/A,FALSE,"D"}</definedName>
    <definedName name="wrn.Corp.Profile." localSheetId="2" hidden="1">{"Corp. Profile",#N/A,FALSE,"Corporate Profile"}</definedName>
    <definedName name="wrn.Corp.Profile." localSheetId="10" hidden="1">{"Corp. Profile",#N/A,FALSE,"Corporate Profile"}</definedName>
    <definedName name="wrn.Corp.Profile." localSheetId="6" hidden="1">{"Corp. Profile",#N/A,FALSE,"Corporate Profile"}</definedName>
    <definedName name="wrn.Corp.Profile." localSheetId="8" hidden="1">{"Corp. Profile",#N/A,FALSE,"Corporate Profile"}</definedName>
    <definedName name="wrn.Corp.Profile." localSheetId="9" hidden="1">{"Corp. Profile",#N/A,FALSE,"Corporate Profile"}</definedName>
    <definedName name="wrn.Corp.Profile." localSheetId="3" hidden="1">{"Corp. Profile",#N/A,FALSE,"Corporate Profile"}</definedName>
    <definedName name="wrn.Corp.Profile." localSheetId="7" hidden="1">{"Corp. Profile",#N/A,FALSE,"Corporate Profile"}</definedName>
    <definedName name="wrn.Corp.Profile." localSheetId="12" hidden="1">{"Corp. Profile",#N/A,FALSE,"Corporate Profile"}</definedName>
    <definedName name="wrn.Corp.Profile." hidden="1">{"Corp. Profile",#N/A,FALSE,"Corporate Profile"}</definedName>
    <definedName name="wrn.Corporate." localSheetId="2" hidden="1">{"Corporate",#N/A,FALSE,"Corporate Profile"}</definedName>
    <definedName name="wrn.Corporate." localSheetId="10" hidden="1">{"Corporate",#N/A,FALSE,"Corporate Profile"}</definedName>
    <definedName name="wrn.Corporate." localSheetId="6" hidden="1">{"Corporate",#N/A,FALSE,"Corporate Profile"}</definedName>
    <definedName name="wrn.Corporate." localSheetId="8" hidden="1">{"Corporate",#N/A,FALSE,"Corporate Profile"}</definedName>
    <definedName name="wrn.Corporate." localSheetId="9" hidden="1">{"Corporate",#N/A,FALSE,"Corporate Profile"}</definedName>
    <definedName name="wrn.Corporate." localSheetId="3" hidden="1">{"Corporate",#N/A,FALSE,"Corporate Profile"}</definedName>
    <definedName name="wrn.Corporate." localSheetId="7" hidden="1">{"Corporate",#N/A,FALSE,"Corporate Profile"}</definedName>
    <definedName name="wrn.Corporate." localSheetId="12" hidden="1">{"Corporate",#N/A,FALSE,"Corporate Profile"}</definedName>
    <definedName name="wrn.Corporate." hidden="1">{"Corporate",#N/A,FALSE,"Corporate Profile"}</definedName>
    <definedName name="wrn.Corporate._.Profile." localSheetId="2" hidden="1">{"Corporate Profile",#N/A,FALSE,"D"}</definedName>
    <definedName name="wrn.Corporate._.Profile." localSheetId="10" hidden="1">{"Corporate Profile",#N/A,FALSE,"D"}</definedName>
    <definedName name="wrn.Corporate._.Profile." localSheetId="6" hidden="1">{"Corporate Profile",#N/A,FALSE,"D"}</definedName>
    <definedName name="wrn.Corporate._.Profile." localSheetId="8" hidden="1">{"Corporate Profile",#N/A,FALSE,"D"}</definedName>
    <definedName name="wrn.Corporate._.Profile." localSheetId="9" hidden="1">{"Corporate Profile",#N/A,FALSE,"D"}</definedName>
    <definedName name="wrn.Corporate._.Profile." localSheetId="3" hidden="1">{"Corporate Profile",#N/A,FALSE,"D"}</definedName>
    <definedName name="wrn.Corporate._.Profile." localSheetId="7" hidden="1">{"Corporate Profile",#N/A,FALSE,"D"}</definedName>
    <definedName name="wrn.Corporate._.Profile." localSheetId="12" hidden="1">{"Corporate Profile",#N/A,FALSE,"D"}</definedName>
    <definedName name="wrn.Corporate._.Profile." hidden="1">{"Corporate Profile",#N/A,FALSE,"D"}</definedName>
    <definedName name="wrn.CorporateProfile." localSheetId="2" hidden="1">{"CorporateProfile",#N/A,FALSE,"corp profile"}</definedName>
    <definedName name="wrn.CorporateProfile." localSheetId="10" hidden="1">{"CorporateProfile",#N/A,FALSE,"corp profile"}</definedName>
    <definedName name="wrn.CorporateProfile." localSheetId="6" hidden="1">{"CorporateProfile",#N/A,FALSE,"corp profile"}</definedName>
    <definedName name="wrn.CorporateProfile." localSheetId="8" hidden="1">{"CorporateProfile",#N/A,FALSE,"corp profile"}</definedName>
    <definedName name="wrn.CorporateProfile." localSheetId="9" hidden="1">{"CorporateProfile",#N/A,FALSE,"corp profile"}</definedName>
    <definedName name="wrn.CorporateProfile." localSheetId="3" hidden="1">{"CorporateProfile",#N/A,FALSE,"corp profile"}</definedName>
    <definedName name="wrn.CorporateProfile." localSheetId="7" hidden="1">{"CorporateProfile",#N/A,FALSE,"corp profile"}</definedName>
    <definedName name="wrn.CorporateProfile." localSheetId="12" hidden="1">{"CorporateProfile",#N/A,FALSE,"corp profile"}</definedName>
    <definedName name="wrn.CorporateProfile." hidden="1">{"CorporateProfile",#N/A,FALSE,"corp profile"}</definedName>
    <definedName name="wrn.CORR." localSheetId="2" hidden="1">{"INCSTMT1",#N/A,FALSE,"COR";"INCSTMT2",#N/A,FALSE,"COR"}</definedName>
    <definedName name="wrn.CORR." localSheetId="10" hidden="1">{"INCSTMT1",#N/A,FALSE,"COR";"INCSTMT2",#N/A,FALSE,"COR"}</definedName>
    <definedName name="wrn.CORR." localSheetId="6" hidden="1">{"INCSTMT1",#N/A,FALSE,"COR";"INCSTMT2",#N/A,FALSE,"COR"}</definedName>
    <definedName name="wrn.CORR." localSheetId="8" hidden="1">{"INCSTMT1",#N/A,FALSE,"COR";"INCSTMT2",#N/A,FALSE,"COR"}</definedName>
    <definedName name="wrn.CORR." localSheetId="9" hidden="1">{"INCSTMT1",#N/A,FALSE,"COR";"INCSTMT2",#N/A,FALSE,"COR"}</definedName>
    <definedName name="wrn.CORR." localSheetId="3" hidden="1">{"INCSTMT1",#N/A,FALSE,"COR";"INCSTMT2",#N/A,FALSE,"COR"}</definedName>
    <definedName name="wrn.CORR." localSheetId="7" hidden="1">{"INCSTMT1",#N/A,FALSE,"COR";"INCSTMT2",#N/A,FALSE,"COR"}</definedName>
    <definedName name="wrn.CORR." localSheetId="12" hidden="1">{"INCSTMT1",#N/A,FALSE,"COR";"INCSTMT2",#N/A,FALSE,"COR"}</definedName>
    <definedName name="wrn.CORR." hidden="1">{"INCSTMT1",#N/A,FALSE,"COR";"INCSTMT2",#N/A,FALSE,"COR"}</definedName>
    <definedName name="wrn.cotop." localSheetId="2" hidden="1">{"ReportTop",#N/A,FALSE,"report top"}</definedName>
    <definedName name="wrn.cotop." localSheetId="10" hidden="1">{"ReportTop",#N/A,FALSE,"report top"}</definedName>
    <definedName name="wrn.cotop." localSheetId="6" hidden="1">{"ReportTop",#N/A,FALSE,"report top"}</definedName>
    <definedName name="wrn.cotop." localSheetId="8" hidden="1">{"ReportTop",#N/A,FALSE,"report top"}</definedName>
    <definedName name="wrn.cotop." localSheetId="9" hidden="1">{"ReportTop",#N/A,FALSE,"report top"}</definedName>
    <definedName name="wrn.cotop." localSheetId="3" hidden="1">{"ReportTop",#N/A,FALSE,"report top"}</definedName>
    <definedName name="wrn.cotop." localSheetId="7" hidden="1">{"ReportTop",#N/A,FALSE,"report top"}</definedName>
    <definedName name="wrn.cotop." localSheetId="12" hidden="1">{"ReportTop",#N/A,FALSE,"report top"}</definedName>
    <definedName name="wrn.cotop." hidden="1">{"ReportTop",#N/A,FALSE,"report top"}</definedName>
    <definedName name="wrn.daily." localSheetId="2" hidden="1">{#N/A,#N/A,FALSE,"Major v. River";#N/A,#N/A,FALSE,"Large Operators";#N/A,#N/A,FALSE,"Smaller Operators";#N/A,#N/A,FALSE,"Equip. Supply";#N/A,#N/A,FALSE,"EBITDA"}</definedName>
    <definedName name="wrn.daily." localSheetId="10" hidden="1">{#N/A,#N/A,FALSE,"Major v. River";#N/A,#N/A,FALSE,"Large Operators";#N/A,#N/A,FALSE,"Smaller Operators";#N/A,#N/A,FALSE,"Equip. Supply";#N/A,#N/A,FALSE,"EBITDA"}</definedName>
    <definedName name="wrn.daily." localSheetId="6" hidden="1">{#N/A,#N/A,FALSE,"Major v. River";#N/A,#N/A,FALSE,"Large Operators";#N/A,#N/A,FALSE,"Smaller Operators";#N/A,#N/A,FALSE,"Equip. Supply";#N/A,#N/A,FALSE,"EBITDA"}</definedName>
    <definedName name="wrn.daily." localSheetId="8" hidden="1">{#N/A,#N/A,FALSE,"Major v. River";#N/A,#N/A,FALSE,"Large Operators";#N/A,#N/A,FALSE,"Smaller Operators";#N/A,#N/A,FALSE,"Equip. Supply";#N/A,#N/A,FALSE,"EBITDA"}</definedName>
    <definedName name="wrn.daily." localSheetId="9" hidden="1">{#N/A,#N/A,FALSE,"Major v. River";#N/A,#N/A,FALSE,"Large Operators";#N/A,#N/A,FALSE,"Smaller Operators";#N/A,#N/A,FALSE,"Equip. Supply";#N/A,#N/A,FALSE,"EBITDA"}</definedName>
    <definedName name="wrn.daily." localSheetId="3" hidden="1">{#N/A,#N/A,FALSE,"Major v. River";#N/A,#N/A,FALSE,"Large Operators";#N/A,#N/A,FALSE,"Smaller Operators";#N/A,#N/A,FALSE,"Equip. Supply";#N/A,#N/A,FALSE,"EBITDA"}</definedName>
    <definedName name="wrn.daily." localSheetId="7" hidden="1">{#N/A,#N/A,FALSE,"Major v. River";#N/A,#N/A,FALSE,"Large Operators";#N/A,#N/A,FALSE,"Smaller Operators";#N/A,#N/A,FALSE,"Equip. Supply";#N/A,#N/A,FALSE,"EBITDA"}</definedName>
    <definedName name="wrn.daily." localSheetId="12" hidden="1">{#N/A,#N/A,FALSE,"Major v. River";#N/A,#N/A,FALSE,"Large Operators";#N/A,#N/A,FALSE,"Smaller Operators";#N/A,#N/A,FALSE,"Equip. Supply";#N/A,#N/A,FALSE,"EBITDA"}</definedName>
    <definedName name="wrn.daily." hidden="1">{#N/A,#N/A,FALSE,"Major v. River";#N/A,#N/A,FALSE,"Large Operators";#N/A,#N/A,FALSE,"Smaller Operators";#N/A,#N/A,FALSE,"Equip. Supply";#N/A,#N/A,FALSE,"EBITDA"}</definedName>
    <definedName name="wrn.dcf." localSheetId="2"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10"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6"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8"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9"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3"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7"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12"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Earnings._.Model."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xist." localSheetId="2" hidden="1">{"Exist1",#N/A,FALSE,"Exist";"exist2",#N/A,FALSE,"Exist"}</definedName>
    <definedName name="wrn.Exist." localSheetId="10" hidden="1">{"Exist1",#N/A,FALSE,"Exist";"exist2",#N/A,FALSE,"Exist"}</definedName>
    <definedName name="wrn.Exist." localSheetId="6" hidden="1">{"Exist1",#N/A,FALSE,"Exist";"exist2",#N/A,FALSE,"Exist"}</definedName>
    <definedName name="wrn.Exist." localSheetId="8" hidden="1">{"Exist1",#N/A,FALSE,"Exist";"exist2",#N/A,FALSE,"Exist"}</definedName>
    <definedName name="wrn.Exist." localSheetId="9" hidden="1">{"Exist1",#N/A,FALSE,"Exist";"exist2",#N/A,FALSE,"Exist"}</definedName>
    <definedName name="wrn.Exist." localSheetId="3" hidden="1">{"Exist1",#N/A,FALSE,"Exist";"exist2",#N/A,FALSE,"Exist"}</definedName>
    <definedName name="wrn.Exist." localSheetId="7" hidden="1">{"Exist1",#N/A,FALSE,"Exist";"exist2",#N/A,FALSE,"Exist"}</definedName>
    <definedName name="wrn.Exist." localSheetId="12" hidden="1">{"Exist1",#N/A,FALSE,"Exist";"exist2",#N/A,FALSE,"Exist"}</definedName>
    <definedName name="wrn.Exist." hidden="1">{"Exist1",#N/A,FALSE,"Exist";"exist2",#N/A,FALSE,"Exist"}</definedName>
    <definedName name="wrn.fixed._.assets." localSheetId="2"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10"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6"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8"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9"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3"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7"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12"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orecast._.Q1." localSheetId="2"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0"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6"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8"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9"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3"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7"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2"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0"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6"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8"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9"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7"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2"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0"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6"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8"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9"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7"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2"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0"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6"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8"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9"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3"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7"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2"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0"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6"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8"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9"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7"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2"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6"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8"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9"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7"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2"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ull._.Report." localSheetId="2" hidden="1">{#N/A,#N/A,FALSE,"COVER";#N/A,#N/A,FALSE,"VALUATION";#N/A,#N/A,FALSE,"FORECAST";#N/A,#N/A,FALSE,"FY ANALYSIS ";#N/A,#N/A,FALSE," HY ANALYSIS"}</definedName>
    <definedName name="wrn.Full._.Report." localSheetId="10" hidden="1">{#N/A,#N/A,FALSE,"COVER";#N/A,#N/A,FALSE,"VALUATION";#N/A,#N/A,FALSE,"FORECAST";#N/A,#N/A,FALSE,"FY ANALYSIS ";#N/A,#N/A,FALSE," HY ANALYSIS"}</definedName>
    <definedName name="wrn.Full._.Report." localSheetId="6" hidden="1">{#N/A,#N/A,FALSE,"COVER";#N/A,#N/A,FALSE,"VALUATION";#N/A,#N/A,FALSE,"FORECAST";#N/A,#N/A,FALSE,"FY ANALYSIS ";#N/A,#N/A,FALSE," HY ANALYSIS"}</definedName>
    <definedName name="wrn.Full._.Report." localSheetId="8" hidden="1">{#N/A,#N/A,FALSE,"COVER";#N/A,#N/A,FALSE,"VALUATION";#N/A,#N/A,FALSE,"FORECAST";#N/A,#N/A,FALSE,"FY ANALYSIS ";#N/A,#N/A,FALSE," HY ANALYSIS"}</definedName>
    <definedName name="wrn.Full._.Report." localSheetId="9" hidden="1">{#N/A,#N/A,FALSE,"COVER";#N/A,#N/A,FALSE,"VALUATION";#N/A,#N/A,FALSE,"FORECAST";#N/A,#N/A,FALSE,"FY ANALYSIS ";#N/A,#N/A,FALSE," HY ANALYSIS"}</definedName>
    <definedName name="wrn.Full._.Report." localSheetId="3" hidden="1">{#N/A,#N/A,FALSE,"COVER";#N/A,#N/A,FALSE,"VALUATION";#N/A,#N/A,FALSE,"FORECAST";#N/A,#N/A,FALSE,"FY ANALYSIS ";#N/A,#N/A,FALSE," HY ANALYSIS"}</definedName>
    <definedName name="wrn.Full._.Report." localSheetId="7" hidden="1">{#N/A,#N/A,FALSE,"COVER";#N/A,#N/A,FALSE,"VALUATION";#N/A,#N/A,FALSE,"FORECAST";#N/A,#N/A,FALSE,"FY ANALYSIS ";#N/A,#N/A,FALSE," HY ANALYSIS"}</definedName>
    <definedName name="wrn.Full._.Report." localSheetId="12" hidden="1">{#N/A,#N/A,FALSE,"COVER";#N/A,#N/A,FALSE,"VALUATION";#N/A,#N/A,FALSE,"FORECAST";#N/A,#N/A,FALSE,"FY ANALYSIS ";#N/A,#N/A,FALSE," HY ANALYSIS"}</definedName>
    <definedName name="wrn.Full._.Report." hidden="1">{#N/A,#N/A,FALSE,"COVER";#N/A,#N/A,FALSE,"VALUATION";#N/A,#N/A,FALSE,"FORECAST";#N/A,#N/A,FALSE,"FY ANALYSIS ";#N/A,#N/A,FALSE," HY ANALYSIS"}</definedName>
    <definedName name="wrn.FY97SBP." localSheetId="2" hidden="1">{#N/A,#N/A,FALSE,"FY97";#N/A,#N/A,FALSE,"FY98";#N/A,#N/A,FALSE,"FY99";#N/A,#N/A,FALSE,"FY00";#N/A,#N/A,FALSE,"FY01"}</definedName>
    <definedName name="wrn.FY97SBP." localSheetId="10" hidden="1">{#N/A,#N/A,FALSE,"FY97";#N/A,#N/A,FALSE,"FY98";#N/A,#N/A,FALSE,"FY99";#N/A,#N/A,FALSE,"FY00";#N/A,#N/A,FALSE,"FY01"}</definedName>
    <definedName name="wrn.FY97SBP." localSheetId="6" hidden="1">{#N/A,#N/A,FALSE,"FY97";#N/A,#N/A,FALSE,"FY98";#N/A,#N/A,FALSE,"FY99";#N/A,#N/A,FALSE,"FY00";#N/A,#N/A,FALSE,"FY01"}</definedName>
    <definedName name="wrn.FY97SBP." localSheetId="8" hidden="1">{#N/A,#N/A,FALSE,"FY97";#N/A,#N/A,FALSE,"FY98";#N/A,#N/A,FALSE,"FY99";#N/A,#N/A,FALSE,"FY00";#N/A,#N/A,FALSE,"FY01"}</definedName>
    <definedName name="wrn.FY97SBP." localSheetId="9" hidden="1">{#N/A,#N/A,FALSE,"FY97";#N/A,#N/A,FALSE,"FY98";#N/A,#N/A,FALSE,"FY99";#N/A,#N/A,FALSE,"FY00";#N/A,#N/A,FALSE,"FY01"}</definedName>
    <definedName name="wrn.FY97SBP." localSheetId="3" hidden="1">{#N/A,#N/A,FALSE,"FY97";#N/A,#N/A,FALSE,"FY98";#N/A,#N/A,FALSE,"FY99";#N/A,#N/A,FALSE,"FY00";#N/A,#N/A,FALSE,"FY01"}</definedName>
    <definedName name="wrn.FY97SBP." localSheetId="7" hidden="1">{#N/A,#N/A,FALSE,"FY97";#N/A,#N/A,FALSE,"FY98";#N/A,#N/A,FALSE,"FY99";#N/A,#N/A,FALSE,"FY00";#N/A,#N/A,FALSE,"FY01"}</definedName>
    <definedName name="wrn.FY97SBP." localSheetId="12" hidden="1">{#N/A,#N/A,FALSE,"FY97";#N/A,#N/A,FALSE,"FY98";#N/A,#N/A,FALSE,"FY99";#N/A,#N/A,FALSE,"FY00";#N/A,#N/A,FALSE,"FY01"}</definedName>
    <definedName name="wrn.FY97SBP." hidden="1">{#N/A,#N/A,FALSE,"FY97";#N/A,#N/A,FALSE,"FY98";#N/A,#N/A,FALSE,"FY99";#N/A,#N/A,FALSE,"FY00";#N/A,#N/A,FALSE,"FY01"}</definedName>
    <definedName name="wrn.historical." localSheetId="2"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10"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6"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8"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9"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3"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7"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12"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_.rev._.backup." localSheetId="2" hidden="1">{"rev_history_revenueDetail",#N/A,FALSE,"historical rev us";"rev_history_minutesDetail",#N/A,FALSE,"historical rev us"}</definedName>
    <definedName name="wrn.historical._.rev._.backup." localSheetId="10" hidden="1">{"rev_history_revenueDetail",#N/A,FALSE,"historical rev us";"rev_history_minutesDetail",#N/A,FALSE,"historical rev us"}</definedName>
    <definedName name="wrn.historical._.rev._.backup." localSheetId="6" hidden="1">{"rev_history_revenueDetail",#N/A,FALSE,"historical rev us";"rev_history_minutesDetail",#N/A,FALSE,"historical rev us"}</definedName>
    <definedName name="wrn.historical._.rev._.backup." localSheetId="8" hidden="1">{"rev_history_revenueDetail",#N/A,FALSE,"historical rev us";"rev_history_minutesDetail",#N/A,FALSE,"historical rev us"}</definedName>
    <definedName name="wrn.historical._.rev._.backup." localSheetId="9" hidden="1">{"rev_history_revenueDetail",#N/A,FALSE,"historical rev us";"rev_history_minutesDetail",#N/A,FALSE,"historical rev us"}</definedName>
    <definedName name="wrn.historical._.rev._.backup." localSheetId="3" hidden="1">{"rev_history_revenueDetail",#N/A,FALSE,"historical rev us";"rev_history_minutesDetail",#N/A,FALSE,"historical rev us"}</definedName>
    <definedName name="wrn.historical._.rev._.backup." localSheetId="7" hidden="1">{"rev_history_revenueDetail",#N/A,FALSE,"historical rev us";"rev_history_minutesDetail",#N/A,FALSE,"historical rev us"}</definedName>
    <definedName name="wrn.historical._.rev._.backup." localSheetId="12" hidden="1">{"rev_history_revenueDetail",#N/A,FALSE,"historical rev us";"rev_history_minutesDetail",#N/A,FALSE,"historical rev us"}</definedName>
    <definedName name="wrn.historical._.rev._.backup." hidden="1">{"rev_history_revenueDetail",#N/A,FALSE,"historical rev us";"rev_history_minutesDetail",#N/A,FALSE,"historical rev us"}</definedName>
    <definedName name="wrn.IGT._.Model." localSheetId="2" hidden="1">{#N/A,#N/A,TRUE,"IGT";#N/A,#N/A,TRUE,"IGTSLOT"}</definedName>
    <definedName name="wrn.IGT._.Model." localSheetId="10" hidden="1">{#N/A,#N/A,TRUE,"IGT";#N/A,#N/A,TRUE,"IGTSLOT"}</definedName>
    <definedName name="wrn.IGT._.Model." localSheetId="6" hidden="1">{#N/A,#N/A,TRUE,"IGT";#N/A,#N/A,TRUE,"IGTSLOT"}</definedName>
    <definedName name="wrn.IGT._.Model." localSheetId="8" hidden="1">{#N/A,#N/A,TRUE,"IGT";#N/A,#N/A,TRUE,"IGTSLOT"}</definedName>
    <definedName name="wrn.IGT._.Model." localSheetId="9" hidden="1">{#N/A,#N/A,TRUE,"IGT";#N/A,#N/A,TRUE,"IGTSLOT"}</definedName>
    <definedName name="wrn.IGT._.Model." localSheetId="3" hidden="1">{#N/A,#N/A,TRUE,"IGT";#N/A,#N/A,TRUE,"IGTSLOT"}</definedName>
    <definedName name="wrn.IGT._.Model." localSheetId="7" hidden="1">{#N/A,#N/A,TRUE,"IGT";#N/A,#N/A,TRUE,"IGTSLOT"}</definedName>
    <definedName name="wrn.IGT._.Model." localSheetId="12" hidden="1">{#N/A,#N/A,TRUE,"IGT";#N/A,#N/A,TRUE,"IGTSLOT"}</definedName>
    <definedName name="wrn.IGT._.Model." hidden="1">{#N/A,#N/A,TRUE,"IGT";#N/A,#N/A,TRUE,"IGTSLOT"}</definedName>
    <definedName name="wrn.Income._.Q96." localSheetId="2" hidden="1">{#N/A,#N/A,FALSE,"Income Statement"}</definedName>
    <definedName name="wrn.Income._.Q96." localSheetId="10" hidden="1">{#N/A,#N/A,FALSE,"Income Statement"}</definedName>
    <definedName name="wrn.Income._.Q96." localSheetId="6" hidden="1">{#N/A,#N/A,FALSE,"Income Statement"}</definedName>
    <definedName name="wrn.Income._.Q96." localSheetId="8" hidden="1">{#N/A,#N/A,FALSE,"Income Statement"}</definedName>
    <definedName name="wrn.Income._.Q96." localSheetId="9" hidden="1">{#N/A,#N/A,FALSE,"Income Statement"}</definedName>
    <definedName name="wrn.Income._.Q96." localSheetId="3" hidden="1">{#N/A,#N/A,FALSE,"Income Statement"}</definedName>
    <definedName name="wrn.Income._.Q96." localSheetId="7" hidden="1">{#N/A,#N/A,FALSE,"Income Statement"}</definedName>
    <definedName name="wrn.Income._.Q96." localSheetId="12" hidden="1">{#N/A,#N/A,FALSE,"Income Statement"}</definedName>
    <definedName name="wrn.Income._.Q96." hidden="1">{#N/A,#N/A,FALSE,"Income Statement"}</definedName>
    <definedName name="wrn.Income._.Q97." localSheetId="2" hidden="1">{#N/A,#N/A,FALSE,"Income Statement"}</definedName>
    <definedName name="wrn.Income._.Q97." localSheetId="10" hidden="1">{#N/A,#N/A,FALSE,"Income Statement"}</definedName>
    <definedName name="wrn.Income._.Q97." localSheetId="6" hidden="1">{#N/A,#N/A,FALSE,"Income Statement"}</definedName>
    <definedName name="wrn.Income._.Q97." localSheetId="8" hidden="1">{#N/A,#N/A,FALSE,"Income Statement"}</definedName>
    <definedName name="wrn.Income._.Q97." localSheetId="9" hidden="1">{#N/A,#N/A,FALSE,"Income Statement"}</definedName>
    <definedName name="wrn.Income._.Q97." localSheetId="3" hidden="1">{#N/A,#N/A,FALSE,"Income Statement"}</definedName>
    <definedName name="wrn.Income._.Q97." localSheetId="7" hidden="1">{#N/A,#N/A,FALSE,"Income Statement"}</definedName>
    <definedName name="wrn.Income._.Q97." localSheetId="12" hidden="1">{#N/A,#N/A,FALSE,"Income Statement"}</definedName>
    <definedName name="wrn.Income._.Q97." hidden="1">{#N/A,#N/A,FALSE,"Income Statement"}</definedName>
    <definedName name="wrn.Income._.Statement." localSheetId="2" hidden="1">{"income statement",#N/A,FALSE,"ATLAS-A"}</definedName>
    <definedName name="wrn.Income._.Statement." localSheetId="10" hidden="1">{"income statement",#N/A,FALSE,"ATLAS-A"}</definedName>
    <definedName name="wrn.Income._.Statement." localSheetId="6" hidden="1">{"income statement",#N/A,FALSE,"ATLAS-A"}</definedName>
    <definedName name="wrn.Income._.Statement." localSheetId="8" hidden="1">{"income statement",#N/A,FALSE,"ATLAS-A"}</definedName>
    <definedName name="wrn.Income._.Statement." localSheetId="9" hidden="1">{"income statement",#N/A,FALSE,"ATLAS-A"}</definedName>
    <definedName name="wrn.Income._.Statement." localSheetId="3" hidden="1">{"income statement",#N/A,FALSE,"ATLAS-A"}</definedName>
    <definedName name="wrn.Income._.Statement." localSheetId="7" hidden="1">{"income statement",#N/A,FALSE,"ATLAS-A"}</definedName>
    <definedName name="wrn.Income._.Statement." localSheetId="12" hidden="1">{"income statement",#N/A,FALSE,"ATLAS-A"}</definedName>
    <definedName name="wrn.Income._.Statement." hidden="1">{"income statement",#N/A,FALSE,"ATLAS-A"}</definedName>
    <definedName name="wrn.Income._.Stmt." localSheetId="2" hidden="1">{"Income Stmt",#N/A,FALSE,"Model"}</definedName>
    <definedName name="wrn.Income._.Stmt." localSheetId="10" hidden="1">{"Income Stmt",#N/A,FALSE,"Model"}</definedName>
    <definedName name="wrn.Income._.Stmt." localSheetId="6" hidden="1">{"Income Stmt",#N/A,FALSE,"Model"}</definedName>
    <definedName name="wrn.Income._.Stmt." localSheetId="8" hidden="1">{"Income Stmt",#N/A,FALSE,"Model"}</definedName>
    <definedName name="wrn.Income._.Stmt." localSheetId="9" hidden="1">{"Income Stmt",#N/A,FALSE,"Model"}</definedName>
    <definedName name="wrn.Income._.Stmt." localSheetId="3" hidden="1">{"Income Stmt",#N/A,FALSE,"Model"}</definedName>
    <definedName name="wrn.Income._.Stmt." localSheetId="7" hidden="1">{"Income Stmt",#N/A,FALSE,"Model"}</definedName>
    <definedName name="wrn.Income._.Stmt." localSheetId="12" hidden="1">{"Income Stmt",#N/A,FALSE,"Model"}</definedName>
    <definedName name="wrn.Income._.Stmt." hidden="1">{"Income Stmt",#N/A,FALSE,"Model"}</definedName>
    <definedName name="wrn.Income._.Years." localSheetId="2" hidden="1">{#N/A,#N/A,FALSE,"Income Statement"}</definedName>
    <definedName name="wrn.Income._.Years." localSheetId="10" hidden="1">{#N/A,#N/A,FALSE,"Income Statement"}</definedName>
    <definedName name="wrn.Income._.Years." localSheetId="6" hidden="1">{#N/A,#N/A,FALSE,"Income Statement"}</definedName>
    <definedName name="wrn.Income._.Years." localSheetId="8" hidden="1">{#N/A,#N/A,FALSE,"Income Statement"}</definedName>
    <definedName name="wrn.Income._.Years." localSheetId="9" hidden="1">{#N/A,#N/A,FALSE,"Income Statement"}</definedName>
    <definedName name="wrn.Income._.Years." localSheetId="3" hidden="1">{#N/A,#N/A,FALSE,"Income Statement"}</definedName>
    <definedName name="wrn.Income._.Years." localSheetId="7" hidden="1">{#N/A,#N/A,FALSE,"Income Statement"}</definedName>
    <definedName name="wrn.Income._.Years." localSheetId="12" hidden="1">{#N/A,#N/A,FALSE,"Income Statement"}</definedName>
    <definedName name="wrn.Income._.Years." hidden="1">{#N/A,#N/A,FALSE,"Income Statement"}</definedName>
    <definedName name="wrn.India." localSheetId="2" hidden="1">{"India",#N/A,FALSE,"India"}</definedName>
    <definedName name="wrn.India." localSheetId="10" hidden="1">{"India",#N/A,FALSE,"India"}</definedName>
    <definedName name="wrn.India." localSheetId="6" hidden="1">{"India",#N/A,FALSE,"India"}</definedName>
    <definedName name="wrn.India." localSheetId="8" hidden="1">{"India",#N/A,FALSE,"India"}</definedName>
    <definedName name="wrn.India." localSheetId="9" hidden="1">{"India",#N/A,FALSE,"India"}</definedName>
    <definedName name="wrn.India." localSheetId="3" hidden="1">{"India",#N/A,FALSE,"India"}</definedName>
    <definedName name="wrn.India." localSheetId="7" hidden="1">{"India",#N/A,FALSE,"India"}</definedName>
    <definedName name="wrn.India." localSheetId="12" hidden="1">{"India",#N/A,FALSE,"India"}</definedName>
    <definedName name="wrn.India." hidden="1">{"India",#N/A,FALSE,"India"}</definedName>
    <definedName name="wrn.Industry.xls." localSheetId="2" hidden="1">{#N/A,#N/A,FALSE,"Earnings";#N/A,#N/A,FALSE,"Overview";#N/A,#N/A,FALSE,"Summary";#N/A,#N/A,FALSE,"Summary II";#N/A,#N/A,FALSE,"R&amp;D";#N/A,#N/A,FALSE,"R&amp;D Forecast";#N/A,#N/A,FALSE,"Tax Adj";#N/A,#N/A,FALSE,"Goodwill";#N/A,#N/A,FALSE,"FX ";#N/A,#N/A,FALSE,"Consolidation";#N/A,#N/A,FALSE,"Provisions"}</definedName>
    <definedName name="wrn.Industry.xls." localSheetId="10" hidden="1">{#N/A,#N/A,FALSE,"Earnings";#N/A,#N/A,FALSE,"Overview";#N/A,#N/A,FALSE,"Summary";#N/A,#N/A,FALSE,"Summary II";#N/A,#N/A,FALSE,"R&amp;D";#N/A,#N/A,FALSE,"R&amp;D Forecast";#N/A,#N/A,FALSE,"Tax Adj";#N/A,#N/A,FALSE,"Goodwill";#N/A,#N/A,FALSE,"FX ";#N/A,#N/A,FALSE,"Consolidation";#N/A,#N/A,FALSE,"Provisions"}</definedName>
    <definedName name="wrn.Industry.xls." localSheetId="6" hidden="1">{#N/A,#N/A,FALSE,"Earnings";#N/A,#N/A,FALSE,"Overview";#N/A,#N/A,FALSE,"Summary";#N/A,#N/A,FALSE,"Summary II";#N/A,#N/A,FALSE,"R&amp;D";#N/A,#N/A,FALSE,"R&amp;D Forecast";#N/A,#N/A,FALSE,"Tax Adj";#N/A,#N/A,FALSE,"Goodwill";#N/A,#N/A,FALSE,"FX ";#N/A,#N/A,FALSE,"Consolidation";#N/A,#N/A,FALSE,"Provisions"}</definedName>
    <definedName name="wrn.Industry.xls." localSheetId="8" hidden="1">{#N/A,#N/A,FALSE,"Earnings";#N/A,#N/A,FALSE,"Overview";#N/A,#N/A,FALSE,"Summary";#N/A,#N/A,FALSE,"Summary II";#N/A,#N/A,FALSE,"R&amp;D";#N/A,#N/A,FALSE,"R&amp;D Forecast";#N/A,#N/A,FALSE,"Tax Adj";#N/A,#N/A,FALSE,"Goodwill";#N/A,#N/A,FALSE,"FX ";#N/A,#N/A,FALSE,"Consolidation";#N/A,#N/A,FALSE,"Provisions"}</definedName>
    <definedName name="wrn.Industry.xls." localSheetId="9" hidden="1">{#N/A,#N/A,FALSE,"Earnings";#N/A,#N/A,FALSE,"Overview";#N/A,#N/A,FALSE,"Summary";#N/A,#N/A,FALSE,"Summary II";#N/A,#N/A,FALSE,"R&amp;D";#N/A,#N/A,FALSE,"R&amp;D Forecast";#N/A,#N/A,FALSE,"Tax Adj";#N/A,#N/A,FALSE,"Goodwill";#N/A,#N/A,FALSE,"FX ";#N/A,#N/A,FALSE,"Consolidation";#N/A,#N/A,FALSE,"Provisions"}</definedName>
    <definedName name="wrn.Industry.xls." localSheetId="3" hidden="1">{#N/A,#N/A,FALSE,"Earnings";#N/A,#N/A,FALSE,"Overview";#N/A,#N/A,FALSE,"Summary";#N/A,#N/A,FALSE,"Summary II";#N/A,#N/A,FALSE,"R&amp;D";#N/A,#N/A,FALSE,"R&amp;D Forecast";#N/A,#N/A,FALSE,"Tax Adj";#N/A,#N/A,FALSE,"Goodwill";#N/A,#N/A,FALSE,"FX ";#N/A,#N/A,FALSE,"Consolidation";#N/A,#N/A,FALSE,"Provisions"}</definedName>
    <definedName name="wrn.Industry.xls." localSheetId="7" hidden="1">{#N/A,#N/A,FALSE,"Earnings";#N/A,#N/A,FALSE,"Overview";#N/A,#N/A,FALSE,"Summary";#N/A,#N/A,FALSE,"Summary II";#N/A,#N/A,FALSE,"R&amp;D";#N/A,#N/A,FALSE,"R&amp;D Forecast";#N/A,#N/A,FALSE,"Tax Adj";#N/A,#N/A,FALSE,"Goodwill";#N/A,#N/A,FALSE,"FX ";#N/A,#N/A,FALSE,"Consolidation";#N/A,#N/A,FALSE,"Provisions"}</definedName>
    <definedName name="wrn.Industry.xls." localSheetId="12"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ternal._.is." localSheetId="2" hidden="1">{"Internal is",#N/A,FALSE,"Model"}</definedName>
    <definedName name="wrn.Internal._.is." localSheetId="10" hidden="1">{"Internal is",#N/A,FALSE,"Model"}</definedName>
    <definedName name="wrn.Internal._.is." localSheetId="6" hidden="1">{"Internal is",#N/A,FALSE,"Model"}</definedName>
    <definedName name="wrn.Internal._.is." localSheetId="8" hidden="1">{"Internal is",#N/A,FALSE,"Model"}</definedName>
    <definedName name="wrn.Internal._.is." localSheetId="9" hidden="1">{"Internal is",#N/A,FALSE,"Model"}</definedName>
    <definedName name="wrn.Internal._.is." localSheetId="3" hidden="1">{"Internal is",#N/A,FALSE,"Model"}</definedName>
    <definedName name="wrn.Internal._.is." localSheetId="7" hidden="1">{"Internal is",#N/A,FALSE,"Model"}</definedName>
    <definedName name="wrn.Internal._.is." localSheetId="12" hidden="1">{"Internal is",#N/A,FALSE,"Model"}</definedName>
    <definedName name="wrn.Internal._.is." hidden="1">{"Internal is",#N/A,FALSE,"Model"}</definedName>
    <definedName name="wrn.IS._.All." localSheetId="2" hidden="1">{"IS Q95",#N/A,FALSE,"C";"IS Q96",#N/A,FALSE,"C";"IS Years",#N/A,FALSE,"C"}</definedName>
    <definedName name="wrn.IS._.All." localSheetId="10" hidden="1">{"IS Q95",#N/A,FALSE,"C";"IS Q96",#N/A,FALSE,"C";"IS Years",#N/A,FALSE,"C"}</definedName>
    <definedName name="wrn.IS._.All." localSheetId="6" hidden="1">{"IS Q95",#N/A,FALSE,"C";"IS Q96",#N/A,FALSE,"C";"IS Years",#N/A,FALSE,"C"}</definedName>
    <definedName name="wrn.IS._.All." localSheetId="8" hidden="1">{"IS Q95",#N/A,FALSE,"C";"IS Q96",#N/A,FALSE,"C";"IS Years",#N/A,FALSE,"C"}</definedName>
    <definedName name="wrn.IS._.All." localSheetId="9" hidden="1">{"IS Q95",#N/A,FALSE,"C";"IS Q96",#N/A,FALSE,"C";"IS Years",#N/A,FALSE,"C"}</definedName>
    <definedName name="wrn.IS._.All." localSheetId="3" hidden="1">{"IS Q95",#N/A,FALSE,"C";"IS Q96",#N/A,FALSE,"C";"IS Years",#N/A,FALSE,"C"}</definedName>
    <definedName name="wrn.IS._.All." localSheetId="7" hidden="1">{"IS Q95",#N/A,FALSE,"C";"IS Q96",#N/A,FALSE,"C";"IS Years",#N/A,FALSE,"C"}</definedName>
    <definedName name="wrn.IS._.All." localSheetId="12" hidden="1">{"IS Q95",#N/A,FALSE,"C";"IS Q96",#N/A,FALSE,"C";"IS Years",#N/A,FALSE,"C"}</definedName>
    <definedName name="wrn.IS._.All." hidden="1">{"IS Q95",#N/A,FALSE,"C";"IS Q96",#N/A,FALSE,"C";"IS Years",#N/A,FALSE,"C"}</definedName>
    <definedName name="wrn.IS._.Annual." localSheetId="2" hidden="1">{"IS Annual",#N/A,FALSE,"Income Statement"}</definedName>
    <definedName name="wrn.IS._.Annual." localSheetId="10" hidden="1">{"IS Annual",#N/A,FALSE,"Income Statement"}</definedName>
    <definedName name="wrn.IS._.Annual." localSheetId="6" hidden="1">{"IS Annual",#N/A,FALSE,"Income Statement"}</definedName>
    <definedName name="wrn.IS._.Annual." localSheetId="8" hidden="1">{"IS Annual",#N/A,FALSE,"Income Statement"}</definedName>
    <definedName name="wrn.IS._.Annual." localSheetId="9" hidden="1">{"IS Annual",#N/A,FALSE,"Income Statement"}</definedName>
    <definedName name="wrn.IS._.Annual." localSheetId="3" hidden="1">{"IS Annual",#N/A,FALSE,"Income Statement"}</definedName>
    <definedName name="wrn.IS._.Annual." localSheetId="7" hidden="1">{"IS Annual",#N/A,FALSE,"Income Statement"}</definedName>
    <definedName name="wrn.IS._.Annual." localSheetId="12" hidden="1">{"IS Annual",#N/A,FALSE,"Income Statement"}</definedName>
    <definedName name="wrn.IS._.Annual." hidden="1">{"IS Annual",#N/A,FALSE,"Income Statement"}</definedName>
    <definedName name="wrn.IS._.Q._.96." localSheetId="2" hidden="1">{"IS Q 96",#N/A,FALSE,"C"}</definedName>
    <definedName name="wrn.IS._.Q._.96." localSheetId="10" hidden="1">{"IS Q 96",#N/A,FALSE,"C"}</definedName>
    <definedName name="wrn.IS._.Q._.96." localSheetId="6" hidden="1">{"IS Q 96",#N/A,FALSE,"C"}</definedName>
    <definedName name="wrn.IS._.Q._.96." localSheetId="8" hidden="1">{"IS Q 96",#N/A,FALSE,"C"}</definedName>
    <definedName name="wrn.IS._.Q._.96." localSheetId="9" hidden="1">{"IS Q 96",#N/A,FALSE,"C"}</definedName>
    <definedName name="wrn.IS._.Q._.96." localSheetId="3" hidden="1">{"IS Q 96",#N/A,FALSE,"C"}</definedName>
    <definedName name="wrn.IS._.Q._.96." localSheetId="7" hidden="1">{"IS Q 96",#N/A,FALSE,"C"}</definedName>
    <definedName name="wrn.IS._.Q._.96." localSheetId="12" hidden="1">{"IS Q 96",#N/A,FALSE,"C"}</definedName>
    <definedName name="wrn.IS._.Q._.96." hidden="1">{"IS Q 96",#N/A,FALSE,"C"}</definedName>
    <definedName name="wrn.IS._.Q95." localSheetId="2" hidden="1">{"IS Q95",#N/A,FALSE,"C"}</definedName>
    <definedName name="wrn.IS._.Q95." localSheetId="10" hidden="1">{"IS Q95",#N/A,FALSE,"C"}</definedName>
    <definedName name="wrn.IS._.Q95." localSheetId="6" hidden="1">{"IS Q95",#N/A,FALSE,"C"}</definedName>
    <definedName name="wrn.IS._.Q95." localSheetId="8" hidden="1">{"IS Q95",#N/A,FALSE,"C"}</definedName>
    <definedName name="wrn.IS._.Q95." localSheetId="9" hidden="1">{"IS Q95",#N/A,FALSE,"C"}</definedName>
    <definedName name="wrn.IS._.Q95." localSheetId="3" hidden="1">{"IS Q95",#N/A,FALSE,"C"}</definedName>
    <definedName name="wrn.IS._.Q95." localSheetId="7" hidden="1">{"IS Q95",#N/A,FALSE,"C"}</definedName>
    <definedName name="wrn.IS._.Q95." localSheetId="12" hidden="1">{"IS Q95",#N/A,FALSE,"C"}</definedName>
    <definedName name="wrn.IS._.Q95." hidden="1">{"IS Q95",#N/A,FALSE,"C"}</definedName>
    <definedName name="wrn.IS._.Q96." localSheetId="2" hidden="1">{"IS Q96",#N/A,FALSE,"C"}</definedName>
    <definedName name="wrn.IS._.Q96." localSheetId="10" hidden="1">{"IS Q96",#N/A,FALSE,"C"}</definedName>
    <definedName name="wrn.IS._.Q96." localSheetId="6" hidden="1">{"IS Q96",#N/A,FALSE,"C"}</definedName>
    <definedName name="wrn.IS._.Q96." localSheetId="8" hidden="1">{"IS Q96",#N/A,FALSE,"C"}</definedName>
    <definedName name="wrn.IS._.Q96." localSheetId="9" hidden="1">{"IS Q96",#N/A,FALSE,"C"}</definedName>
    <definedName name="wrn.IS._.Q96." localSheetId="3" hidden="1">{"IS Q96",#N/A,FALSE,"C"}</definedName>
    <definedName name="wrn.IS._.Q96." localSheetId="7" hidden="1">{"IS Q96",#N/A,FALSE,"C"}</definedName>
    <definedName name="wrn.IS._.Q96." localSheetId="12" hidden="1">{"IS Q96",#N/A,FALSE,"C"}</definedName>
    <definedName name="wrn.IS._.Q96." hidden="1">{"IS Q96",#N/A,FALSE,"C"}</definedName>
    <definedName name="wrn.IS._.Q97." localSheetId="2" hidden="1">{"IS Q97",#N/A,FALSE,"C"}</definedName>
    <definedName name="wrn.IS._.Q97." localSheetId="10" hidden="1">{"IS Q97",#N/A,FALSE,"C"}</definedName>
    <definedName name="wrn.IS._.Q97." localSheetId="6" hidden="1">{"IS Q97",#N/A,FALSE,"C"}</definedName>
    <definedName name="wrn.IS._.Q97." localSheetId="8" hidden="1">{"IS Q97",#N/A,FALSE,"C"}</definedName>
    <definedName name="wrn.IS._.Q97." localSheetId="9" hidden="1">{"IS Q97",#N/A,FALSE,"C"}</definedName>
    <definedName name="wrn.IS._.Q97." localSheetId="3" hidden="1">{"IS Q97",#N/A,FALSE,"C"}</definedName>
    <definedName name="wrn.IS._.Q97." localSheetId="7" hidden="1">{"IS Q97",#N/A,FALSE,"C"}</definedName>
    <definedName name="wrn.IS._.Q97." localSheetId="12" hidden="1">{"IS Q97",#N/A,FALSE,"C"}</definedName>
    <definedName name="wrn.IS._.Q97." hidden="1">{"IS Q97",#N/A,FALSE,"C"}</definedName>
    <definedName name="wrn.IS._.Qtr.." localSheetId="2" hidden="1">{"IS Qtr.",#N/A,FALSE,"Income Statement"}</definedName>
    <definedName name="wrn.IS._.Qtr.." localSheetId="10" hidden="1">{"IS Qtr.",#N/A,FALSE,"Income Statement"}</definedName>
    <definedName name="wrn.IS._.Qtr.." localSheetId="6" hidden="1">{"IS Qtr.",#N/A,FALSE,"Income Statement"}</definedName>
    <definedName name="wrn.IS._.Qtr.." localSheetId="8" hidden="1">{"IS Qtr.",#N/A,FALSE,"Income Statement"}</definedName>
    <definedName name="wrn.IS._.Qtr.." localSheetId="9" hidden="1">{"IS Qtr.",#N/A,FALSE,"Income Statement"}</definedName>
    <definedName name="wrn.IS._.Qtr.." localSheetId="3" hidden="1">{"IS Qtr.",#N/A,FALSE,"Income Statement"}</definedName>
    <definedName name="wrn.IS._.Qtr.." localSheetId="7" hidden="1">{"IS Qtr.",#N/A,FALSE,"Income Statement"}</definedName>
    <definedName name="wrn.IS._.Qtr.." localSheetId="12" hidden="1">{"IS Qtr.",#N/A,FALSE,"Income Statement"}</definedName>
    <definedName name="wrn.IS._.Qtr.." hidden="1">{"IS Qtr.",#N/A,FALSE,"Income Statement"}</definedName>
    <definedName name="wrn.IS._.Quarterly." localSheetId="2" hidden="1">{"IS 96Q",#N/A,FALSE,"Income Statement";"IS 97Q",#N/A,FALSE,"Income Statement"}</definedName>
    <definedName name="wrn.IS._.Quarterly." localSheetId="10" hidden="1">{"IS 96Q",#N/A,FALSE,"Income Statement";"IS 97Q",#N/A,FALSE,"Income Statement"}</definedName>
    <definedName name="wrn.IS._.Quarterly." localSheetId="6" hidden="1">{"IS 96Q",#N/A,FALSE,"Income Statement";"IS 97Q",#N/A,FALSE,"Income Statement"}</definedName>
    <definedName name="wrn.IS._.Quarterly." localSheetId="8" hidden="1">{"IS 96Q",#N/A,FALSE,"Income Statement";"IS 97Q",#N/A,FALSE,"Income Statement"}</definedName>
    <definedName name="wrn.IS._.Quarterly." localSheetId="9" hidden="1">{"IS 96Q",#N/A,FALSE,"Income Statement";"IS 97Q",#N/A,FALSE,"Income Statement"}</definedName>
    <definedName name="wrn.IS._.Quarterly." localSheetId="3" hidden="1">{"IS 96Q",#N/A,FALSE,"Income Statement";"IS 97Q",#N/A,FALSE,"Income Statement"}</definedName>
    <definedName name="wrn.IS._.Quarterly." localSheetId="7" hidden="1">{"IS 96Q",#N/A,FALSE,"Income Statement";"IS 97Q",#N/A,FALSE,"Income Statement"}</definedName>
    <definedName name="wrn.IS._.Quarterly." localSheetId="12" hidden="1">{"IS 96Q",#N/A,FALSE,"Income Statement";"IS 97Q",#N/A,FALSE,"Income Statement"}</definedName>
    <definedName name="wrn.IS._.Quarterly." hidden="1">{"IS 96Q",#N/A,FALSE,"Income Statement";"IS 97Q",#N/A,FALSE,"Income Statement"}</definedName>
    <definedName name="wrn.IS._.Yearly." localSheetId="2" hidden="1">{"IS Years",#N/A,FALSE,"Income Statement"}</definedName>
    <definedName name="wrn.IS._.Yearly." localSheetId="10" hidden="1">{"IS Years",#N/A,FALSE,"Income Statement"}</definedName>
    <definedName name="wrn.IS._.Yearly." localSheetId="6" hidden="1">{"IS Years",#N/A,FALSE,"Income Statement"}</definedName>
    <definedName name="wrn.IS._.Yearly." localSheetId="8" hidden="1">{"IS Years",#N/A,FALSE,"Income Statement"}</definedName>
    <definedName name="wrn.IS._.Yearly." localSheetId="9" hidden="1">{"IS Years",#N/A,FALSE,"Income Statement"}</definedName>
    <definedName name="wrn.IS._.Yearly." localSheetId="3" hidden="1">{"IS Years",#N/A,FALSE,"Income Statement"}</definedName>
    <definedName name="wrn.IS._.Yearly." localSheetId="7" hidden="1">{"IS Years",#N/A,FALSE,"Income Statement"}</definedName>
    <definedName name="wrn.IS._.Yearly." localSheetId="12" hidden="1">{"IS Years",#N/A,FALSE,"Income Statement"}</definedName>
    <definedName name="wrn.IS._.Yearly." hidden="1">{"IS Years",#N/A,FALSE,"Income Statement"}</definedName>
    <definedName name="wrn.IS._.Years." localSheetId="2" hidden="1">{"IS Years",#N/A,FALSE,"C"}</definedName>
    <definedName name="wrn.IS._.Years." localSheetId="10" hidden="1">{"IS Years",#N/A,FALSE,"C"}</definedName>
    <definedName name="wrn.IS._.Years." localSheetId="6" hidden="1">{"IS Years",#N/A,FALSE,"C"}</definedName>
    <definedName name="wrn.IS._.Years." localSheetId="8" hidden="1">{"IS Years",#N/A,FALSE,"C"}</definedName>
    <definedName name="wrn.IS._.Years." localSheetId="9" hidden="1">{"IS Years",#N/A,FALSE,"C"}</definedName>
    <definedName name="wrn.IS._.Years." localSheetId="3" hidden="1">{"IS Years",#N/A,FALSE,"C"}</definedName>
    <definedName name="wrn.IS._.Years." localSheetId="7" hidden="1">{"IS Years",#N/A,FALSE,"C"}</definedName>
    <definedName name="wrn.IS._.Years." localSheetId="12" hidden="1">{"IS Years",#N/A,FALSE,"C"}</definedName>
    <definedName name="wrn.IS._.Years." hidden="1">{"IS Years",#N/A,FALSE,"C"}</definedName>
    <definedName name="wrn.JODM._.Graphs." localSheetId="2" hidden="1">{"graph",#N/A,FALSE,"WWJU";"graph",#N/A,FALSE,"WWSEM";"graph",#N/A,FALSE,"GOMJU";"graph",#N/A,FALSE,"GOMSEM";"graph",#N/A,FALSE,"NSJU";"graph",#N/A,FALSE,"NSSEM";"graph",#N/A,FALSE,"WAJU";"graph",#N/A,FALSE,"STOCKPRI";"graph",#N/A,FALSE,"CFTEV";"graph",#N/A,FALSE,"NAV-RCV";"graph",#N/A,FALSE,"CRUDEWW"}</definedName>
    <definedName name="wrn.JODM._.Graphs." localSheetId="10" hidden="1">{"graph",#N/A,FALSE,"WWJU";"graph",#N/A,FALSE,"WWSEM";"graph",#N/A,FALSE,"GOMJU";"graph",#N/A,FALSE,"GOMSEM";"graph",#N/A,FALSE,"NSJU";"graph",#N/A,FALSE,"NSSEM";"graph",#N/A,FALSE,"WAJU";"graph",#N/A,FALSE,"STOCKPRI";"graph",#N/A,FALSE,"CFTEV";"graph",#N/A,FALSE,"NAV-RCV";"graph",#N/A,FALSE,"CRUDEWW"}</definedName>
    <definedName name="wrn.JODM._.Graphs." localSheetId="6" hidden="1">{"graph",#N/A,FALSE,"WWJU";"graph",#N/A,FALSE,"WWSEM";"graph",#N/A,FALSE,"GOMJU";"graph",#N/A,FALSE,"GOMSEM";"graph",#N/A,FALSE,"NSJU";"graph",#N/A,FALSE,"NSSEM";"graph",#N/A,FALSE,"WAJU";"graph",#N/A,FALSE,"STOCKPRI";"graph",#N/A,FALSE,"CFTEV";"graph",#N/A,FALSE,"NAV-RCV";"graph",#N/A,FALSE,"CRUDEWW"}</definedName>
    <definedName name="wrn.JODM._.Graphs." localSheetId="8" hidden="1">{"graph",#N/A,FALSE,"WWJU";"graph",#N/A,FALSE,"WWSEM";"graph",#N/A,FALSE,"GOMJU";"graph",#N/A,FALSE,"GOMSEM";"graph",#N/A,FALSE,"NSJU";"graph",#N/A,FALSE,"NSSEM";"graph",#N/A,FALSE,"WAJU";"graph",#N/A,FALSE,"STOCKPRI";"graph",#N/A,FALSE,"CFTEV";"graph",#N/A,FALSE,"NAV-RCV";"graph",#N/A,FALSE,"CRUDEWW"}</definedName>
    <definedName name="wrn.JODM._.Graphs." localSheetId="9" hidden="1">{"graph",#N/A,FALSE,"WWJU";"graph",#N/A,FALSE,"WWSEM";"graph",#N/A,FALSE,"GOMJU";"graph",#N/A,FALSE,"GOMSEM";"graph",#N/A,FALSE,"NSJU";"graph",#N/A,FALSE,"NSSEM";"graph",#N/A,FALSE,"WAJU";"graph",#N/A,FALSE,"STOCKPRI";"graph",#N/A,FALSE,"CFTEV";"graph",#N/A,FALSE,"NAV-RCV";"graph",#N/A,FALSE,"CRUDEWW"}</definedName>
    <definedName name="wrn.JODM._.Graphs." localSheetId="3" hidden="1">{"graph",#N/A,FALSE,"WWJU";"graph",#N/A,FALSE,"WWSEM";"graph",#N/A,FALSE,"GOMJU";"graph",#N/A,FALSE,"GOMSEM";"graph",#N/A,FALSE,"NSJU";"graph",#N/A,FALSE,"NSSEM";"graph",#N/A,FALSE,"WAJU";"graph",#N/A,FALSE,"STOCKPRI";"graph",#N/A,FALSE,"CFTEV";"graph",#N/A,FALSE,"NAV-RCV";"graph",#N/A,FALSE,"CRUDEWW"}</definedName>
    <definedName name="wrn.JODM._.Graphs." localSheetId="7" hidden="1">{"graph",#N/A,FALSE,"WWJU";"graph",#N/A,FALSE,"WWSEM";"graph",#N/A,FALSE,"GOMJU";"graph",#N/A,FALSE,"GOMSEM";"graph",#N/A,FALSE,"NSJU";"graph",#N/A,FALSE,"NSSEM";"graph",#N/A,FALSE,"WAJU";"graph",#N/A,FALSE,"STOCKPRI";"graph",#N/A,FALSE,"CFTEV";"graph",#N/A,FALSE,"NAV-RCV";"graph",#N/A,FALSE,"CRUDEWW"}</definedName>
    <definedName name="wrn.JODM._.Graphs." localSheetId="12"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Leases.xls." localSheetId="2" hidden="1">{#N/A,#N/A,FALSE,"Initial Year";#N/A,#N/A,FALSE,"Historical";#N/A,#N/A,FALSE,"balsheet";#N/A,#N/A,FALSE,"incstate";#N/A,#N/A,FALSE,"Fleet"}</definedName>
    <definedName name="wrn.Leases.xls." localSheetId="10" hidden="1">{#N/A,#N/A,FALSE,"Initial Year";#N/A,#N/A,FALSE,"Historical";#N/A,#N/A,FALSE,"balsheet";#N/A,#N/A,FALSE,"incstate";#N/A,#N/A,FALSE,"Fleet"}</definedName>
    <definedName name="wrn.Leases.xls." localSheetId="6" hidden="1">{#N/A,#N/A,FALSE,"Initial Year";#N/A,#N/A,FALSE,"Historical";#N/A,#N/A,FALSE,"balsheet";#N/A,#N/A,FALSE,"incstate";#N/A,#N/A,FALSE,"Fleet"}</definedName>
    <definedName name="wrn.Leases.xls." localSheetId="8" hidden="1">{#N/A,#N/A,FALSE,"Initial Year";#N/A,#N/A,FALSE,"Historical";#N/A,#N/A,FALSE,"balsheet";#N/A,#N/A,FALSE,"incstate";#N/A,#N/A,FALSE,"Fleet"}</definedName>
    <definedName name="wrn.Leases.xls." localSheetId="9" hidden="1">{#N/A,#N/A,FALSE,"Initial Year";#N/A,#N/A,FALSE,"Historical";#N/A,#N/A,FALSE,"balsheet";#N/A,#N/A,FALSE,"incstate";#N/A,#N/A,FALSE,"Fleet"}</definedName>
    <definedName name="wrn.Leases.xls." localSheetId="3" hidden="1">{#N/A,#N/A,FALSE,"Initial Year";#N/A,#N/A,FALSE,"Historical";#N/A,#N/A,FALSE,"balsheet";#N/A,#N/A,FALSE,"incstate";#N/A,#N/A,FALSE,"Fleet"}</definedName>
    <definedName name="wrn.Leases.xls." localSheetId="7" hidden="1">{#N/A,#N/A,FALSE,"Initial Year";#N/A,#N/A,FALSE,"Historical";#N/A,#N/A,FALSE,"balsheet";#N/A,#N/A,FALSE,"incstate";#N/A,#N/A,FALSE,"Fleet"}</definedName>
    <definedName name="wrn.Leases.xls." localSheetId="12" hidden="1">{#N/A,#N/A,FALSE,"Initial Year";#N/A,#N/A,FALSE,"Historical";#N/A,#N/A,FALSE,"balsheet";#N/A,#N/A,FALSE,"incstate";#N/A,#N/A,FALSE,"Fleet"}</definedName>
    <definedName name="wrn.Leases.xls." hidden="1">{#N/A,#N/A,FALSE,"Initial Year";#N/A,#N/A,FALSE,"Historical";#N/A,#N/A,FALSE,"balsheet";#N/A,#N/A,FALSE,"incstate";#N/A,#N/A,FALSE,"Fleet"}</definedName>
    <definedName name="wrn.Lodging." localSheetId="2" hidden="1">{#N/A,#N/A,FALSE,"EPS";#N/A,#N/A,FALSE,"EBITDA"}</definedName>
    <definedName name="wrn.Lodging." localSheetId="10" hidden="1">{#N/A,#N/A,FALSE,"EPS";#N/A,#N/A,FALSE,"EBITDA"}</definedName>
    <definedName name="wrn.Lodging." localSheetId="6" hidden="1">{#N/A,#N/A,FALSE,"EPS";#N/A,#N/A,FALSE,"EBITDA"}</definedName>
    <definedName name="wrn.Lodging." localSheetId="8" hidden="1">{#N/A,#N/A,FALSE,"EPS";#N/A,#N/A,FALSE,"EBITDA"}</definedName>
    <definedName name="wrn.Lodging." localSheetId="9" hidden="1">{#N/A,#N/A,FALSE,"EPS";#N/A,#N/A,FALSE,"EBITDA"}</definedName>
    <definedName name="wrn.Lodging." localSheetId="3" hidden="1">{#N/A,#N/A,FALSE,"EPS";#N/A,#N/A,FALSE,"EBITDA"}</definedName>
    <definedName name="wrn.Lodging." localSheetId="7" hidden="1">{#N/A,#N/A,FALSE,"EPS";#N/A,#N/A,FALSE,"EBITDA"}</definedName>
    <definedName name="wrn.Lodging." localSheetId="12" hidden="1">{#N/A,#N/A,FALSE,"EPS";#N/A,#N/A,FALSE,"EBITDA"}</definedName>
    <definedName name="wrn.Lodging." hidden="1">{#N/A,#N/A,FALSE,"EPS";#N/A,#N/A,FALSE,"EBITDA"}</definedName>
    <definedName name="wrn.Main._.Fields." localSheetId="2"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0"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6"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9"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7"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2"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rketing._.Programs." localSheetId="2" hidden="1">{"Marketing",#N/A,FALSE,"Marketing Programs"}</definedName>
    <definedName name="wrn.Marketing._.Programs." localSheetId="10" hidden="1">{"Marketing",#N/A,FALSE,"Marketing Programs"}</definedName>
    <definedName name="wrn.Marketing._.Programs." localSheetId="6" hidden="1">{"Marketing",#N/A,FALSE,"Marketing Programs"}</definedName>
    <definedName name="wrn.Marketing._.Programs." localSheetId="8" hidden="1">{"Marketing",#N/A,FALSE,"Marketing Programs"}</definedName>
    <definedName name="wrn.Marketing._.Programs." localSheetId="9" hidden="1">{"Marketing",#N/A,FALSE,"Marketing Programs"}</definedName>
    <definedName name="wrn.Marketing._.Programs." localSheetId="3" hidden="1">{"Marketing",#N/A,FALSE,"Marketing Programs"}</definedName>
    <definedName name="wrn.Marketing._.Programs." localSheetId="7" hidden="1">{"Marketing",#N/A,FALSE,"Marketing Programs"}</definedName>
    <definedName name="wrn.Marketing._.Programs." localSheetId="12" hidden="1">{"Marketing",#N/A,FALSE,"Marketing Programs"}</definedName>
    <definedName name="wrn.Marketing._.Programs." hidden="1">{"Marketing",#N/A,FALSE,"Marketing Programs"}</definedName>
    <definedName name="wrn.mirBellagio." localSheetId="2" hidden="1">{#N/A,#N/A,FALSE,"MIR";#N/A,#N/A,FALSE,"NYNY"}</definedName>
    <definedName name="wrn.mirBellagio." localSheetId="10" hidden="1">{#N/A,#N/A,FALSE,"MIR";#N/A,#N/A,FALSE,"NYNY"}</definedName>
    <definedName name="wrn.mirBellagio." localSheetId="6" hidden="1">{#N/A,#N/A,FALSE,"MIR";#N/A,#N/A,FALSE,"NYNY"}</definedName>
    <definedName name="wrn.mirBellagio." localSheetId="8" hidden="1">{#N/A,#N/A,FALSE,"MIR";#N/A,#N/A,FALSE,"NYNY"}</definedName>
    <definedName name="wrn.mirBellagio." localSheetId="9" hidden="1">{#N/A,#N/A,FALSE,"MIR";#N/A,#N/A,FALSE,"NYNY"}</definedName>
    <definedName name="wrn.mirBellagio." localSheetId="3" hidden="1">{#N/A,#N/A,FALSE,"MIR";#N/A,#N/A,FALSE,"NYNY"}</definedName>
    <definedName name="wrn.mirBellagio." localSheetId="7" hidden="1">{#N/A,#N/A,FALSE,"MIR";#N/A,#N/A,FALSE,"NYNY"}</definedName>
    <definedName name="wrn.mirBellagio." localSheetId="12" hidden="1">{#N/A,#N/A,FALSE,"MIR";#N/A,#N/A,FALSE,"NYNY"}</definedName>
    <definedName name="wrn.mirBellagio." hidden="1">{#N/A,#N/A,FALSE,"MIR";#N/A,#N/A,FALSE,"NYNY"}</definedName>
    <definedName name="wrn.MOBIL." localSheetId="2" hidden="1">{"quarter",#N/A,FALSE,"MOB"}</definedName>
    <definedName name="wrn.MOBIL." localSheetId="10" hidden="1">{"quarter",#N/A,FALSE,"MOB"}</definedName>
    <definedName name="wrn.MOBIL." localSheetId="6" hidden="1">{"quarter",#N/A,FALSE,"MOB"}</definedName>
    <definedName name="wrn.MOBIL." localSheetId="8" hidden="1">{"quarter",#N/A,FALSE,"MOB"}</definedName>
    <definedName name="wrn.MOBIL." localSheetId="9" hidden="1">{"quarter",#N/A,FALSE,"MOB"}</definedName>
    <definedName name="wrn.MOBIL." localSheetId="3" hidden="1">{"quarter",#N/A,FALSE,"MOB"}</definedName>
    <definedName name="wrn.MOBIL." localSheetId="7" hidden="1">{"quarter",#N/A,FALSE,"MOB"}</definedName>
    <definedName name="wrn.MOBIL." localSheetId="12" hidden="1">{"quarter",#N/A,FALSE,"MOB"}</definedName>
    <definedName name="wrn.MOBIL." hidden="1">{"quarter",#N/A,FALSE,"MOB"}</definedName>
    <definedName name="wrn.Model." localSheetId="2" hidden="1">{#N/A,#N/A,FALSE,"PRH";#N/A,#N/A,FALSE,"Units"}</definedName>
    <definedName name="wrn.Model." localSheetId="10" hidden="1">{#N/A,#N/A,FALSE,"PRH";#N/A,#N/A,FALSE,"Units"}</definedName>
    <definedName name="wrn.Model." localSheetId="6" hidden="1">{#N/A,#N/A,FALSE,"PRH";#N/A,#N/A,FALSE,"Units"}</definedName>
    <definedName name="wrn.Model." localSheetId="8" hidden="1">{#N/A,#N/A,FALSE,"PRH";#N/A,#N/A,FALSE,"Units"}</definedName>
    <definedName name="wrn.Model." localSheetId="9" hidden="1">{#N/A,#N/A,FALSE,"PRH";#N/A,#N/A,FALSE,"Units"}</definedName>
    <definedName name="wrn.Model." localSheetId="3" hidden="1">{#N/A,#N/A,FALSE,"PRH";#N/A,#N/A,FALSE,"Units"}</definedName>
    <definedName name="wrn.Model." localSheetId="7" hidden="1">{#N/A,#N/A,FALSE,"PRH";#N/A,#N/A,FALSE,"Units"}</definedName>
    <definedName name="wrn.Model." localSheetId="12" hidden="1">{#N/A,#N/A,FALSE,"PRH";#N/A,#N/A,FALSE,"Units"}</definedName>
    <definedName name="wrn.Model." hidden="1">{#N/A,#N/A,FALSE,"PRH";#N/A,#N/A,FALSE,"Units"}</definedName>
    <definedName name="wrn.MODELS." localSheetId="2"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0"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6"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8"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9"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3"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7"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2"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nthly." localSheetId="2" hidden="1">{#N/A,#N/A,FALSE,"Running Total";#N/A,#N/A,FALSE,"Oct 96";#N/A,#N/A,FALSE,"Nov 96";#N/A,#N/A,FALSE,"Dec 96";#N/A,#N/A,FALSE,"Jan 97";#N/A,#N/A,FALSE,"Feb 97";#N/A,#N/A,FALSE,"Mar 97";#N/A,#N/A,FALSE,"Apr 97";#N/A,#N/A,FALSE,"May 97";#N/A,#N/A,FALSE,"June 97";#N/A,#N/A,FALSE,"July 97"}</definedName>
    <definedName name="wrn.monthly." localSheetId="10" hidden="1">{#N/A,#N/A,FALSE,"Running Total";#N/A,#N/A,FALSE,"Oct 96";#N/A,#N/A,FALSE,"Nov 96";#N/A,#N/A,FALSE,"Dec 96";#N/A,#N/A,FALSE,"Jan 97";#N/A,#N/A,FALSE,"Feb 97";#N/A,#N/A,FALSE,"Mar 97";#N/A,#N/A,FALSE,"Apr 97";#N/A,#N/A,FALSE,"May 97";#N/A,#N/A,FALSE,"June 97";#N/A,#N/A,FALSE,"July 97"}</definedName>
    <definedName name="wrn.monthly." localSheetId="6" hidden="1">{#N/A,#N/A,FALSE,"Running Total";#N/A,#N/A,FALSE,"Oct 96";#N/A,#N/A,FALSE,"Nov 96";#N/A,#N/A,FALSE,"Dec 96";#N/A,#N/A,FALSE,"Jan 97";#N/A,#N/A,FALSE,"Feb 97";#N/A,#N/A,FALSE,"Mar 97";#N/A,#N/A,FALSE,"Apr 97";#N/A,#N/A,FALSE,"May 97";#N/A,#N/A,FALSE,"June 97";#N/A,#N/A,FALSE,"July 97"}</definedName>
    <definedName name="wrn.monthly." localSheetId="8" hidden="1">{#N/A,#N/A,FALSE,"Running Total";#N/A,#N/A,FALSE,"Oct 96";#N/A,#N/A,FALSE,"Nov 96";#N/A,#N/A,FALSE,"Dec 96";#N/A,#N/A,FALSE,"Jan 97";#N/A,#N/A,FALSE,"Feb 97";#N/A,#N/A,FALSE,"Mar 97";#N/A,#N/A,FALSE,"Apr 97";#N/A,#N/A,FALSE,"May 97";#N/A,#N/A,FALSE,"June 97";#N/A,#N/A,FALSE,"July 97"}</definedName>
    <definedName name="wrn.monthly." localSheetId="9" hidden="1">{#N/A,#N/A,FALSE,"Running Total";#N/A,#N/A,FALSE,"Oct 96";#N/A,#N/A,FALSE,"Nov 96";#N/A,#N/A,FALSE,"Dec 96";#N/A,#N/A,FALSE,"Jan 97";#N/A,#N/A,FALSE,"Feb 97";#N/A,#N/A,FALSE,"Mar 97";#N/A,#N/A,FALSE,"Apr 97";#N/A,#N/A,FALSE,"May 97";#N/A,#N/A,FALSE,"June 97";#N/A,#N/A,FALSE,"July 97"}</definedName>
    <definedName name="wrn.monthly." localSheetId="3" hidden="1">{#N/A,#N/A,FALSE,"Running Total";#N/A,#N/A,FALSE,"Oct 96";#N/A,#N/A,FALSE,"Nov 96";#N/A,#N/A,FALSE,"Dec 96";#N/A,#N/A,FALSE,"Jan 97";#N/A,#N/A,FALSE,"Feb 97";#N/A,#N/A,FALSE,"Mar 97";#N/A,#N/A,FALSE,"Apr 97";#N/A,#N/A,FALSE,"May 97";#N/A,#N/A,FALSE,"June 97";#N/A,#N/A,FALSE,"July 97"}</definedName>
    <definedName name="wrn.monthly." localSheetId="7" hidden="1">{#N/A,#N/A,FALSE,"Running Total";#N/A,#N/A,FALSE,"Oct 96";#N/A,#N/A,FALSE,"Nov 96";#N/A,#N/A,FALSE,"Dec 96";#N/A,#N/A,FALSE,"Jan 97";#N/A,#N/A,FALSE,"Feb 97";#N/A,#N/A,FALSE,"Mar 97";#N/A,#N/A,FALSE,"Apr 97";#N/A,#N/A,FALSE,"May 97";#N/A,#N/A,FALSE,"June 97";#N/A,#N/A,FALSE,"July 97"}</definedName>
    <definedName name="wrn.monthly." localSheetId="12" hidden="1">{#N/A,#N/A,FALSE,"Running Total";#N/A,#N/A,FALSE,"Oct 96";#N/A,#N/A,FALSE,"Nov 96";#N/A,#N/A,FALSE,"Dec 96";#N/A,#N/A,FALSE,"Jan 97";#N/A,#N/A,FALSE,"Feb 97";#N/A,#N/A,FALSE,"Mar 97";#N/A,#N/A,FALSE,"Apr 97";#N/A,#N/A,FALSE,"May 97";#N/A,#N/A,FALSE,"June 97";#N/A,#N/A,FALSE,"July 97"}</definedName>
    <definedName name="wrn.monthly." hidden="1">{#N/A,#N/A,FALSE,"Running Total";#N/A,#N/A,FALSE,"Oct 96";#N/A,#N/A,FALSE,"Nov 96";#N/A,#N/A,FALSE,"Dec 96";#N/A,#N/A,FALSE,"Jan 97";#N/A,#N/A,FALSE,"Feb 97";#N/A,#N/A,FALSE,"Mar 97";#N/A,#N/A,FALSE,"Apr 97";#N/A,#N/A,FALSE,"May 97";#N/A,#N/A,FALSE,"June 97";#N/A,#N/A,FALSE,"July 97"}</definedName>
    <definedName name="wrn.Net._.Backs." localSheetId="2" hidden="1">{"Net Backs",#N/A,FALSE,"Net Backs"}</definedName>
    <definedName name="wrn.Net._.Backs." localSheetId="10" hidden="1">{"Net Backs",#N/A,FALSE,"Net Backs"}</definedName>
    <definedName name="wrn.Net._.Backs." localSheetId="6" hidden="1">{"Net Backs",#N/A,FALSE,"Net Backs"}</definedName>
    <definedName name="wrn.Net._.Backs." localSheetId="8" hidden="1">{"Net Backs",#N/A,FALSE,"Net Backs"}</definedName>
    <definedName name="wrn.Net._.Backs." localSheetId="9" hidden="1">{"Net Backs",#N/A,FALSE,"Net Backs"}</definedName>
    <definedName name="wrn.Net._.Backs." localSheetId="3" hidden="1">{"Net Backs",#N/A,FALSE,"Net Backs"}</definedName>
    <definedName name="wrn.Net._.Backs." localSheetId="7" hidden="1">{"Net Backs",#N/A,FALSE,"Net Backs"}</definedName>
    <definedName name="wrn.Net._.Backs." localSheetId="12" hidden="1">{"Net Backs",#N/A,FALSE,"Net Backs"}</definedName>
    <definedName name="wrn.Net._.Backs." hidden="1">{"Net Backs",#N/A,FALSE,"Net Backs"}</definedName>
    <definedName name="wrn.Netbacks." localSheetId="2" hidden="1">{"Netbacks",#N/A,FALSE,"B"}</definedName>
    <definedName name="wrn.Netbacks." localSheetId="10" hidden="1">{"Netbacks",#N/A,FALSE,"B"}</definedName>
    <definedName name="wrn.Netbacks." localSheetId="6" hidden="1">{"Netbacks",#N/A,FALSE,"B"}</definedName>
    <definedName name="wrn.Netbacks." localSheetId="8" hidden="1">{"Netbacks",#N/A,FALSE,"B"}</definedName>
    <definedName name="wrn.Netbacks." localSheetId="9" hidden="1">{"Netbacks",#N/A,FALSE,"B"}</definedName>
    <definedName name="wrn.Netbacks." localSheetId="3" hidden="1">{"Netbacks",#N/A,FALSE,"B"}</definedName>
    <definedName name="wrn.Netbacks." localSheetId="7" hidden="1">{"Netbacks",#N/A,FALSE,"B"}</definedName>
    <definedName name="wrn.Netbacks." localSheetId="12" hidden="1">{"Netbacks",#N/A,FALSE,"B"}</definedName>
    <definedName name="wrn.Netbacks." hidden="1">{"Netbacks",#N/A,FALSE,"B"}</definedName>
    <definedName name="wrn.Operating._.Statistics." localSheetId="2" hidden="1">{"Operating Statictics",#N/A,FALSE,"Operating Statistics"}</definedName>
    <definedName name="wrn.Operating._.Statistics." localSheetId="10" hidden="1">{"Operating Statictics",#N/A,FALSE,"Operating Statistics"}</definedName>
    <definedName name="wrn.Operating._.Statistics." localSheetId="6" hidden="1">{"Operating Statictics",#N/A,FALSE,"Operating Statistics"}</definedName>
    <definedName name="wrn.Operating._.Statistics." localSheetId="8" hidden="1">{"Operating Statictics",#N/A,FALSE,"Operating Statistics"}</definedName>
    <definedName name="wrn.Operating._.Statistics." localSheetId="9" hidden="1">{"Operating Statictics",#N/A,FALSE,"Operating Statistics"}</definedName>
    <definedName name="wrn.Operating._.Statistics." localSheetId="3" hidden="1">{"Operating Statictics",#N/A,FALSE,"Operating Statistics"}</definedName>
    <definedName name="wrn.Operating._.Statistics." localSheetId="7" hidden="1">{"Operating Statictics",#N/A,FALSE,"Operating Statistics"}</definedName>
    <definedName name="wrn.Operating._.Statistics." localSheetId="12" hidden="1">{"Operating Statictics",#N/A,FALSE,"Operating Statistics"}</definedName>
    <definedName name="wrn.Operating._.Statistics." hidden="1">{"Operating Statictics",#N/A,FALSE,"Operating Statistics"}</definedName>
    <definedName name="wrn.Other._.Foreign." localSheetId="2" hidden="1">{"Other Foreign",#N/A,FALSE,"Other For."}</definedName>
    <definedName name="wrn.Other._.Foreign." localSheetId="10" hidden="1">{"Other Foreign",#N/A,FALSE,"Other For."}</definedName>
    <definedName name="wrn.Other._.Foreign." localSheetId="6" hidden="1">{"Other Foreign",#N/A,FALSE,"Other For."}</definedName>
    <definedName name="wrn.Other._.Foreign." localSheetId="8" hidden="1">{"Other Foreign",#N/A,FALSE,"Other For."}</definedName>
    <definedName name="wrn.Other._.Foreign." localSheetId="9" hidden="1">{"Other Foreign",#N/A,FALSE,"Other For."}</definedName>
    <definedName name="wrn.Other._.Foreign." localSheetId="3" hidden="1">{"Other Foreign",#N/A,FALSE,"Other For."}</definedName>
    <definedName name="wrn.Other._.Foreign." localSheetId="7" hidden="1">{"Other Foreign",#N/A,FALSE,"Other For."}</definedName>
    <definedName name="wrn.Other._.Foreign." localSheetId="12" hidden="1">{"Other Foreign",#N/A,FALSE,"Other For."}</definedName>
    <definedName name="wrn.Other._.Foreign." hidden="1">{"Other Foreign",#N/A,FALSE,"Other For."}</definedName>
    <definedName name="wrn.Portrait._.IS." localSheetId="2" hidden="1">{"Portrait letter is",#N/A,FALSE,"Model"}</definedName>
    <definedName name="wrn.Portrait._.IS." localSheetId="10" hidden="1">{"Portrait letter is",#N/A,FALSE,"Model"}</definedName>
    <definedName name="wrn.Portrait._.IS." localSheetId="6" hidden="1">{"Portrait letter is",#N/A,FALSE,"Model"}</definedName>
    <definedName name="wrn.Portrait._.IS." localSheetId="8" hidden="1">{"Portrait letter is",#N/A,FALSE,"Model"}</definedName>
    <definedName name="wrn.Portrait._.IS." localSheetId="9" hidden="1">{"Portrait letter is",#N/A,FALSE,"Model"}</definedName>
    <definedName name="wrn.Portrait._.IS." localSheetId="3" hidden="1">{"Portrait letter is",#N/A,FALSE,"Model"}</definedName>
    <definedName name="wrn.Portrait._.IS." localSheetId="7" hidden="1">{"Portrait letter is",#N/A,FALSE,"Model"}</definedName>
    <definedName name="wrn.Portrait._.IS." localSheetId="12" hidden="1">{"Portrait letter is",#N/A,FALSE,"Model"}</definedName>
    <definedName name="wrn.Portrait._.IS." hidden="1">{"Portrait letter is",#N/A,FALSE,"Model"}</definedName>
    <definedName name="wrn.Portrait._.letter._.is." localSheetId="2" hidden="1">{"Portrait letter is",#N/A,FALSE,"Model"}</definedName>
    <definedName name="wrn.Portrait._.letter._.is." localSheetId="10" hidden="1">{"Portrait letter is",#N/A,FALSE,"Model"}</definedName>
    <definedName name="wrn.Portrait._.letter._.is." localSheetId="6" hidden="1">{"Portrait letter is",#N/A,FALSE,"Model"}</definedName>
    <definedName name="wrn.Portrait._.letter._.is." localSheetId="8" hidden="1">{"Portrait letter is",#N/A,FALSE,"Model"}</definedName>
    <definedName name="wrn.Portrait._.letter._.is." localSheetId="9" hidden="1">{"Portrait letter is",#N/A,FALSE,"Model"}</definedName>
    <definedName name="wrn.Portrait._.letter._.is." localSheetId="3" hidden="1">{"Portrait letter is",#N/A,FALSE,"Model"}</definedName>
    <definedName name="wrn.Portrait._.letter._.is." localSheetId="7" hidden="1">{"Portrait letter is",#N/A,FALSE,"Model"}</definedName>
    <definedName name="wrn.Portrait._.letter._.is." localSheetId="12" hidden="1">{"Portrait letter is",#N/A,FALSE,"Model"}</definedName>
    <definedName name="wrn.Portrait._.letter._.is." hidden="1">{"Portrait letter is",#N/A,FALSE,"Model"}</definedName>
    <definedName name="wrn.pres." localSheetId="2" hidden="1">{#N/A,#N/A,FALSE,"Major v. River";#N/A,#N/A,FALSE,"Industry";#N/A,#N/A,FALSE,"Large Operators";#N/A,#N/A,FALSE,"Smaller Operators";#N/A,#N/A,FALSE,"Equip. Supply";#N/A,#N/A,FALSE,"EBITDA";#N/A,#N/A,FALSE,"States";#N/A,#N/A,FALSE,"LV Detail"}</definedName>
    <definedName name="wrn.pres." localSheetId="10" hidden="1">{#N/A,#N/A,FALSE,"Major v. River";#N/A,#N/A,FALSE,"Industry";#N/A,#N/A,FALSE,"Large Operators";#N/A,#N/A,FALSE,"Smaller Operators";#N/A,#N/A,FALSE,"Equip. Supply";#N/A,#N/A,FALSE,"EBITDA";#N/A,#N/A,FALSE,"States";#N/A,#N/A,FALSE,"LV Detail"}</definedName>
    <definedName name="wrn.pres." localSheetId="6" hidden="1">{#N/A,#N/A,FALSE,"Major v. River";#N/A,#N/A,FALSE,"Industry";#N/A,#N/A,FALSE,"Large Operators";#N/A,#N/A,FALSE,"Smaller Operators";#N/A,#N/A,FALSE,"Equip. Supply";#N/A,#N/A,FALSE,"EBITDA";#N/A,#N/A,FALSE,"States";#N/A,#N/A,FALSE,"LV Detail"}</definedName>
    <definedName name="wrn.pres." localSheetId="8" hidden="1">{#N/A,#N/A,FALSE,"Major v. River";#N/A,#N/A,FALSE,"Industry";#N/A,#N/A,FALSE,"Large Operators";#N/A,#N/A,FALSE,"Smaller Operators";#N/A,#N/A,FALSE,"Equip. Supply";#N/A,#N/A,FALSE,"EBITDA";#N/A,#N/A,FALSE,"States";#N/A,#N/A,FALSE,"LV Detail"}</definedName>
    <definedName name="wrn.pres." localSheetId="9" hidden="1">{#N/A,#N/A,FALSE,"Major v. River";#N/A,#N/A,FALSE,"Industry";#N/A,#N/A,FALSE,"Large Operators";#N/A,#N/A,FALSE,"Smaller Operators";#N/A,#N/A,FALSE,"Equip. Supply";#N/A,#N/A,FALSE,"EBITDA";#N/A,#N/A,FALSE,"States";#N/A,#N/A,FALSE,"LV Detail"}</definedName>
    <definedName name="wrn.pres." localSheetId="3" hidden="1">{#N/A,#N/A,FALSE,"Major v. River";#N/A,#N/A,FALSE,"Industry";#N/A,#N/A,FALSE,"Large Operators";#N/A,#N/A,FALSE,"Smaller Operators";#N/A,#N/A,FALSE,"Equip. Supply";#N/A,#N/A,FALSE,"EBITDA";#N/A,#N/A,FALSE,"States";#N/A,#N/A,FALSE,"LV Detail"}</definedName>
    <definedName name="wrn.pres." localSheetId="7" hidden="1">{#N/A,#N/A,FALSE,"Major v. River";#N/A,#N/A,FALSE,"Industry";#N/A,#N/A,FALSE,"Large Operators";#N/A,#N/A,FALSE,"Smaller Operators";#N/A,#N/A,FALSE,"Equip. Supply";#N/A,#N/A,FALSE,"EBITDA";#N/A,#N/A,FALSE,"States";#N/A,#N/A,FALSE,"LV Detail"}</definedName>
    <definedName name="wrn.pres." localSheetId="12" hidden="1">{#N/A,#N/A,FALSE,"Major v. River";#N/A,#N/A,FALSE,"Industry";#N/A,#N/A,FALSE,"Large Operators";#N/A,#N/A,FALSE,"Smaller Operators";#N/A,#N/A,FALSE,"Equip. Supply";#N/A,#N/A,FALSE,"EBITDA";#N/A,#N/A,FALSE,"States";#N/A,#N/A,FALSE,"LV Detail"}</definedName>
    <definedName name="wrn.pres." hidden="1">{#N/A,#N/A,FALSE,"Major v. River";#N/A,#N/A,FALSE,"Industry";#N/A,#N/A,FALSE,"Large Operators";#N/A,#N/A,FALSE,"Smaller Operators";#N/A,#N/A,FALSE,"Equip. Supply";#N/A,#N/A,FALSE,"EBITDA";#N/A,#N/A,FALSE,"States";#N/A,#N/A,FALSE,"LV Detail"}</definedName>
    <definedName name="wrn.pres97." localSheetId="2"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0"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6"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8"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9"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3"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2"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imary._.Reports." localSheetId="2" hidden="1">{#N/A,#N/A,FALSE,"Plan Summary";#N/A,#N/A,FALSE,"Monthly Goals";#N/A,#N/A,FALSE,"Profit Detail";#N/A,#N/A,FALSE,"Output Comparison";#N/A,#N/A,FALSE,"Production Goals"}</definedName>
    <definedName name="wrn.Primary._.Reports." localSheetId="10" hidden="1">{#N/A,#N/A,FALSE,"Plan Summary";#N/A,#N/A,FALSE,"Monthly Goals";#N/A,#N/A,FALSE,"Profit Detail";#N/A,#N/A,FALSE,"Output Comparison";#N/A,#N/A,FALSE,"Production Goals"}</definedName>
    <definedName name="wrn.Primary._.Reports." localSheetId="6" hidden="1">{#N/A,#N/A,FALSE,"Plan Summary";#N/A,#N/A,FALSE,"Monthly Goals";#N/A,#N/A,FALSE,"Profit Detail";#N/A,#N/A,FALSE,"Output Comparison";#N/A,#N/A,FALSE,"Production Goals"}</definedName>
    <definedName name="wrn.Primary._.Reports." localSheetId="8" hidden="1">{#N/A,#N/A,FALSE,"Plan Summary";#N/A,#N/A,FALSE,"Monthly Goals";#N/A,#N/A,FALSE,"Profit Detail";#N/A,#N/A,FALSE,"Output Comparison";#N/A,#N/A,FALSE,"Production Goals"}</definedName>
    <definedName name="wrn.Primary._.Reports." localSheetId="9" hidden="1">{#N/A,#N/A,FALSE,"Plan Summary";#N/A,#N/A,FALSE,"Monthly Goals";#N/A,#N/A,FALSE,"Profit Detail";#N/A,#N/A,FALSE,"Output Comparison";#N/A,#N/A,FALSE,"Production Goals"}</definedName>
    <definedName name="wrn.Primary._.Reports." localSheetId="3" hidden="1">{#N/A,#N/A,FALSE,"Plan Summary";#N/A,#N/A,FALSE,"Monthly Goals";#N/A,#N/A,FALSE,"Profit Detail";#N/A,#N/A,FALSE,"Output Comparison";#N/A,#N/A,FALSE,"Production Goals"}</definedName>
    <definedName name="wrn.Primary._.Reports." localSheetId="7" hidden="1">{#N/A,#N/A,FALSE,"Plan Summary";#N/A,#N/A,FALSE,"Monthly Goals";#N/A,#N/A,FALSE,"Profit Detail";#N/A,#N/A,FALSE,"Output Comparison";#N/A,#N/A,FALSE,"Production Goals"}</definedName>
    <definedName name="wrn.Primary._.Reports." localSheetId="12" hidden="1">{#N/A,#N/A,FALSE,"Plan Summary";#N/A,#N/A,FALSE,"Monthly Goals";#N/A,#N/A,FALSE,"Profit Detail";#N/A,#N/A,FALSE,"Output Comparison";#N/A,#N/A,FALSE,"Production Goals"}</definedName>
    <definedName name="wrn.Primary._.Reports." hidden="1">{#N/A,#N/A,FALSE,"Plan Summary";#N/A,#N/A,FALSE,"Monthly Goals";#N/A,#N/A,FALSE,"Profit Detail";#N/A,#N/A,FALSE,"Output Comparison";#N/A,#N/A,FALSE,"Production Goals"}</definedName>
    <definedName name="wrn.PRIME." localSheetId="2" hidden="1">{#N/A,#N/A,FALSE,"PRIME ACTIVITY CRST"}</definedName>
    <definedName name="wrn.PRIME." localSheetId="10" hidden="1">{#N/A,#N/A,FALSE,"PRIME ACTIVITY CRST"}</definedName>
    <definedName name="wrn.PRIME." localSheetId="6" hidden="1">{#N/A,#N/A,FALSE,"PRIME ACTIVITY CRST"}</definedName>
    <definedName name="wrn.PRIME." localSheetId="8" hidden="1">{#N/A,#N/A,FALSE,"PRIME ACTIVITY CRST"}</definedName>
    <definedName name="wrn.PRIME." localSheetId="9" hidden="1">{#N/A,#N/A,FALSE,"PRIME ACTIVITY CRST"}</definedName>
    <definedName name="wrn.PRIME." localSheetId="3" hidden="1">{#N/A,#N/A,FALSE,"PRIME ACTIVITY CRST"}</definedName>
    <definedName name="wrn.PRIME." localSheetId="7" hidden="1">{#N/A,#N/A,FALSE,"PRIME ACTIVITY CRST"}</definedName>
    <definedName name="wrn.PRIME." localSheetId="12" hidden="1">{#N/A,#N/A,FALSE,"PRIME ACTIVITY CRST"}</definedName>
    <definedName name="wrn.PRIME." hidden="1">{#N/A,#N/A,FALSE,"PRIME ACTIVITY CRST"}</definedName>
    <definedName name="wrn.Print." localSheetId="2" hidden="1">{#N/A,#N/A,FALSE,"Cover";#N/A,#N/A,FALSE,"ASSUMPTIONS ";#N/A,#N/A,FALSE,"EPS";#N/A,#N/A,FALSE,"Cashflow";#N/A,#N/A,FALSE,"BS"}</definedName>
    <definedName name="wrn.print." localSheetId="10" hidden="1">{"page1",#N/A,FALSE,"PROFORMA";"page2",#N/A,FALSE,"PROFORMA";"page3",#N/A,FALSE,"PROFORMA";"page4",#N/A,FALSE,"PROFORMA";"page5",#N/A,FALSE,"PROFORMA";"page6",#N/A,FALSE,"PROFORMA";"page7",#N/A,FALSE,"PROFORMA";"page8",#N/A,FALSE,"PROFORMA"}</definedName>
    <definedName name="wrn.Print." localSheetId="6" hidden="1">{#N/A,#N/A,FALSE,"Cover";#N/A,#N/A,FALSE,"ASSUMPTIONS ";#N/A,#N/A,FALSE,"EPS";#N/A,#N/A,FALSE,"Cashflow";#N/A,#N/A,FALSE,"BS"}</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3" hidden="1">{"page1",#N/A,FALSE,"PROFORMA";"page2",#N/A,FALSE,"PROFORMA";"page3",#N/A,FALSE,"PROFORMA";"page4",#N/A,FALSE,"PROFORMA";"page5",#N/A,FALSE,"PROFORMA";"page6",#N/A,FALSE,"PROFORMA";"page7",#N/A,FALSE,"PROFORMA";"page8",#N/A,FALSE,"PROFORMA"}</definedName>
    <definedName name="wrn.Print." localSheetId="7" hidden="1">{#N/A,#N/A,FALSE,"Cover";#N/A,#N/A,FALSE,"ASSUMPTIONS ";#N/A,#N/A,FALSE,"EPS";#N/A,#N/A,FALSE,"Cashflow";#N/A,#N/A,FALSE,"BS"}</definedName>
    <definedName name="wrn.print." localSheetId="12"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 localSheetId="2" hidden="1">{"Production Profile",#N/A,FALSE,"Production";"Cadispa SA",#N/A,FALSE,"Cadispa SA";"Corporate Profile",#N/A,FALSE,"D";"IS Q96",#N/A,FALSE,"C";"IS Q97",#N/A,FALSE,"C";"IS Years",#N/A,FALSE,"C";"Netbacks",#N/A,FALSE,"B"}</definedName>
    <definedName name="wrn.Print._.All." localSheetId="10" hidden="1">{"Production Profile",#N/A,FALSE,"Production";"Cadispa SA",#N/A,FALSE,"Cadispa SA";"Corporate Profile",#N/A,FALSE,"D";"IS Q96",#N/A,FALSE,"C";"IS Q97",#N/A,FALSE,"C";"IS Years",#N/A,FALSE,"C";"Netbacks",#N/A,FALSE,"B"}</definedName>
    <definedName name="wrn.Print._.All." localSheetId="6" hidden="1">{"Production Profile",#N/A,FALSE,"Production";"Cadispa SA",#N/A,FALSE,"Cadispa SA";"Corporate Profile",#N/A,FALSE,"D";"IS Q96",#N/A,FALSE,"C";"IS Q97",#N/A,FALSE,"C";"IS Years",#N/A,FALSE,"C";"Netbacks",#N/A,FALSE,"B"}</definedName>
    <definedName name="wrn.Print._.All." localSheetId="8" hidden="1">{"Production Profile",#N/A,FALSE,"Production";"Cadispa SA",#N/A,FALSE,"Cadispa SA";"Corporate Profile",#N/A,FALSE,"D";"IS Q96",#N/A,FALSE,"C";"IS Q97",#N/A,FALSE,"C";"IS Years",#N/A,FALSE,"C";"Netbacks",#N/A,FALSE,"B"}</definedName>
    <definedName name="wrn.Print._.All." localSheetId="9" hidden="1">{"Production Profile",#N/A,FALSE,"Production";"Cadispa SA",#N/A,FALSE,"Cadispa SA";"Corporate Profile",#N/A,FALSE,"D";"IS Q96",#N/A,FALSE,"C";"IS Q97",#N/A,FALSE,"C";"IS Years",#N/A,FALSE,"C";"Netbacks",#N/A,FALSE,"B"}</definedName>
    <definedName name="wrn.Print._.All." localSheetId="3" hidden="1">{"Production Profile",#N/A,FALSE,"Production";"Cadispa SA",#N/A,FALSE,"Cadispa SA";"Corporate Profile",#N/A,FALSE,"D";"IS Q96",#N/A,FALSE,"C";"IS Q97",#N/A,FALSE,"C";"IS Years",#N/A,FALSE,"C";"Netbacks",#N/A,FALSE,"B"}</definedName>
    <definedName name="wrn.Print._.All." localSheetId="7" hidden="1">{"Production Profile",#N/A,FALSE,"Production";"Cadispa SA",#N/A,FALSE,"Cadispa SA";"Corporate Profile",#N/A,FALSE,"D";"IS Q96",#N/A,FALSE,"C";"IS Q97",#N/A,FALSE,"C";"IS Years",#N/A,FALSE,"C";"Netbacks",#N/A,FALSE,"B"}</definedName>
    <definedName name="wrn.Print._.All." localSheetId="12" hidden="1">{"Production Profile",#N/A,FALSE,"Production";"Cadispa SA",#N/A,FALSE,"Cadispa SA";"Corporate Profile",#N/A,FALSE,"D";"IS Q96",#N/A,FALSE,"C";"IS Q97",#N/A,FALSE,"C";"IS Years",#N/A,FALSE,"C";"Netbacks",#N/A,FALSE,"B"}</definedName>
    <definedName name="wrn.Print._.All." hidden="1">{"Production Profile",#N/A,FALSE,"Production";"Cadispa SA",#N/A,FALSE,"Cadispa SA";"Corporate Profile",#N/A,FALSE,"D";"IS Q96",#N/A,FALSE,"C";"IS Q97",#N/A,FALSE,"C";"IS Years",#N/A,FALSE,"C";"Netbacks",#N/A,FALSE,"B"}</definedName>
    <definedName name="wrn.printall." localSheetId="2" hidden="1">{"printall",#N/A,FALSE,"BAIRNUMB"}</definedName>
    <definedName name="wrn.printall." localSheetId="10" hidden="1">{"printall",#N/A,FALSE,"BAIRNUMB"}</definedName>
    <definedName name="wrn.printall." localSheetId="6" hidden="1">{"printall",#N/A,FALSE,"BAIRNUMB"}</definedName>
    <definedName name="wrn.printall." localSheetId="8" hidden="1">{"printall",#N/A,FALSE,"BAIRNUMB"}</definedName>
    <definedName name="wrn.printall." localSheetId="9" hidden="1">{"printall",#N/A,FALSE,"BAIRNUMB"}</definedName>
    <definedName name="wrn.printall." localSheetId="3" hidden="1">{"printall",#N/A,FALSE,"BAIRNUMB"}</definedName>
    <definedName name="wrn.printall." localSheetId="7" hidden="1">{"printall",#N/A,FALSE,"BAIRNUMB"}</definedName>
    <definedName name="wrn.printall." localSheetId="12" hidden="1">{"printall",#N/A,FALSE,"BAIRNUMB"}</definedName>
    <definedName name="wrn.printall." hidden="1">{"printall",#N/A,FALSE,"BAIRNUMB"}</definedName>
    <definedName name="wrn.Prod.._.Profile." localSheetId="2" hidden="1">{"Prod Pro",#N/A,FALSE,"E"}</definedName>
    <definedName name="wrn.Prod.._.Profile." localSheetId="10" hidden="1">{"Prod Pro",#N/A,FALSE,"E"}</definedName>
    <definedName name="wrn.Prod.._.Profile." localSheetId="6" hidden="1">{"Prod Pro",#N/A,FALSE,"E"}</definedName>
    <definedName name="wrn.Prod.._.Profile." localSheetId="8" hidden="1">{"Prod Pro",#N/A,FALSE,"E"}</definedName>
    <definedName name="wrn.Prod.._.Profile." localSheetId="9" hidden="1">{"Prod Pro",#N/A,FALSE,"E"}</definedName>
    <definedName name="wrn.Prod.._.Profile." localSheetId="3" hidden="1">{"Prod Pro",#N/A,FALSE,"E"}</definedName>
    <definedName name="wrn.Prod.._.Profile." localSheetId="7" hidden="1">{"Prod Pro",#N/A,FALSE,"E"}</definedName>
    <definedName name="wrn.Prod.._.Profile." localSheetId="12" hidden="1">{"Prod Pro",#N/A,FALSE,"E"}</definedName>
    <definedName name="wrn.Prod.._.Profile." hidden="1">{"Prod Pro",#N/A,FALSE,"E"}</definedName>
    <definedName name="wrn.Produciton._.Profile." localSheetId="2" hidden="1">{"Production Profile",#N/A,FALSE,"Production Profile"}</definedName>
    <definedName name="wrn.Produciton._.Profile." localSheetId="10" hidden="1">{"Production Profile",#N/A,FALSE,"Production Profile"}</definedName>
    <definedName name="wrn.Produciton._.Profile." localSheetId="6" hidden="1">{"Production Profile",#N/A,FALSE,"Production Profile"}</definedName>
    <definedName name="wrn.Produciton._.Profile." localSheetId="8" hidden="1">{"Production Profile",#N/A,FALSE,"Production Profile"}</definedName>
    <definedName name="wrn.Produciton._.Profile." localSheetId="9" hidden="1">{"Production Profile",#N/A,FALSE,"Production Profile"}</definedName>
    <definedName name="wrn.Produciton._.Profile." localSheetId="3" hidden="1">{"Production Profile",#N/A,FALSE,"Production Profile"}</definedName>
    <definedName name="wrn.Produciton._.Profile." localSheetId="7" hidden="1">{"Production Profile",#N/A,FALSE,"Production Profile"}</definedName>
    <definedName name="wrn.Produciton._.Profile." localSheetId="12" hidden="1">{"Production Profile",#N/A,FALSE,"Production Profile"}</definedName>
    <definedName name="wrn.Produciton._.Profile." hidden="1">{"Production Profile",#N/A,FALSE,"Production Profile"}</definedName>
    <definedName name="wrn.Production._.Profile." localSheetId="2" hidden="1">{"Production Profile",#N/A,FALSE,"Production"}</definedName>
    <definedName name="wrn.Production._.Profile." localSheetId="10" hidden="1">{"Production Profile",#N/A,FALSE,"Production"}</definedName>
    <definedName name="wrn.Production._.Profile." localSheetId="6" hidden="1">{"Production Profile",#N/A,FALSE,"Production"}</definedName>
    <definedName name="wrn.Production._.Profile." localSheetId="8" hidden="1">{"Production Profile",#N/A,FALSE,"Production"}</definedName>
    <definedName name="wrn.Production._.Profile." localSheetId="9" hidden="1">{"Production Profile",#N/A,FALSE,"Production"}</definedName>
    <definedName name="wrn.Production._.Profile." localSheetId="3" hidden="1">{"Production Profile",#N/A,FALSE,"Production"}</definedName>
    <definedName name="wrn.Production._.Profile." localSheetId="7" hidden="1">{"Production Profile",#N/A,FALSE,"Production"}</definedName>
    <definedName name="wrn.Production._.Profile." localSheetId="12" hidden="1">{"Production Profile",#N/A,FALSE,"Production"}</definedName>
    <definedName name="wrn.Production._.Profile." hidden="1">{"Production Profile",#N/A,FALSE,"Production"}</definedName>
    <definedName name="wrn.Production._.Schedule." localSheetId="2" hidden="1">{"Production Schedule",#N/A,FALSE,"Production Schedule"}</definedName>
    <definedName name="wrn.Production._.Schedule." localSheetId="10" hidden="1">{"Production Schedule",#N/A,FALSE,"Production Schedule"}</definedName>
    <definedName name="wrn.Production._.Schedule." localSheetId="6" hidden="1">{"Production Schedule",#N/A,FALSE,"Production Schedule"}</definedName>
    <definedName name="wrn.Production._.Schedule." localSheetId="8" hidden="1">{"Production Schedule",#N/A,FALSE,"Production Schedule"}</definedName>
    <definedName name="wrn.Production._.Schedule." localSheetId="9" hidden="1">{"Production Schedule",#N/A,FALSE,"Production Schedule"}</definedName>
    <definedName name="wrn.Production._.Schedule." localSheetId="3" hidden="1">{"Production Schedule",#N/A,FALSE,"Production Schedule"}</definedName>
    <definedName name="wrn.Production._.Schedule." localSheetId="7" hidden="1">{"Production Schedule",#N/A,FALSE,"Production Schedule"}</definedName>
    <definedName name="wrn.Production._.Schedule." localSheetId="12" hidden="1">{"Production Schedule",#N/A,FALSE,"Production Schedule"}</definedName>
    <definedName name="wrn.Production._.Schedule." hidden="1">{"Production Schedule",#N/A,FALSE,"Production Schedule"}</definedName>
    <definedName name="wrn.Profit._.V._.LY." localSheetId="2" hidden="1">{"profit",#N/A,FALSE,"Aerospace";"profit",#N/A,FALSE,"Engines";"profit",#N/A,FALSE,"AES";"profit",#N/A,FALSE,"ES";"profit",#N/A,FALSE,"CAS";"profit",#N/A,FALSE,"ATSC";"profit",#N/A,FALSE,"FMT";"profit",#N/A,FALSE,"Aero Other";"profit",#N/A,FALSE,"Judgement"}</definedName>
    <definedName name="wrn.Profit._.V._.LY." localSheetId="10" hidden="1">{"profit",#N/A,FALSE,"Aerospace";"profit",#N/A,FALSE,"Engines";"profit",#N/A,FALSE,"AES";"profit",#N/A,FALSE,"ES";"profit",#N/A,FALSE,"CAS";"profit",#N/A,FALSE,"ATSC";"profit",#N/A,FALSE,"FMT";"profit",#N/A,FALSE,"Aero Other";"profit",#N/A,FALSE,"Judgement"}</definedName>
    <definedName name="wrn.Profit._.V._.LY." localSheetId="6" hidden="1">{"profit",#N/A,FALSE,"Aerospace";"profit",#N/A,FALSE,"Engines";"profit",#N/A,FALSE,"AES";"profit",#N/A,FALSE,"ES";"profit",#N/A,FALSE,"CAS";"profit",#N/A,FALSE,"ATSC";"profit",#N/A,FALSE,"FMT";"profit",#N/A,FALSE,"Aero Other";"profit",#N/A,FALSE,"Judgement"}</definedName>
    <definedName name="wrn.Profit._.V._.LY." localSheetId="8" hidden="1">{"profit",#N/A,FALSE,"Aerospace";"profit",#N/A,FALSE,"Engines";"profit",#N/A,FALSE,"AES";"profit",#N/A,FALSE,"ES";"profit",#N/A,FALSE,"CAS";"profit",#N/A,FALSE,"ATSC";"profit",#N/A,FALSE,"FMT";"profit",#N/A,FALSE,"Aero Other";"profit",#N/A,FALSE,"Judgement"}</definedName>
    <definedName name="wrn.Profit._.V._.LY." localSheetId="9" hidden="1">{"profit",#N/A,FALSE,"Aerospace";"profit",#N/A,FALSE,"Engines";"profit",#N/A,FALSE,"AES";"profit",#N/A,FALSE,"ES";"profit",#N/A,FALSE,"CAS";"profit",#N/A,FALSE,"ATSC";"profit",#N/A,FALSE,"FMT";"profit",#N/A,FALSE,"Aero Other";"profit",#N/A,FALSE,"Judgement"}</definedName>
    <definedName name="wrn.Profit._.V._.LY." localSheetId="3" hidden="1">{"profit",#N/A,FALSE,"Aerospace";"profit",#N/A,FALSE,"Engines";"profit",#N/A,FALSE,"AES";"profit",#N/A,FALSE,"ES";"profit",#N/A,FALSE,"CAS";"profit",#N/A,FALSE,"ATSC";"profit",#N/A,FALSE,"FMT";"profit",#N/A,FALSE,"Aero Other";"profit",#N/A,FALSE,"Judgement"}</definedName>
    <definedName name="wrn.Profit._.V._.LY." localSheetId="7" hidden="1">{"profit",#N/A,FALSE,"Aerospace";"profit",#N/A,FALSE,"Engines";"profit",#N/A,FALSE,"AES";"profit",#N/A,FALSE,"ES";"profit",#N/A,FALSE,"CAS";"profit",#N/A,FALSE,"ATSC";"profit",#N/A,FALSE,"FMT";"profit",#N/A,FALSE,"Aero Other";"profit",#N/A,FALSE,"Judgement"}</definedName>
    <definedName name="wrn.Profit._.V._.LY." localSheetId="12" hidden="1">{"profit",#N/A,FALSE,"Aerospace";"profit",#N/A,FALSE,"Engines";"profit",#N/A,FALSE,"AES";"profit",#N/A,FALSE,"ES";"profit",#N/A,FALSE,"CAS";"profit",#N/A,FALSE,"ATSC";"profit",#N/A,FALSE,"FMT";"profit",#N/A,FALSE,"Aero Other";"profit",#N/A,FALSE,"Judgement"}</definedName>
    <definedName name="wrn.Profit._.V._.LY." hidden="1">{"profit",#N/A,FALSE,"Aerospace";"profit",#N/A,FALSE,"Engines";"profit",#N/A,FALSE,"AES";"profit",#N/A,FALSE,"ES";"profit",#N/A,FALSE,"CAS";"profit",#N/A,FALSE,"ATSC";"profit",#N/A,FALSE,"FMT";"profit",#N/A,FALSE,"Aero Other";"profit",#N/A,FALSE,"Judgement"}</definedName>
    <definedName name="wrn.Profit._.V._.Prior._.Fcst.." localSheetId="2"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10"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6"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8"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9"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3"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7"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12"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hidden="1">{"profit",#N/A,FALSE,"Aero V prior";"profit",#N/A,FALSE,"Eng V Prior";"profit",#N/A,FALSE,"AES V Prior";"profit",#N/A,FALSE,"ES V Prior";"profit",#N/A,FALSE,"CAS V Prior";"profit",#N/A,FALSE,"ATSC V Prior";"profit",#N/A,FALSE,"FMT V Prior";"profit",#N/A,FALSE,"Aero Other V Prior";"profit",#N/A,FALSE,"Judge V Prior"}</definedName>
    <definedName name="wrn.Pulp." localSheetId="2" hidden="1">{"Pulp Production",#N/A,FALSE,"Pulp";"Pulp Earnings",#N/A,FALSE,"Pulp"}</definedName>
    <definedName name="wrn.Pulp." localSheetId="10" hidden="1">{"Pulp Production",#N/A,FALSE,"Pulp";"Pulp Earnings",#N/A,FALSE,"Pulp"}</definedName>
    <definedName name="wrn.Pulp." localSheetId="6" hidden="1">{"Pulp Production",#N/A,FALSE,"Pulp";"Pulp Earnings",#N/A,FALSE,"Pulp"}</definedName>
    <definedName name="wrn.Pulp." localSheetId="8" hidden="1">{"Pulp Production",#N/A,FALSE,"Pulp";"Pulp Earnings",#N/A,FALSE,"Pulp"}</definedName>
    <definedName name="wrn.Pulp." localSheetId="9" hidden="1">{"Pulp Production",#N/A,FALSE,"Pulp";"Pulp Earnings",#N/A,FALSE,"Pulp"}</definedName>
    <definedName name="wrn.Pulp." localSheetId="3" hidden="1">{"Pulp Production",#N/A,FALSE,"Pulp";"Pulp Earnings",#N/A,FALSE,"Pulp"}</definedName>
    <definedName name="wrn.Pulp." localSheetId="7" hidden="1">{"Pulp Production",#N/A,FALSE,"Pulp";"Pulp Earnings",#N/A,FALSE,"Pulp"}</definedName>
    <definedName name="wrn.Pulp." localSheetId="12" hidden="1">{"Pulp Production",#N/A,FALSE,"Pulp";"Pulp Earnings",#N/A,FALSE,"Pulp"}</definedName>
    <definedName name="wrn.Pulp." hidden="1">{"Pulp Production",#N/A,FALSE,"Pulp";"Pulp Earnings",#N/A,FALSE,"Pulp"}</definedName>
    <definedName name="wrn.qrt95." localSheetId="2" hidden="1">{"qrt95",#N/A,FALSE,"BAIRNUMB"}</definedName>
    <definedName name="wrn.qrt95." localSheetId="10" hidden="1">{"qrt95",#N/A,FALSE,"BAIRNUMB"}</definedName>
    <definedName name="wrn.qrt95." localSheetId="6" hidden="1">{"qrt95",#N/A,FALSE,"BAIRNUMB"}</definedName>
    <definedName name="wrn.qrt95." localSheetId="8" hidden="1">{"qrt95",#N/A,FALSE,"BAIRNUMB"}</definedName>
    <definedName name="wrn.qrt95." localSheetId="9" hidden="1">{"qrt95",#N/A,FALSE,"BAIRNUMB"}</definedName>
    <definedName name="wrn.qrt95." localSheetId="3" hidden="1">{"qrt95",#N/A,FALSE,"BAIRNUMB"}</definedName>
    <definedName name="wrn.qrt95." localSheetId="7" hidden="1">{"qrt95",#N/A,FALSE,"BAIRNUMB"}</definedName>
    <definedName name="wrn.qrt95." localSheetId="12" hidden="1">{"qrt95",#N/A,FALSE,"BAIRNUMB"}</definedName>
    <definedName name="wrn.qrt95." hidden="1">{"qrt95",#N/A,FALSE,"BAIRNUMB"}</definedName>
    <definedName name="wrn.Qtr._.Op._.Q1." localSheetId="2" hidden="1">{"Qtr Op Mgd Q1",#N/A,FALSE,"Qtr-Op (Mng)";"Qtr Op Rpt Q1",#N/A,FALSE,"Qtr-Op (Rpt)";"Operating Vs Reported",#N/A,FALSE,"Rpt-Op Inc"}</definedName>
    <definedName name="wrn.Qtr._.Op._.Q1." localSheetId="10" hidden="1">{"Qtr Op Mgd Q1",#N/A,FALSE,"Qtr-Op (Mng)";"Qtr Op Rpt Q1",#N/A,FALSE,"Qtr-Op (Rpt)";"Operating Vs Reported",#N/A,FALSE,"Rpt-Op Inc"}</definedName>
    <definedName name="wrn.Qtr._.Op._.Q1." localSheetId="6" hidden="1">{"Qtr Op Mgd Q1",#N/A,FALSE,"Qtr-Op (Mng)";"Qtr Op Rpt Q1",#N/A,FALSE,"Qtr-Op (Rpt)";"Operating Vs Reported",#N/A,FALSE,"Rpt-Op Inc"}</definedName>
    <definedName name="wrn.Qtr._.Op._.Q1." localSheetId="8" hidden="1">{"Qtr Op Mgd Q1",#N/A,FALSE,"Qtr-Op (Mng)";"Qtr Op Rpt Q1",#N/A,FALSE,"Qtr-Op (Rpt)";"Operating Vs Reported",#N/A,FALSE,"Rpt-Op Inc"}</definedName>
    <definedName name="wrn.Qtr._.Op._.Q1." localSheetId="9" hidden="1">{"Qtr Op Mgd Q1",#N/A,FALSE,"Qtr-Op (Mng)";"Qtr Op Rpt Q1",#N/A,FALSE,"Qtr-Op (Rpt)";"Operating Vs Reported",#N/A,FALSE,"Rpt-Op Inc"}</definedName>
    <definedName name="wrn.Qtr._.Op._.Q1." localSheetId="3" hidden="1">{"Qtr Op Mgd Q1",#N/A,FALSE,"Qtr-Op (Mng)";"Qtr Op Rpt Q1",#N/A,FALSE,"Qtr-Op (Rpt)";"Operating Vs Reported",#N/A,FALSE,"Rpt-Op Inc"}</definedName>
    <definedName name="wrn.Qtr._.Op._.Q1." localSheetId="7" hidden="1">{"Qtr Op Mgd Q1",#N/A,FALSE,"Qtr-Op (Mng)";"Qtr Op Rpt Q1",#N/A,FALSE,"Qtr-Op (Rpt)";"Operating Vs Reported",#N/A,FALSE,"Rpt-Op Inc"}</definedName>
    <definedName name="wrn.Qtr._.Op._.Q1." localSheetId="12"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2" hidden="1">{"Qtr Op Mgd Q2",#N/A,FALSE,"Qtr-Op (Mng)";"Qtr Op Rpt Q2",#N/A,FALSE,"Qtr-Op (Rpt)";"Operating Vs Reported",#N/A,FALSE,"Rpt-Op Inc"}</definedName>
    <definedName name="wrn.Qtr._.Op._.Q2." localSheetId="10" hidden="1">{"Qtr Op Mgd Q2",#N/A,FALSE,"Qtr-Op (Mng)";"Qtr Op Rpt Q2",#N/A,FALSE,"Qtr-Op (Rpt)";"Operating Vs Reported",#N/A,FALSE,"Rpt-Op Inc"}</definedName>
    <definedName name="wrn.Qtr._.Op._.Q2." localSheetId="6" hidden="1">{"Qtr Op Mgd Q2",#N/A,FALSE,"Qtr-Op (Mng)";"Qtr Op Rpt Q2",#N/A,FALSE,"Qtr-Op (Rpt)";"Operating Vs Reported",#N/A,FALSE,"Rpt-Op Inc"}</definedName>
    <definedName name="wrn.Qtr._.Op._.Q2." localSheetId="8" hidden="1">{"Qtr Op Mgd Q2",#N/A,FALSE,"Qtr-Op (Mng)";"Qtr Op Rpt Q2",#N/A,FALSE,"Qtr-Op (Rpt)";"Operating Vs Reported",#N/A,FALSE,"Rpt-Op Inc"}</definedName>
    <definedName name="wrn.Qtr._.Op._.Q2." localSheetId="9" hidden="1">{"Qtr Op Mgd Q2",#N/A,FALSE,"Qtr-Op (Mng)";"Qtr Op Rpt Q2",#N/A,FALSE,"Qtr-Op (Rpt)";"Operating Vs Reported",#N/A,FALSE,"Rpt-Op Inc"}</definedName>
    <definedName name="wrn.Qtr._.Op._.Q2." localSheetId="3" hidden="1">{"Qtr Op Mgd Q2",#N/A,FALSE,"Qtr-Op (Mng)";"Qtr Op Rpt Q2",#N/A,FALSE,"Qtr-Op (Rpt)";"Operating Vs Reported",#N/A,FALSE,"Rpt-Op Inc"}</definedName>
    <definedName name="wrn.Qtr._.Op._.Q2." localSheetId="7" hidden="1">{"Qtr Op Mgd Q2",#N/A,FALSE,"Qtr-Op (Mng)";"Qtr Op Rpt Q2",#N/A,FALSE,"Qtr-Op (Rpt)";"Operating Vs Reported",#N/A,FALSE,"Rpt-Op Inc"}</definedName>
    <definedName name="wrn.Qtr._.Op._.Q2." localSheetId="12"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2" hidden="1">{"Qtr Op Mgd Q3",#N/A,FALSE,"Qtr-Op (Mng)";"Qtr Op Rpt Q3",#N/A,FALSE,"Qtr-Op (Rpt)";"Operating Vs Reported",#N/A,FALSE,"Rpt-Op Inc"}</definedName>
    <definedName name="wrn.Qtr._.Op._.Q3." localSheetId="10" hidden="1">{"Qtr Op Mgd Q3",#N/A,FALSE,"Qtr-Op (Mng)";"Qtr Op Rpt Q3",#N/A,FALSE,"Qtr-Op (Rpt)";"Operating Vs Reported",#N/A,FALSE,"Rpt-Op Inc"}</definedName>
    <definedName name="wrn.Qtr._.Op._.Q3." localSheetId="6" hidden="1">{"Qtr Op Mgd Q3",#N/A,FALSE,"Qtr-Op (Mng)";"Qtr Op Rpt Q3",#N/A,FALSE,"Qtr-Op (Rpt)";"Operating Vs Reported",#N/A,FALSE,"Rpt-Op Inc"}</definedName>
    <definedName name="wrn.Qtr._.Op._.Q3." localSheetId="8" hidden="1">{"Qtr Op Mgd Q3",#N/A,FALSE,"Qtr-Op (Mng)";"Qtr Op Rpt Q3",#N/A,FALSE,"Qtr-Op (Rpt)";"Operating Vs Reported",#N/A,FALSE,"Rpt-Op Inc"}</definedName>
    <definedName name="wrn.Qtr._.Op._.Q3." localSheetId="9" hidden="1">{"Qtr Op Mgd Q3",#N/A,FALSE,"Qtr-Op (Mng)";"Qtr Op Rpt Q3",#N/A,FALSE,"Qtr-Op (Rpt)";"Operating Vs Reported",#N/A,FALSE,"Rpt-Op Inc"}</definedName>
    <definedName name="wrn.Qtr._.Op._.Q3." localSheetId="3" hidden="1">{"Qtr Op Mgd Q3",#N/A,FALSE,"Qtr-Op (Mng)";"Qtr Op Rpt Q3",#N/A,FALSE,"Qtr-Op (Rpt)";"Operating Vs Reported",#N/A,FALSE,"Rpt-Op Inc"}</definedName>
    <definedName name="wrn.Qtr._.Op._.Q3." localSheetId="7" hidden="1">{"Qtr Op Mgd Q3",#N/A,FALSE,"Qtr-Op (Mng)";"Qtr Op Rpt Q3",#N/A,FALSE,"Qtr-Op (Rpt)";"Operating Vs Reported",#N/A,FALSE,"Rpt-Op Inc"}</definedName>
    <definedName name="wrn.Qtr._.Op._.Q3." localSheetId="12"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2" hidden="1">{"Qtr Op Mgd Q3",#N/A,FALSE,"Qtr-Op (Mng)";"Qtr Op Rpt Q4",#N/A,FALSE,"Qtr-Op (Rpt)";"Operating Vs Reported",#N/A,FALSE,"Rpt-Op Inc"}</definedName>
    <definedName name="wrn.Qtr._.Op._.Q4." localSheetId="10" hidden="1">{"Qtr Op Mgd Q3",#N/A,FALSE,"Qtr-Op (Mng)";"Qtr Op Rpt Q4",#N/A,FALSE,"Qtr-Op (Rpt)";"Operating Vs Reported",#N/A,FALSE,"Rpt-Op Inc"}</definedName>
    <definedName name="wrn.Qtr._.Op._.Q4." localSheetId="6" hidden="1">{"Qtr Op Mgd Q3",#N/A,FALSE,"Qtr-Op (Mng)";"Qtr Op Rpt Q4",#N/A,FALSE,"Qtr-Op (Rpt)";"Operating Vs Reported",#N/A,FALSE,"Rpt-Op Inc"}</definedName>
    <definedName name="wrn.Qtr._.Op._.Q4." localSheetId="8" hidden="1">{"Qtr Op Mgd Q3",#N/A,FALSE,"Qtr-Op (Mng)";"Qtr Op Rpt Q4",#N/A,FALSE,"Qtr-Op (Rpt)";"Operating Vs Reported",#N/A,FALSE,"Rpt-Op Inc"}</definedName>
    <definedName name="wrn.Qtr._.Op._.Q4." localSheetId="9" hidden="1">{"Qtr Op Mgd Q3",#N/A,FALSE,"Qtr-Op (Mng)";"Qtr Op Rpt Q4",#N/A,FALSE,"Qtr-Op (Rpt)";"Operating Vs Reported",#N/A,FALSE,"Rpt-Op Inc"}</definedName>
    <definedName name="wrn.Qtr._.Op._.Q4." localSheetId="3" hidden="1">{"Qtr Op Mgd Q3",#N/A,FALSE,"Qtr-Op (Mng)";"Qtr Op Rpt Q4",#N/A,FALSE,"Qtr-Op (Rpt)";"Operating Vs Reported",#N/A,FALSE,"Rpt-Op Inc"}</definedName>
    <definedName name="wrn.Qtr._.Op._.Q4." localSheetId="7" hidden="1">{"Qtr Op Mgd Q3",#N/A,FALSE,"Qtr-Op (Mng)";"Qtr Op Rpt Q4",#N/A,FALSE,"Qtr-Op (Rpt)";"Operating Vs Reported",#N/A,FALSE,"Rpt-Op Inc"}</definedName>
    <definedName name="wrn.Qtr._.Op._.Q4." localSheetId="12"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2" hidden="1">{"Qtr Op Mgd Q2",#N/A,FALSE,"Qtr-Op (Mng)";"Qtr Op Rpt Q2",#N/A,FALSE,"Qtr-Op (Rpt)";"Operating Vs Reported",#N/A,FALSE,"Rpt-Op Inc"}</definedName>
    <definedName name="wrn.Qtr._.Op._Q2a." localSheetId="10" hidden="1">{"Qtr Op Mgd Q2",#N/A,FALSE,"Qtr-Op (Mng)";"Qtr Op Rpt Q2",#N/A,FALSE,"Qtr-Op (Rpt)";"Operating Vs Reported",#N/A,FALSE,"Rpt-Op Inc"}</definedName>
    <definedName name="wrn.Qtr._.Op._Q2a." localSheetId="6" hidden="1">{"Qtr Op Mgd Q2",#N/A,FALSE,"Qtr-Op (Mng)";"Qtr Op Rpt Q2",#N/A,FALSE,"Qtr-Op (Rpt)";"Operating Vs Reported",#N/A,FALSE,"Rpt-Op Inc"}</definedName>
    <definedName name="wrn.Qtr._.Op._Q2a." localSheetId="8" hidden="1">{"Qtr Op Mgd Q2",#N/A,FALSE,"Qtr-Op (Mng)";"Qtr Op Rpt Q2",#N/A,FALSE,"Qtr-Op (Rpt)";"Operating Vs Reported",#N/A,FALSE,"Rpt-Op Inc"}</definedName>
    <definedName name="wrn.Qtr._.Op._Q2a." localSheetId="9" hidden="1">{"Qtr Op Mgd Q2",#N/A,FALSE,"Qtr-Op (Mng)";"Qtr Op Rpt Q2",#N/A,FALSE,"Qtr-Op (Rpt)";"Operating Vs Reported",#N/A,FALSE,"Rpt-Op Inc"}</definedName>
    <definedName name="wrn.Qtr._.Op._Q2a." localSheetId="3" hidden="1">{"Qtr Op Mgd Q2",#N/A,FALSE,"Qtr-Op (Mng)";"Qtr Op Rpt Q2",#N/A,FALSE,"Qtr-Op (Rpt)";"Operating Vs Reported",#N/A,FALSE,"Rpt-Op Inc"}</definedName>
    <definedName name="wrn.Qtr._.Op._Q2a." localSheetId="7" hidden="1">{"Qtr Op Mgd Q2",#N/A,FALSE,"Qtr-Op (Mng)";"Qtr Op Rpt Q2",#N/A,FALSE,"Qtr-Op (Rpt)";"Operating Vs Reported",#N/A,FALSE,"Rpt-Op Inc"}</definedName>
    <definedName name="wrn.Qtr._.Op._Q2a." localSheetId="12"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2" hidden="1">{"Qtr Op Mgd Q3",#N/A,FALSE,"Qtr-Op (Mng)";"Qtr Op Rpt Q4",#N/A,FALSE,"Qtr-Op (Rpt)";"Operating Vs Reported",#N/A,FALSE,"Rpt-Op Inc"}</definedName>
    <definedName name="wrn.Qtr_.Op._.Q4." localSheetId="10" hidden="1">{"Qtr Op Mgd Q3",#N/A,FALSE,"Qtr-Op (Mng)";"Qtr Op Rpt Q4",#N/A,FALSE,"Qtr-Op (Rpt)";"Operating Vs Reported",#N/A,FALSE,"Rpt-Op Inc"}</definedName>
    <definedName name="wrn.Qtr_.Op._.Q4." localSheetId="6" hidden="1">{"Qtr Op Mgd Q3",#N/A,FALSE,"Qtr-Op (Mng)";"Qtr Op Rpt Q4",#N/A,FALSE,"Qtr-Op (Rpt)";"Operating Vs Reported",#N/A,FALSE,"Rpt-Op Inc"}</definedName>
    <definedName name="wrn.Qtr_.Op._.Q4." localSheetId="8" hidden="1">{"Qtr Op Mgd Q3",#N/A,FALSE,"Qtr-Op (Mng)";"Qtr Op Rpt Q4",#N/A,FALSE,"Qtr-Op (Rpt)";"Operating Vs Reported",#N/A,FALSE,"Rpt-Op Inc"}</definedName>
    <definedName name="wrn.Qtr_.Op._.Q4." localSheetId="9" hidden="1">{"Qtr Op Mgd Q3",#N/A,FALSE,"Qtr-Op (Mng)";"Qtr Op Rpt Q4",#N/A,FALSE,"Qtr-Op (Rpt)";"Operating Vs Reported",#N/A,FALSE,"Rpt-Op Inc"}</definedName>
    <definedName name="wrn.Qtr_.Op._.Q4." localSheetId="3" hidden="1">{"Qtr Op Mgd Q3",#N/A,FALSE,"Qtr-Op (Mng)";"Qtr Op Rpt Q4",#N/A,FALSE,"Qtr-Op (Rpt)";"Operating Vs Reported",#N/A,FALSE,"Rpt-Op Inc"}</definedName>
    <definedName name="wrn.Qtr_.Op._.Q4." localSheetId="7" hidden="1">{"Qtr Op Mgd Q3",#N/A,FALSE,"Qtr-Op (Mng)";"Qtr Op Rpt Q4",#N/A,FALSE,"Qtr-Op (Rpt)";"Operating Vs Reported",#N/A,FALSE,"Rpt-Op Inc"}</definedName>
    <definedName name="wrn.Qtr_.Op._.Q4." localSheetId="12" hidden="1">{"Qtr Op Mgd Q3",#N/A,FALSE,"Qtr-Op (Mng)";"Qtr Op Rpt Q4",#N/A,FALSE,"Qtr-Op (Rpt)";"Operating Vs Reported",#N/A,FALSE,"Rpt-Op Inc"}</definedName>
    <definedName name="wrn.Qtr_.Op._.Q4." hidden="1">{"Qtr Op Mgd Q3",#N/A,FALSE,"Qtr-Op (Mng)";"Qtr Op Rpt Q4",#N/A,FALSE,"Qtr-Op (Rpt)";"Operating Vs Reported",#N/A,FALSE,"Rpt-Op Inc"}</definedName>
    <definedName name="wrn.quarterly." localSheetId="2" hidden="1">{"quarterly",#N/A,FALSE,"BAIRNUMB"}</definedName>
    <definedName name="wrn.quarterly." localSheetId="10" hidden="1">{"quarterly",#N/A,FALSE,"BAIRNUMB"}</definedName>
    <definedName name="wrn.quarterly." localSheetId="6" hidden="1">{"quarterly",#N/A,FALSE,"BAIRNUMB"}</definedName>
    <definedName name="wrn.quarterly." localSheetId="8" hidden="1">{"quarterly",#N/A,FALSE,"BAIRNUMB"}</definedName>
    <definedName name="wrn.quarterly." localSheetId="9" hidden="1">{"quarterly",#N/A,FALSE,"BAIRNUMB"}</definedName>
    <definedName name="wrn.quarterly." localSheetId="3" hidden="1">{"quarterly",#N/A,FALSE,"BAIRNUMB"}</definedName>
    <definedName name="wrn.quarterly." localSheetId="7" hidden="1">{"quarterly",#N/A,FALSE,"BAIRNUMB"}</definedName>
    <definedName name="wrn.quarterly." localSheetId="12" hidden="1">{"quarterly",#N/A,FALSE,"BAIRNUMB"}</definedName>
    <definedName name="wrn.quarterly." hidden="1">{"quarterly",#N/A,FALSE,"BAIRNUMB"}</definedName>
    <definedName name="wrn.Refining." localSheetId="2" hidden="1">{"Refining",#N/A,FALSE,"Refining"}</definedName>
    <definedName name="wrn.Refining." localSheetId="10" hidden="1">{"Refining",#N/A,FALSE,"Refining"}</definedName>
    <definedName name="wrn.Refining." localSheetId="6" hidden="1">{"Refining",#N/A,FALSE,"Refining"}</definedName>
    <definedName name="wrn.Refining." localSheetId="8" hidden="1">{"Refining",#N/A,FALSE,"Refining"}</definedName>
    <definedName name="wrn.Refining." localSheetId="9" hidden="1">{"Refining",#N/A,FALSE,"Refining"}</definedName>
    <definedName name="wrn.Refining." localSheetId="3" hidden="1">{"Refining",#N/A,FALSE,"Refining"}</definedName>
    <definedName name="wrn.Refining." localSheetId="7" hidden="1">{"Refining",#N/A,FALSE,"Refining"}</definedName>
    <definedName name="wrn.Refining." localSheetId="12" hidden="1">{"Refining",#N/A,FALSE,"Refining"}</definedName>
    <definedName name="wrn.Refining." hidden="1">{"Refining",#N/A,FALSE,"Refining"}</definedName>
    <definedName name="wrn.Report." localSheetId="2" hidden="1">{#N/A,#N/A,FALSE,"COVER";#N/A,#N/A,FALSE,"FORECAST";#N/A,#N/A,FALSE,"VALUATION";#N/A,#N/A,FALSE,"FY ANALYSIS ";#N/A,#N/A,FALSE," HY ANALYSIS"}</definedName>
    <definedName name="wrn.Report." localSheetId="10" hidden="1">{#N/A,#N/A,FALSE,"COVER";#N/A,#N/A,FALSE,"FORECAST";#N/A,#N/A,FALSE,"VALUATION";#N/A,#N/A,FALSE,"FY ANALYSIS ";#N/A,#N/A,FALSE," HY ANALYSIS"}</definedName>
    <definedName name="wrn.Report." localSheetId="6" hidden="1">{#N/A,#N/A,FALSE,"COVER";#N/A,#N/A,FALSE,"FORECAST";#N/A,#N/A,FALSE,"VALUATION";#N/A,#N/A,FALSE,"FY ANALYSIS ";#N/A,#N/A,FALSE," HY ANALYSIS"}</definedName>
    <definedName name="wrn.Report." localSheetId="8" hidden="1">{#N/A,#N/A,FALSE,"COVER";#N/A,#N/A,FALSE,"FORECAST";#N/A,#N/A,FALSE,"VALUATION";#N/A,#N/A,FALSE,"FY ANALYSIS ";#N/A,#N/A,FALSE," HY ANALYSIS"}</definedName>
    <definedName name="wrn.Report." localSheetId="9" hidden="1">{#N/A,#N/A,FALSE,"COVER";#N/A,#N/A,FALSE,"FORECAST";#N/A,#N/A,FALSE,"VALUATION";#N/A,#N/A,FALSE,"FY ANALYSIS ";#N/A,#N/A,FALSE," HY ANALYSIS"}</definedName>
    <definedName name="wrn.Report." localSheetId="3" hidden="1">{#N/A,#N/A,FALSE,"COVER";#N/A,#N/A,FALSE,"FORECAST";#N/A,#N/A,FALSE,"VALUATION";#N/A,#N/A,FALSE,"FY ANALYSIS ";#N/A,#N/A,FALSE," HY ANALYSIS"}</definedName>
    <definedName name="wrn.Report." localSheetId="7" hidden="1">{#N/A,#N/A,FALSE,"COVER";#N/A,#N/A,FALSE,"FORECAST";#N/A,#N/A,FALSE,"VALUATION";#N/A,#N/A,FALSE,"FY ANALYSIS ";#N/A,#N/A,FALSE," HY ANALYSIS"}</definedName>
    <definedName name="wrn.Report." localSheetId="12" hidden="1">{#N/A,#N/A,FALSE,"COVER";#N/A,#N/A,FALSE,"FORECAST";#N/A,#N/A,FALSE,"VALUATION";#N/A,#N/A,FALSE,"FY ANALYSIS ";#N/A,#N/A,FALSE," HY ANALYSIS"}</definedName>
    <definedName name="wrn.Report." hidden="1">{#N/A,#N/A,FALSE,"COVER";#N/A,#N/A,FALSE,"FORECAST";#N/A,#N/A,FALSE,"VALUATION";#N/A,#N/A,FALSE,"FY ANALYSIS ";#N/A,#N/A,FALSE," HY ANALYSIS"}</definedName>
    <definedName name="wrn.revenue._.historical." localSheetId="2"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10"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6"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8"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9"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3"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7"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12"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obert." localSheetId="2" hidden="1">{"ROR",#N/A,FALSE,"CF";"Total",#N/A,FALSE,"Reserve Report";"HPDP",#N/A,FALSE,"Reserve Report";"PPDP",#N/A,FALSE,"Reserve Report";"PDNP",#N/A,FALSE,"Reserve Report";"PUD",#N/A,FALSE,"Reserve Report";"Price",#N/A,FALSE,"Reserve Report"}</definedName>
    <definedName name="wrn.Robert." localSheetId="10" hidden="1">{"ROR",#N/A,FALSE,"CF";"Total",#N/A,FALSE,"Reserve Report";"HPDP",#N/A,FALSE,"Reserve Report";"PPDP",#N/A,FALSE,"Reserve Report";"PDNP",#N/A,FALSE,"Reserve Report";"PUD",#N/A,FALSE,"Reserve Report";"Price",#N/A,FALSE,"Reserve Report"}</definedName>
    <definedName name="wrn.Robert." localSheetId="6" hidden="1">{"ROR",#N/A,FALSE,"CF";"Total",#N/A,FALSE,"Reserve Report";"HPDP",#N/A,FALSE,"Reserve Report";"PPDP",#N/A,FALSE,"Reserve Report";"PDNP",#N/A,FALSE,"Reserve Report";"PUD",#N/A,FALSE,"Reserve Report";"Price",#N/A,FALSE,"Reserve Report"}</definedName>
    <definedName name="wrn.Robert." localSheetId="8" hidden="1">{"ROR",#N/A,FALSE,"CF";"Total",#N/A,FALSE,"Reserve Report";"HPDP",#N/A,FALSE,"Reserve Report";"PPDP",#N/A,FALSE,"Reserve Report";"PDNP",#N/A,FALSE,"Reserve Report";"PUD",#N/A,FALSE,"Reserve Report";"Price",#N/A,FALSE,"Reserve Report"}</definedName>
    <definedName name="wrn.Robert." localSheetId="9" hidden="1">{"ROR",#N/A,FALSE,"CF";"Total",#N/A,FALSE,"Reserve Report";"HPDP",#N/A,FALSE,"Reserve Report";"PPDP",#N/A,FALSE,"Reserve Report";"PDNP",#N/A,FALSE,"Reserve Report";"PUD",#N/A,FALSE,"Reserve Report";"Price",#N/A,FALSE,"Reserve Report"}</definedName>
    <definedName name="wrn.Robert." localSheetId="3" hidden="1">{"ROR",#N/A,FALSE,"CF";"Total",#N/A,FALSE,"Reserve Report";"HPDP",#N/A,FALSE,"Reserve Report";"PPDP",#N/A,FALSE,"Reserve Report";"PDNP",#N/A,FALSE,"Reserve Report";"PUD",#N/A,FALSE,"Reserve Report";"Price",#N/A,FALSE,"Reserve Report"}</definedName>
    <definedName name="wrn.Robert." localSheetId="7" hidden="1">{"ROR",#N/A,FALSE,"CF";"Total",#N/A,FALSE,"Reserve Report";"HPDP",#N/A,FALSE,"Reserve Report";"PPDP",#N/A,FALSE,"Reserve Report";"PDNP",#N/A,FALSE,"Reserve Report";"PUD",#N/A,FALSE,"Reserve Report";"Price",#N/A,FALSE,"Reserve Report"}</definedName>
    <definedName name="wrn.Robert." localSheetId="12" hidden="1">{"ROR",#N/A,FALSE,"CF";"Total",#N/A,FALSE,"Reserve Report";"HPDP",#N/A,FALSE,"Reserve Report";"PPDP",#N/A,FALSE,"Reserve Report";"PDNP",#N/A,FALSE,"Reserve Report";"PUD",#N/A,FALSE,"Reserve Report";"Price",#N/A,FALSE,"Reserve Report"}</definedName>
    <definedName name="wrn.Robert." hidden="1">{"ROR",#N/A,FALSE,"CF";"Total",#N/A,FALSE,"Reserve Report";"HPDP",#N/A,FALSE,"Reserve Report";"PPDP",#N/A,FALSE,"Reserve Report";"PDNP",#N/A,FALSE,"Reserve Report";"PUD",#N/A,FALSE,"Reserve Report";"Price",#N/A,FALSE,"Reserve Report"}</definedName>
    <definedName name="wrn.Roll._.Up._.Fields." localSheetId="2" hidden="1">{"Total",#N/A,FALSE,"Six Fields";"PDP",#N/A,FALSE,"Six Fields";"PNP",#N/A,FALSE,"Six Fields";"PUD",#N/A,FALSE,"Six Fields";"Prob",#N/A,FALSE,"Six Fields"}</definedName>
    <definedName name="wrn.Roll._.Up._.Fields." localSheetId="10" hidden="1">{"Total",#N/A,FALSE,"Six Fields";"PDP",#N/A,FALSE,"Six Fields";"PNP",#N/A,FALSE,"Six Fields";"PUD",#N/A,FALSE,"Six Fields";"Prob",#N/A,FALSE,"Six Fields"}</definedName>
    <definedName name="wrn.Roll._.Up._.Fields." localSheetId="6" hidden="1">{"Total",#N/A,FALSE,"Six Fields";"PDP",#N/A,FALSE,"Six Fields";"PNP",#N/A,FALSE,"Six Fields";"PUD",#N/A,FALSE,"Six Fields";"Prob",#N/A,FALSE,"Six Fields"}</definedName>
    <definedName name="wrn.Roll._.Up._.Fields." localSheetId="8" hidden="1">{"Total",#N/A,FALSE,"Six Fields";"PDP",#N/A,FALSE,"Six Fields";"PNP",#N/A,FALSE,"Six Fields";"PUD",#N/A,FALSE,"Six Fields";"Prob",#N/A,FALSE,"Six Fields"}</definedName>
    <definedName name="wrn.Roll._.Up._.Fields." localSheetId="9" hidden="1">{"Total",#N/A,FALSE,"Six Fields";"PDP",#N/A,FALSE,"Six Fields";"PNP",#N/A,FALSE,"Six Fields";"PUD",#N/A,FALSE,"Six Fields";"Prob",#N/A,FALSE,"Six Fields"}</definedName>
    <definedName name="wrn.Roll._.Up._.Fields." localSheetId="3" hidden="1">{"Total",#N/A,FALSE,"Six Fields";"PDP",#N/A,FALSE,"Six Fields";"PNP",#N/A,FALSE,"Six Fields";"PUD",#N/A,FALSE,"Six Fields";"Prob",#N/A,FALSE,"Six Fields"}</definedName>
    <definedName name="wrn.Roll._.Up._.Fields." localSheetId="7" hidden="1">{"Total",#N/A,FALSE,"Six Fields";"PDP",#N/A,FALSE,"Six Fields";"PNP",#N/A,FALSE,"Six Fields";"PUD",#N/A,FALSE,"Six Fields";"Prob",#N/A,FALSE,"Six Fields"}</definedName>
    <definedName name="wrn.Roll._.Up._.Fields." localSheetId="12"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segment._.EPS." localSheetId="2" hidden="1">{"segment_EPS",#N/A,FALSE,"TXTCOMPS"}</definedName>
    <definedName name="wrn.segment._.EPS." localSheetId="10" hidden="1">{"segment_EPS",#N/A,FALSE,"TXTCOMPS"}</definedName>
    <definedName name="wrn.segment._.EPS." localSheetId="6" hidden="1">{"segment_EPS",#N/A,FALSE,"TXTCOMPS"}</definedName>
    <definedName name="wrn.segment._.EPS." localSheetId="8" hidden="1">{"segment_EPS",#N/A,FALSE,"TXTCOMPS"}</definedName>
    <definedName name="wrn.segment._.EPS." localSheetId="9" hidden="1">{"segment_EPS",#N/A,FALSE,"TXTCOMPS"}</definedName>
    <definedName name="wrn.segment._.EPS." localSheetId="3" hidden="1">{"segment_EPS",#N/A,FALSE,"TXTCOMPS"}</definedName>
    <definedName name="wrn.segment._.EPS." localSheetId="7" hidden="1">{"segment_EPS",#N/A,FALSE,"TXTCOMPS"}</definedName>
    <definedName name="wrn.segment._.EPS." localSheetId="12" hidden="1">{"segment_EPS",#N/A,FALSE,"TXTCOMPS"}</definedName>
    <definedName name="wrn.segment._.EPS." hidden="1">{"segment_EPS",#N/A,FALSE,"TXTCOMPS"}</definedName>
    <definedName name="wrn.SGPMODELS." localSheetId="2" hidden="1">{"QTRINC1",#N/A,FALSE,"SGPNEW";"QTRINC2",#N/A,FALSE,"SGPNEW";"USSALES1",#N/A,FALSE,"SGPNEW";"USSALES2",#N/A,FALSE,"SGPNEW";"INTLSALES1",#N/A,FALSE,"SGPNEW";"INTLSALES2",#N/A,FALSE,"SGPNEW";"WWSALES1",#N/A,FALSE,"SGPNEW";"WWSALES2",#N/A,FALSE,"SGPNEW";"NEWPRODS",#N/A,FALSE,"SGPNEW";"CASHFLOW",#N/A,FALSE,"SGPNEW"}</definedName>
    <definedName name="wrn.SGPMODELS." localSheetId="10" hidden="1">{"QTRINC1",#N/A,FALSE,"SGPNEW";"QTRINC2",#N/A,FALSE,"SGPNEW";"USSALES1",#N/A,FALSE,"SGPNEW";"USSALES2",#N/A,FALSE,"SGPNEW";"INTLSALES1",#N/A,FALSE,"SGPNEW";"INTLSALES2",#N/A,FALSE,"SGPNEW";"WWSALES1",#N/A,FALSE,"SGPNEW";"WWSALES2",#N/A,FALSE,"SGPNEW";"NEWPRODS",#N/A,FALSE,"SGPNEW";"CASHFLOW",#N/A,FALSE,"SGPNEW"}</definedName>
    <definedName name="wrn.SGPMODELS." localSheetId="6" hidden="1">{"QTRINC1",#N/A,FALSE,"SGPNEW";"QTRINC2",#N/A,FALSE,"SGPNEW";"USSALES1",#N/A,FALSE,"SGPNEW";"USSALES2",#N/A,FALSE,"SGPNEW";"INTLSALES1",#N/A,FALSE,"SGPNEW";"INTLSALES2",#N/A,FALSE,"SGPNEW";"WWSALES1",#N/A,FALSE,"SGPNEW";"WWSALES2",#N/A,FALSE,"SGPNEW";"NEWPRODS",#N/A,FALSE,"SGPNEW";"CASHFLOW",#N/A,FALSE,"SGPNEW"}</definedName>
    <definedName name="wrn.SGPMODELS." localSheetId="8" hidden="1">{"QTRINC1",#N/A,FALSE,"SGPNEW";"QTRINC2",#N/A,FALSE,"SGPNEW";"USSALES1",#N/A,FALSE,"SGPNEW";"USSALES2",#N/A,FALSE,"SGPNEW";"INTLSALES1",#N/A,FALSE,"SGPNEW";"INTLSALES2",#N/A,FALSE,"SGPNEW";"WWSALES1",#N/A,FALSE,"SGPNEW";"WWSALES2",#N/A,FALSE,"SGPNEW";"NEWPRODS",#N/A,FALSE,"SGPNEW";"CASHFLOW",#N/A,FALSE,"SGPNEW"}</definedName>
    <definedName name="wrn.SGPMODELS." localSheetId="9" hidden="1">{"QTRINC1",#N/A,FALSE,"SGPNEW";"QTRINC2",#N/A,FALSE,"SGPNEW";"USSALES1",#N/A,FALSE,"SGPNEW";"USSALES2",#N/A,FALSE,"SGPNEW";"INTLSALES1",#N/A,FALSE,"SGPNEW";"INTLSALES2",#N/A,FALSE,"SGPNEW";"WWSALES1",#N/A,FALSE,"SGPNEW";"WWSALES2",#N/A,FALSE,"SGPNEW";"NEWPRODS",#N/A,FALSE,"SGPNEW";"CASHFLOW",#N/A,FALSE,"SGPNEW"}</definedName>
    <definedName name="wrn.SGPMODELS." localSheetId="3" hidden="1">{"QTRINC1",#N/A,FALSE,"SGPNEW";"QTRINC2",#N/A,FALSE,"SGPNEW";"USSALES1",#N/A,FALSE,"SGPNEW";"USSALES2",#N/A,FALSE,"SGPNEW";"INTLSALES1",#N/A,FALSE,"SGPNEW";"INTLSALES2",#N/A,FALSE,"SGPNEW";"WWSALES1",#N/A,FALSE,"SGPNEW";"WWSALES2",#N/A,FALSE,"SGPNEW";"NEWPRODS",#N/A,FALSE,"SGPNEW";"CASHFLOW",#N/A,FALSE,"SGPNEW"}</definedName>
    <definedName name="wrn.SGPMODELS." localSheetId="7" hidden="1">{"QTRINC1",#N/A,FALSE,"SGPNEW";"QTRINC2",#N/A,FALSE,"SGPNEW";"USSALES1",#N/A,FALSE,"SGPNEW";"USSALES2",#N/A,FALSE,"SGPNEW";"INTLSALES1",#N/A,FALSE,"SGPNEW";"INTLSALES2",#N/A,FALSE,"SGPNEW";"WWSALES1",#N/A,FALSE,"SGPNEW";"WWSALES2",#N/A,FALSE,"SGPNEW";"NEWPRODS",#N/A,FALSE,"SGPNEW";"CASHFLOW",#N/A,FALSE,"SGPNEW"}</definedName>
    <definedName name="wrn.SGPMODELS." localSheetId="12" hidden="1">{"QTRINC1",#N/A,FALSE,"SGPNEW";"QTRINC2",#N/A,FALSE,"SGPNEW";"USSALES1",#N/A,FALSE,"SGPNEW";"USSALES2",#N/A,FALSE,"SGPNEW";"INTLSALES1",#N/A,FALSE,"SGPNEW";"INTLSALES2",#N/A,FALSE,"SGPNEW";"WWSALES1",#N/A,FALSE,"SGPNEW";"WWSALES2",#N/A,FALSE,"SGPNEW";"NEWPRODS",#N/A,FALSE,"SGPNEW";"CASHFLOW",#N/A,FALSE,"SGPNEW"}</definedName>
    <definedName name="wrn.SGPMODELS." hidden="1">{"QTRINC1",#N/A,FALSE,"SGPNEW";"QTRINC2",#N/A,FALSE,"SGPNEW";"USSALES1",#N/A,FALSE,"SGPNEW";"USSALES2",#N/A,FALSE,"SGPNEW";"INTLSALES1",#N/A,FALSE,"SGPNEW";"INTLSALES2",#N/A,FALSE,"SGPNEW";"WWSALES1",#N/A,FALSE,"SGPNEW";"WWSALES2",#N/A,FALSE,"SGPNEW";"NEWPRODS",#N/A,FALSE,"SGPNEW";"CASHFLOW",#N/A,FALSE,"SGPNEW"}</definedName>
    <definedName name="wrn.Shareholders._.and._.Employees." localSheetId="2" hidden="1">{#N/A,#N/A,FALSE,"Share the Wealth";#N/A,#N/A,FALSE,"Shareholders vs Employees";#N/A,#N/A,FALSE,"Share vs Emp Summary"}</definedName>
    <definedName name="wrn.Shareholders._.and._.Employees." localSheetId="10" hidden="1">{#N/A,#N/A,FALSE,"Share the Wealth";#N/A,#N/A,FALSE,"Shareholders vs Employees";#N/A,#N/A,FALSE,"Share vs Emp Summary"}</definedName>
    <definedName name="wrn.Shareholders._.and._.Employees." localSheetId="6" hidden="1">{#N/A,#N/A,FALSE,"Share the Wealth";#N/A,#N/A,FALSE,"Shareholders vs Employees";#N/A,#N/A,FALSE,"Share vs Emp Summary"}</definedName>
    <definedName name="wrn.Shareholders._.and._.Employees." localSheetId="8" hidden="1">{#N/A,#N/A,FALSE,"Share the Wealth";#N/A,#N/A,FALSE,"Shareholders vs Employees";#N/A,#N/A,FALSE,"Share vs Emp Summary"}</definedName>
    <definedName name="wrn.Shareholders._.and._.Employees." localSheetId="9" hidden="1">{#N/A,#N/A,FALSE,"Share the Wealth";#N/A,#N/A,FALSE,"Shareholders vs Employees";#N/A,#N/A,FALSE,"Share vs Emp Summary"}</definedName>
    <definedName name="wrn.Shareholders._.and._.Employees." localSheetId="3" hidden="1">{#N/A,#N/A,FALSE,"Share the Wealth";#N/A,#N/A,FALSE,"Shareholders vs Employees";#N/A,#N/A,FALSE,"Share vs Emp Summary"}</definedName>
    <definedName name="wrn.Shareholders._.and._.Employees." localSheetId="7" hidden="1">{#N/A,#N/A,FALSE,"Share the Wealth";#N/A,#N/A,FALSE,"Shareholders vs Employees";#N/A,#N/A,FALSE,"Share vs Emp Summary"}</definedName>
    <definedName name="wrn.Shareholders._.and._.Employees." localSheetId="12" hidden="1">{#N/A,#N/A,FALSE,"Share the Wealth";#N/A,#N/A,FALSE,"Shareholders vs Employees";#N/A,#N/A,FALSE,"Share vs Emp Summary"}</definedName>
    <definedName name="wrn.Shareholders._.and._.Employees." hidden="1">{#N/A,#N/A,FALSE,"Share the Wealth";#N/A,#N/A,FALSE,"Shareholders vs Employees";#N/A,#N/A,FALSE,"Share vs Emp Summary"}</definedName>
    <definedName name="wrn.SunModel." localSheetId="2" hidden="1">{#N/A,#N/A,FALSE,"summary";#N/A,#N/A,FALSE,"SIH";#N/A,#N/A,FALSE,"SIH Value";#N/A,#N/A,FALSE,"tax est.";#N/A,#N/A,FALSE,"Mohegan";#N/A,#N/A,FALSE,"Resorts";#N/A,#N/A,FALSE,"Win Per Day";#N/A,#N/A,FALSE,"CapStr"}</definedName>
    <definedName name="wrn.SunModel." localSheetId="10" hidden="1">{#N/A,#N/A,FALSE,"summary";#N/A,#N/A,FALSE,"SIH";#N/A,#N/A,FALSE,"SIH Value";#N/A,#N/A,FALSE,"tax est.";#N/A,#N/A,FALSE,"Mohegan";#N/A,#N/A,FALSE,"Resorts";#N/A,#N/A,FALSE,"Win Per Day";#N/A,#N/A,FALSE,"CapStr"}</definedName>
    <definedName name="wrn.SunModel." localSheetId="6" hidden="1">{#N/A,#N/A,FALSE,"summary";#N/A,#N/A,FALSE,"SIH";#N/A,#N/A,FALSE,"SIH Value";#N/A,#N/A,FALSE,"tax est.";#N/A,#N/A,FALSE,"Mohegan";#N/A,#N/A,FALSE,"Resorts";#N/A,#N/A,FALSE,"Win Per Day";#N/A,#N/A,FALSE,"CapStr"}</definedName>
    <definedName name="wrn.SunModel." localSheetId="8" hidden="1">{#N/A,#N/A,FALSE,"summary";#N/A,#N/A,FALSE,"SIH";#N/A,#N/A,FALSE,"SIH Value";#N/A,#N/A,FALSE,"tax est.";#N/A,#N/A,FALSE,"Mohegan";#N/A,#N/A,FALSE,"Resorts";#N/A,#N/A,FALSE,"Win Per Day";#N/A,#N/A,FALSE,"CapStr"}</definedName>
    <definedName name="wrn.SunModel." localSheetId="9" hidden="1">{#N/A,#N/A,FALSE,"summary";#N/A,#N/A,FALSE,"SIH";#N/A,#N/A,FALSE,"SIH Value";#N/A,#N/A,FALSE,"tax est.";#N/A,#N/A,FALSE,"Mohegan";#N/A,#N/A,FALSE,"Resorts";#N/A,#N/A,FALSE,"Win Per Day";#N/A,#N/A,FALSE,"CapStr"}</definedName>
    <definedName name="wrn.SunModel." localSheetId="3" hidden="1">{#N/A,#N/A,FALSE,"summary";#N/A,#N/A,FALSE,"SIH";#N/A,#N/A,FALSE,"SIH Value";#N/A,#N/A,FALSE,"tax est.";#N/A,#N/A,FALSE,"Mohegan";#N/A,#N/A,FALSE,"Resorts";#N/A,#N/A,FALSE,"Win Per Day";#N/A,#N/A,FALSE,"CapStr"}</definedName>
    <definedName name="wrn.SunModel." localSheetId="7" hidden="1">{#N/A,#N/A,FALSE,"summary";#N/A,#N/A,FALSE,"SIH";#N/A,#N/A,FALSE,"SIH Value";#N/A,#N/A,FALSE,"tax est.";#N/A,#N/A,FALSE,"Mohegan";#N/A,#N/A,FALSE,"Resorts";#N/A,#N/A,FALSE,"Win Per Day";#N/A,#N/A,FALSE,"CapStr"}</definedName>
    <definedName name="wrn.SunModel." localSheetId="12" hidden="1">{#N/A,#N/A,FALSE,"summary";#N/A,#N/A,FALSE,"SIH";#N/A,#N/A,FALSE,"SIH Value";#N/A,#N/A,FALSE,"tax est.";#N/A,#N/A,FALSE,"Mohegan";#N/A,#N/A,FALSE,"Resorts";#N/A,#N/A,FALSE,"Win Per Day";#N/A,#N/A,FALSE,"CapStr"}</definedName>
    <definedName name="wrn.SunModel." hidden="1">{#N/A,#N/A,FALSE,"summary";#N/A,#N/A,FALSE,"SIH";#N/A,#N/A,FALSE,"SIH Value";#N/A,#N/A,FALSE,"tax est.";#N/A,#N/A,FALSE,"Mohegan";#N/A,#N/A,FALSE,"Resorts";#N/A,#N/A,FALSE,"Win Per Day";#N/A,#N/A,FALSE,"CapStr"}</definedName>
    <definedName name="wrn.Tables." localSheetId="2" hidden="1">{"view1",#N/A,FALSE,"Tables";"view2",#N/A,FALSE,"Tables";"view3",#N/A,FALSE,"Tables"}</definedName>
    <definedName name="wrn.Tables." localSheetId="10" hidden="1">{"view1",#N/A,FALSE,"Tables";"view2",#N/A,FALSE,"Tables";"view3",#N/A,FALSE,"Tables"}</definedName>
    <definedName name="wrn.Tables." localSheetId="6" hidden="1">{"view1",#N/A,FALSE,"Tables";"view2",#N/A,FALSE,"Tables";"view3",#N/A,FALSE,"Tables"}</definedName>
    <definedName name="wrn.Tables." localSheetId="8" hidden="1">{"view1",#N/A,FALSE,"Tables";"view2",#N/A,FALSE,"Tables";"view3",#N/A,FALSE,"Tables"}</definedName>
    <definedName name="wrn.Tables." localSheetId="9" hidden="1">{"view1",#N/A,FALSE,"Tables";"view2",#N/A,FALSE,"Tables";"view3",#N/A,FALSE,"Tables"}</definedName>
    <definedName name="wrn.Tables." localSheetId="3" hidden="1">{"view1",#N/A,FALSE,"Tables";"view2",#N/A,FALSE,"Tables";"view3",#N/A,FALSE,"Tables"}</definedName>
    <definedName name="wrn.Tables." localSheetId="7" hidden="1">{"view1",#N/A,FALSE,"Tables";"view2",#N/A,FALSE,"Tables";"view3",#N/A,FALSE,"Tables"}</definedName>
    <definedName name="wrn.Tables." localSheetId="12" hidden="1">{"view1",#N/A,FALSE,"Tables";"view2",#N/A,FALSE,"Tables";"view3",#N/A,FALSE,"Tables"}</definedName>
    <definedName name="wrn.Tables." hidden="1">{"view1",#N/A,FALSE,"Tables";"view2",#N/A,FALSE,"Tables";"view3",#N/A,FALSE,"Tables"}</definedName>
    <definedName name="wrn.Textron." localSheetId="2" hidden="1">{#N/A,#N/A,FALSE,"IS";#N/A,#N/A,FALSE,"SG";#N/A,#N/A,FALSE,"FF";#N/A,#N/A,FALSE,"BS";#N/A,#N/A,FALSE,"DCF";#N/A,#N/A,FALSE,"EVA";#N/A,#N/A,FALSE,"Air";#N/A,#N/A,FALSE,"Car";#N/A,#N/A,FALSE,"Ind";#N/A,#N/A,FALSE,"Sys";#N/A,#N/A,FALSE,"Fin";#N/A,#N/A,FALSE,"Ces";#N/A,#N/A,FALSE,"Bell"}</definedName>
    <definedName name="wrn.Textron." localSheetId="10" hidden="1">{#N/A,#N/A,FALSE,"IS";#N/A,#N/A,FALSE,"SG";#N/A,#N/A,FALSE,"FF";#N/A,#N/A,FALSE,"BS";#N/A,#N/A,FALSE,"DCF";#N/A,#N/A,FALSE,"EVA";#N/A,#N/A,FALSE,"Air";#N/A,#N/A,FALSE,"Car";#N/A,#N/A,FALSE,"Ind";#N/A,#N/A,FALSE,"Sys";#N/A,#N/A,FALSE,"Fin";#N/A,#N/A,FALSE,"Ces";#N/A,#N/A,FALSE,"Bell"}</definedName>
    <definedName name="wrn.Textron." localSheetId="6" hidden="1">{#N/A,#N/A,FALSE,"IS";#N/A,#N/A,FALSE,"SG";#N/A,#N/A,FALSE,"FF";#N/A,#N/A,FALSE,"BS";#N/A,#N/A,FALSE,"DCF";#N/A,#N/A,FALSE,"EVA";#N/A,#N/A,FALSE,"Air";#N/A,#N/A,FALSE,"Car";#N/A,#N/A,FALSE,"Ind";#N/A,#N/A,FALSE,"Sys";#N/A,#N/A,FALSE,"Fin";#N/A,#N/A,FALSE,"Ces";#N/A,#N/A,FALSE,"Bell"}</definedName>
    <definedName name="wrn.Textron." localSheetId="8" hidden="1">{#N/A,#N/A,FALSE,"IS";#N/A,#N/A,FALSE,"SG";#N/A,#N/A,FALSE,"FF";#N/A,#N/A,FALSE,"BS";#N/A,#N/A,FALSE,"DCF";#N/A,#N/A,FALSE,"EVA";#N/A,#N/A,FALSE,"Air";#N/A,#N/A,FALSE,"Car";#N/A,#N/A,FALSE,"Ind";#N/A,#N/A,FALSE,"Sys";#N/A,#N/A,FALSE,"Fin";#N/A,#N/A,FALSE,"Ces";#N/A,#N/A,FALSE,"Bell"}</definedName>
    <definedName name="wrn.Textron." localSheetId="9" hidden="1">{#N/A,#N/A,FALSE,"IS";#N/A,#N/A,FALSE,"SG";#N/A,#N/A,FALSE,"FF";#N/A,#N/A,FALSE,"BS";#N/A,#N/A,FALSE,"DCF";#N/A,#N/A,FALSE,"EVA";#N/A,#N/A,FALSE,"Air";#N/A,#N/A,FALSE,"Car";#N/A,#N/A,FALSE,"Ind";#N/A,#N/A,FALSE,"Sys";#N/A,#N/A,FALSE,"Fin";#N/A,#N/A,FALSE,"Ces";#N/A,#N/A,FALSE,"Bell"}</definedName>
    <definedName name="wrn.Textron." localSheetId="3" hidden="1">{#N/A,#N/A,FALSE,"IS";#N/A,#N/A,FALSE,"SG";#N/A,#N/A,FALSE,"FF";#N/A,#N/A,FALSE,"BS";#N/A,#N/A,FALSE,"DCF";#N/A,#N/A,FALSE,"EVA";#N/A,#N/A,FALSE,"Air";#N/A,#N/A,FALSE,"Car";#N/A,#N/A,FALSE,"Ind";#N/A,#N/A,FALSE,"Sys";#N/A,#N/A,FALSE,"Fin";#N/A,#N/A,FALSE,"Ces";#N/A,#N/A,FALSE,"Bell"}</definedName>
    <definedName name="wrn.Textron." localSheetId="7" hidden="1">{#N/A,#N/A,FALSE,"IS";#N/A,#N/A,FALSE,"SG";#N/A,#N/A,FALSE,"FF";#N/A,#N/A,FALSE,"BS";#N/A,#N/A,FALSE,"DCF";#N/A,#N/A,FALSE,"EVA";#N/A,#N/A,FALSE,"Air";#N/A,#N/A,FALSE,"Car";#N/A,#N/A,FALSE,"Ind";#N/A,#N/A,FALSE,"Sys";#N/A,#N/A,FALSE,"Fin";#N/A,#N/A,FALSE,"Ces";#N/A,#N/A,FALSE,"Bell"}</definedName>
    <definedName name="wrn.Textron." localSheetId="12" hidden="1">{#N/A,#N/A,FALSE,"IS";#N/A,#N/A,FALSE,"SG";#N/A,#N/A,FALSE,"FF";#N/A,#N/A,FALSE,"BS";#N/A,#N/A,FALSE,"DCF";#N/A,#N/A,FALSE,"EVA";#N/A,#N/A,FALSE,"Air";#N/A,#N/A,FALSE,"Car";#N/A,#N/A,FALSE,"Ind";#N/A,#N/A,FALSE,"Sys";#N/A,#N/A,FALSE,"Fin";#N/A,#N/A,FALSE,"Ces";#N/A,#N/A,FALSE,"Bell"}</definedName>
    <definedName name="wrn.Textron." hidden="1">{#N/A,#N/A,FALSE,"IS";#N/A,#N/A,FALSE,"SG";#N/A,#N/A,FALSE,"FF";#N/A,#N/A,FALSE,"BS";#N/A,#N/A,FALSE,"DCF";#N/A,#N/A,FALSE,"EVA";#N/A,#N/A,FALSE,"Air";#N/A,#N/A,FALSE,"Car";#N/A,#N/A,FALSE,"Ind";#N/A,#N/A,FALSE,"Sys";#N/A,#N/A,FALSE,"Fin";#N/A,#N/A,FALSE,"Ces";#N/A,#N/A,FALSE,"Bell"}</definedName>
    <definedName name="wrn.TheWholeEnchilada." localSheetId="2" hidden="1">{"CSheet",#N/A,FALSE,"C";"SmCap",#N/A,FALSE,"VAL1";"GulfCoast",#N/A,FALSE,"VAL1";"nav",#N/A,FALSE,"NAV";"Summary",#N/A,FALSE,"NAV"}</definedName>
    <definedName name="wrn.TheWholeEnchilada." localSheetId="10" hidden="1">{"CSheet",#N/A,FALSE,"C";"SmCap",#N/A,FALSE,"VAL1";"GulfCoast",#N/A,FALSE,"VAL1";"nav",#N/A,FALSE,"NAV";"Summary",#N/A,FALSE,"NAV"}</definedName>
    <definedName name="wrn.TheWholeEnchilada." localSheetId="6" hidden="1">{"CSheet",#N/A,FALSE,"C";"SmCap",#N/A,FALSE,"VAL1";"GulfCoast",#N/A,FALSE,"VAL1";"nav",#N/A,FALSE,"NAV";"Summary",#N/A,FALSE,"NAV"}</definedName>
    <definedName name="wrn.TheWholeEnchilada." localSheetId="8" hidden="1">{"CSheet",#N/A,FALSE,"C";"SmCap",#N/A,FALSE,"VAL1";"GulfCoast",#N/A,FALSE,"VAL1";"nav",#N/A,FALSE,"NAV";"Summary",#N/A,FALSE,"NAV"}</definedName>
    <definedName name="wrn.TheWholeEnchilada." localSheetId="9" hidden="1">{"CSheet",#N/A,FALSE,"C";"SmCap",#N/A,FALSE,"VAL1";"GulfCoast",#N/A,FALSE,"VAL1";"nav",#N/A,FALSE,"NAV";"Summary",#N/A,FALSE,"NAV"}</definedName>
    <definedName name="wrn.TheWholeEnchilada." localSheetId="3" hidden="1">{"CSheet",#N/A,FALSE,"C";"SmCap",#N/A,FALSE,"VAL1";"GulfCoast",#N/A,FALSE,"VAL1";"nav",#N/A,FALSE,"NAV";"Summary",#N/A,FALSE,"NAV"}</definedName>
    <definedName name="wrn.TheWholeEnchilada." localSheetId="7" hidden="1">{"CSheet",#N/A,FALSE,"C";"SmCap",#N/A,FALSE,"VAL1";"GulfCoast",#N/A,FALSE,"VAL1";"nav",#N/A,FALSE,"NAV";"Summary",#N/A,FALSE,"NAV"}</definedName>
    <definedName name="wrn.TheWholeEnchilada." localSheetId="12" hidden="1">{"CSheet",#N/A,FALSE,"C";"SmCap",#N/A,FALSE,"VAL1";"GulfCoast",#N/A,FALSE,"VAL1";"nav",#N/A,FALSE,"NAV";"Summary",#N/A,FALSE,"NAV"}</definedName>
    <definedName name="wrn.TheWholeEnchilada." hidden="1">{"CSheet",#N/A,FALSE,"C";"SmCap",#N/A,FALSE,"VAL1";"GulfCoast",#N/A,FALSE,"VAL1";"nav",#N/A,FALSE,"NAV";"Summary",#N/A,FALSE,"NAV"}</definedName>
    <definedName name="wrn.Total._.Proved." localSheetId="2" hidden="1">{"Total",#N/A,FALSE,"Reserve Report";"HPDP",#N/A,FALSE,"Reserve Report";"PPDP",#N/A,FALSE,"Reserve Report";"PDNP",#N/A,FALSE,"Reserve Report";"PUD",#N/A,FALSE,"Reserve Report"}</definedName>
    <definedName name="wrn.Total._.Proved." localSheetId="10" hidden="1">{"Total",#N/A,FALSE,"Reserve Report";"HPDP",#N/A,FALSE,"Reserve Report";"PPDP",#N/A,FALSE,"Reserve Report";"PDNP",#N/A,FALSE,"Reserve Report";"PUD",#N/A,FALSE,"Reserve Report"}</definedName>
    <definedName name="wrn.Total._.Proved." localSheetId="6" hidden="1">{"Total",#N/A,FALSE,"Reserve Report";"HPDP",#N/A,FALSE,"Reserve Report";"PPDP",#N/A,FALSE,"Reserve Report";"PDNP",#N/A,FALSE,"Reserve Report";"PUD",#N/A,FALSE,"Reserve Report"}</definedName>
    <definedName name="wrn.Total._.Proved." localSheetId="8" hidden="1">{"Total",#N/A,FALSE,"Reserve Report";"HPDP",#N/A,FALSE,"Reserve Report";"PPDP",#N/A,FALSE,"Reserve Report";"PDNP",#N/A,FALSE,"Reserve Report";"PUD",#N/A,FALSE,"Reserve Report"}</definedName>
    <definedName name="wrn.Total._.Proved." localSheetId="9" hidden="1">{"Total",#N/A,FALSE,"Reserve Report";"HPDP",#N/A,FALSE,"Reserve Report";"PPDP",#N/A,FALSE,"Reserve Report";"PDNP",#N/A,FALSE,"Reserve Report";"PUD",#N/A,FALSE,"Reserve Report"}</definedName>
    <definedName name="wrn.Total._.Proved." localSheetId="3" hidden="1">{"Total",#N/A,FALSE,"Reserve Report";"HPDP",#N/A,FALSE,"Reserve Report";"PPDP",#N/A,FALSE,"Reserve Report";"PDNP",#N/A,FALSE,"Reserve Report";"PUD",#N/A,FALSE,"Reserve Report"}</definedName>
    <definedName name="wrn.Total._.Proved." localSheetId="7" hidden="1">{"Total",#N/A,FALSE,"Reserve Report";"HPDP",#N/A,FALSE,"Reserve Report";"PPDP",#N/A,FALSE,"Reserve Report";"PDNP",#N/A,FALSE,"Reserve Report";"PUD",#N/A,FALSE,"Reserve Report"}</definedName>
    <definedName name="wrn.Total._.Proved." localSheetId="12" hidden="1">{"Total",#N/A,FALSE,"Reserve Report";"HPDP",#N/A,FALSE,"Reserve Report";"PPDP",#N/A,FALSE,"Reserve Report";"PDNP",#N/A,FALSE,"Reserve Report";"PUD",#N/A,FALSE,"Reserve Report"}</definedName>
    <definedName name="wrn.Total._.Proved." hidden="1">{"Total",#N/A,FALSE,"Reserve Report";"HPDP",#N/A,FALSE,"Reserve Report";"PPDP",#N/A,FALSE,"Reserve Report";"PDNP",#N/A,FALSE,"Reserve Report";"PUD",#N/A,FALSE,"Reserve Report"}</definedName>
    <definedName name="wrn.Total._.Proved._.plus._.Probable." localSheetId="2" hidden="1">{"Total",#N/A,FALSE,"Total Proved + Probable";"PDP",#N/A,FALSE,"Total Proved + Probable";"PNP",#N/A,FALSE,"Total Proved + Probable";"PUD",#N/A,FALSE,"Total Proved + Probable";"Prob",#N/A,FALSE,"Total Proved + Probable"}</definedName>
    <definedName name="wrn.Total._.Proved._.plus._.Probable." localSheetId="10" hidden="1">{"Total",#N/A,FALSE,"Total Proved + Probable";"PDP",#N/A,FALSE,"Total Proved + Probable";"PNP",#N/A,FALSE,"Total Proved + Probable";"PUD",#N/A,FALSE,"Total Proved + Probable";"Prob",#N/A,FALSE,"Total Proved + Probable"}</definedName>
    <definedName name="wrn.Total._.Proved._.plus._.Probable." localSheetId="6" hidden="1">{"Total",#N/A,FALSE,"Total Proved + Probable";"PDP",#N/A,FALSE,"Total Proved + Probable";"PNP",#N/A,FALSE,"Total Proved + Probable";"PUD",#N/A,FALSE,"Total Proved + Probable";"Prob",#N/A,FALSE,"Total Proved + Probable"}</definedName>
    <definedName name="wrn.Total._.Proved._.plus._.Probable." localSheetId="8" hidden="1">{"Total",#N/A,FALSE,"Total Proved + Probable";"PDP",#N/A,FALSE,"Total Proved + Probable";"PNP",#N/A,FALSE,"Total Proved + Probable";"PUD",#N/A,FALSE,"Total Proved + Probable";"Prob",#N/A,FALSE,"Total Proved + Probable"}</definedName>
    <definedName name="wrn.Total._.Proved._.plus._.Probable." localSheetId="9" hidden="1">{"Total",#N/A,FALSE,"Total Proved + Probable";"PDP",#N/A,FALSE,"Total Proved + Probable";"PNP",#N/A,FALSE,"Total Proved + Probable";"PUD",#N/A,FALSE,"Total Proved + Probable";"Prob",#N/A,FALSE,"Total Proved + Probable"}</definedName>
    <definedName name="wrn.Total._.Proved._.plus._.Probable." localSheetId="3" hidden="1">{"Total",#N/A,FALSE,"Total Proved + Probable";"PDP",#N/A,FALSE,"Total Proved + Probable";"PNP",#N/A,FALSE,"Total Proved + Probable";"PUD",#N/A,FALSE,"Total Proved + Probable";"Prob",#N/A,FALSE,"Total Proved + Probable"}</definedName>
    <definedName name="wrn.Total._.Proved._.plus._.Probable." localSheetId="7" hidden="1">{"Total",#N/A,FALSE,"Total Proved + Probable";"PDP",#N/A,FALSE,"Total Proved + Probable";"PNP",#N/A,FALSE,"Total Proved + Probable";"PUD",#N/A,FALSE,"Total Proved + Probable";"Prob",#N/A,FALSE,"Total Proved + Probable"}</definedName>
    <definedName name="wrn.Total._.Proved._.plus._.Probable." localSheetId="12"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rinidad." localSheetId="2" hidden="1">{"Trinidad",#N/A,FALSE,"Trinidad"}</definedName>
    <definedName name="wrn.Trinidad." localSheetId="10" hidden="1">{"Trinidad",#N/A,FALSE,"Trinidad"}</definedName>
    <definedName name="wrn.Trinidad." localSheetId="6" hidden="1">{"Trinidad",#N/A,FALSE,"Trinidad"}</definedName>
    <definedName name="wrn.Trinidad." localSheetId="8" hidden="1">{"Trinidad",#N/A,FALSE,"Trinidad"}</definedName>
    <definedName name="wrn.Trinidad." localSheetId="9" hidden="1">{"Trinidad",#N/A,FALSE,"Trinidad"}</definedName>
    <definedName name="wrn.Trinidad." localSheetId="3" hidden="1">{"Trinidad",#N/A,FALSE,"Trinidad"}</definedName>
    <definedName name="wrn.Trinidad." localSheetId="7" hidden="1">{"Trinidad",#N/A,FALSE,"Trinidad"}</definedName>
    <definedName name="wrn.Trinidad." localSheetId="12" hidden="1">{"Trinidad",#N/A,FALSE,"Trinidad"}</definedName>
    <definedName name="wrn.Trinidad." hidden="1">{"Trinidad",#N/A,FALSE,"Trinidad"}</definedName>
    <definedName name="wrn.U.S.._.Industries._.Inc.." localSheetId="2" hidden="1">{#N/A,#N/A,TRUE,"3QRpt";#N/A,#N/A,TRUE,"EST";#N/A,#N/A,TRUE,"HOUSE";#N/A,#N/A,TRUE,"REC";#N/A,#N/A,TRUE,"SHOE";#N/A,#N/A,TRUE,"BLD";#N/A,#N/A,TRUE,"IND";#N/A,#N/A,TRUE,"COMP";#N/A,#N/A,TRUE,"COMP2";#N/A,#N/A,TRUE,"KEEP";#N/A,#N/A,TRUE,"IntExp";#N/A,#N/A,TRUE,"Proceeds"}</definedName>
    <definedName name="wrn.U.S.._.Industries._.Inc.." localSheetId="10" hidden="1">{#N/A,#N/A,TRUE,"3QRpt";#N/A,#N/A,TRUE,"EST";#N/A,#N/A,TRUE,"HOUSE";#N/A,#N/A,TRUE,"REC";#N/A,#N/A,TRUE,"SHOE";#N/A,#N/A,TRUE,"BLD";#N/A,#N/A,TRUE,"IND";#N/A,#N/A,TRUE,"COMP";#N/A,#N/A,TRUE,"COMP2";#N/A,#N/A,TRUE,"KEEP";#N/A,#N/A,TRUE,"IntExp";#N/A,#N/A,TRUE,"Proceeds"}</definedName>
    <definedName name="wrn.U.S.._.Industries._.Inc.." localSheetId="6" hidden="1">{#N/A,#N/A,TRUE,"3QRpt";#N/A,#N/A,TRUE,"EST";#N/A,#N/A,TRUE,"HOUSE";#N/A,#N/A,TRUE,"REC";#N/A,#N/A,TRUE,"SHOE";#N/A,#N/A,TRUE,"BLD";#N/A,#N/A,TRUE,"IND";#N/A,#N/A,TRUE,"COMP";#N/A,#N/A,TRUE,"COMP2";#N/A,#N/A,TRUE,"KEEP";#N/A,#N/A,TRUE,"IntExp";#N/A,#N/A,TRUE,"Proceeds"}</definedName>
    <definedName name="wrn.U.S.._.Industries._.Inc.." localSheetId="8" hidden="1">{#N/A,#N/A,TRUE,"3QRpt";#N/A,#N/A,TRUE,"EST";#N/A,#N/A,TRUE,"HOUSE";#N/A,#N/A,TRUE,"REC";#N/A,#N/A,TRUE,"SHOE";#N/A,#N/A,TRUE,"BLD";#N/A,#N/A,TRUE,"IND";#N/A,#N/A,TRUE,"COMP";#N/A,#N/A,TRUE,"COMP2";#N/A,#N/A,TRUE,"KEEP";#N/A,#N/A,TRUE,"IntExp";#N/A,#N/A,TRUE,"Proceeds"}</definedName>
    <definedName name="wrn.U.S.._.Industries._.Inc.." localSheetId="9" hidden="1">{#N/A,#N/A,TRUE,"3QRpt";#N/A,#N/A,TRUE,"EST";#N/A,#N/A,TRUE,"HOUSE";#N/A,#N/A,TRUE,"REC";#N/A,#N/A,TRUE,"SHOE";#N/A,#N/A,TRUE,"BLD";#N/A,#N/A,TRUE,"IND";#N/A,#N/A,TRUE,"COMP";#N/A,#N/A,TRUE,"COMP2";#N/A,#N/A,TRUE,"KEEP";#N/A,#N/A,TRUE,"IntExp";#N/A,#N/A,TRUE,"Proceeds"}</definedName>
    <definedName name="wrn.U.S.._.Industries._.Inc.." localSheetId="3" hidden="1">{#N/A,#N/A,TRUE,"3QRpt";#N/A,#N/A,TRUE,"EST";#N/A,#N/A,TRUE,"HOUSE";#N/A,#N/A,TRUE,"REC";#N/A,#N/A,TRUE,"SHOE";#N/A,#N/A,TRUE,"BLD";#N/A,#N/A,TRUE,"IND";#N/A,#N/A,TRUE,"COMP";#N/A,#N/A,TRUE,"COMP2";#N/A,#N/A,TRUE,"KEEP";#N/A,#N/A,TRUE,"IntExp";#N/A,#N/A,TRUE,"Proceeds"}</definedName>
    <definedName name="wrn.U.S.._.Industries._.Inc.." localSheetId="7" hidden="1">{#N/A,#N/A,TRUE,"3QRpt";#N/A,#N/A,TRUE,"EST";#N/A,#N/A,TRUE,"HOUSE";#N/A,#N/A,TRUE,"REC";#N/A,#N/A,TRUE,"SHOE";#N/A,#N/A,TRUE,"BLD";#N/A,#N/A,TRUE,"IND";#N/A,#N/A,TRUE,"COMP";#N/A,#N/A,TRUE,"COMP2";#N/A,#N/A,TRUE,"KEEP";#N/A,#N/A,TRUE,"IntExp";#N/A,#N/A,TRUE,"Proceeds"}</definedName>
    <definedName name="wrn.U.S.._.Industries._.Inc.." localSheetId="12" hidden="1">{#N/A,#N/A,TRUE,"3QRpt";#N/A,#N/A,TRUE,"EST";#N/A,#N/A,TRUE,"HOUSE";#N/A,#N/A,TRUE,"REC";#N/A,#N/A,TRUE,"SHOE";#N/A,#N/A,TRUE,"BLD";#N/A,#N/A,TRUE,"IND";#N/A,#N/A,TRUE,"COMP";#N/A,#N/A,TRUE,"COMP2";#N/A,#N/A,TRUE,"KEEP";#N/A,#N/A,TRUE,"IntExp";#N/A,#N/A,TRUE,"Proceeds"}</definedName>
    <definedName name="wrn.U.S.._.Industries._.Inc.." hidden="1">{#N/A,#N/A,TRUE,"3QRpt";#N/A,#N/A,TRUE,"EST";#N/A,#N/A,TRUE,"HOUSE";#N/A,#N/A,TRUE,"REC";#N/A,#N/A,TRUE,"SHOE";#N/A,#N/A,TRUE,"BLD";#N/A,#N/A,TRUE,"IND";#N/A,#N/A,TRUE,"COMP";#N/A,#N/A,TRUE,"COMP2";#N/A,#N/A,TRUE,"KEEP";#N/A,#N/A,TRUE,"IntExp";#N/A,#N/A,TRUE,"Proceeds"}</definedName>
    <definedName name="wrn.UK." localSheetId="2" hidden="1">{"UK",#N/A,FALSE,"U.K."}</definedName>
    <definedName name="wrn.UK." localSheetId="10" hidden="1">{"UK",#N/A,FALSE,"U.K."}</definedName>
    <definedName name="wrn.UK." localSheetId="6" hidden="1">{"UK",#N/A,FALSE,"U.K."}</definedName>
    <definedName name="wrn.UK." localSheetId="8" hidden="1">{"UK",#N/A,FALSE,"U.K."}</definedName>
    <definedName name="wrn.UK." localSheetId="9" hidden="1">{"UK",#N/A,FALSE,"U.K."}</definedName>
    <definedName name="wrn.UK." localSheetId="3" hidden="1">{"UK",#N/A,FALSE,"U.K."}</definedName>
    <definedName name="wrn.UK." localSheetId="7" hidden="1">{"UK",#N/A,FALSE,"U.K."}</definedName>
    <definedName name="wrn.UK." localSheetId="12" hidden="1">{"UK",#N/A,FALSE,"U.K."}</definedName>
    <definedName name="wrn.UK." hidden="1">{"UK",#N/A,FALSE,"U.K."}</definedName>
    <definedName name="wrn.United._.States." localSheetId="2" hidden="1">{"US",#N/A,FALSE,"United States"}</definedName>
    <definedName name="wrn.United._.States." localSheetId="10" hidden="1">{"US",#N/A,FALSE,"United States"}</definedName>
    <definedName name="wrn.United._.States." localSheetId="6" hidden="1">{"US",#N/A,FALSE,"United States"}</definedName>
    <definedName name="wrn.United._.States." localSheetId="8" hidden="1">{"US",#N/A,FALSE,"United States"}</definedName>
    <definedName name="wrn.United._.States." localSheetId="9" hidden="1">{"US",#N/A,FALSE,"United States"}</definedName>
    <definedName name="wrn.United._.States." localSheetId="3" hidden="1">{"US",#N/A,FALSE,"United States"}</definedName>
    <definedName name="wrn.United._.States." localSheetId="7" hidden="1">{"US",#N/A,FALSE,"United States"}</definedName>
    <definedName name="wrn.United._.States." localSheetId="12" hidden="1">{"US",#N/A,FALSE,"United States"}</definedName>
    <definedName name="wrn.United._.States." hidden="1">{"US",#N/A,FALSE,"United States"}</definedName>
    <definedName name="wrn.Universe." localSheetId="2" hidden="1">{"View_6",#N/A,FALSE,"Mix-Int-R&amp;D";"View_4",#N/A,FALSE,"Margins";"View_5",#N/A,FALSE,"Ratios";"View_3",#N/A,FALSE,"Mix";"View_2",#N/A,FALSE,"FV-EBITDA";"View_1",#N/A,FALSE,"EPS"}</definedName>
    <definedName name="wrn.Universe." localSheetId="10" hidden="1">{"View_6",#N/A,FALSE,"Mix-Int-R&amp;D";"View_4",#N/A,FALSE,"Margins";"View_5",#N/A,FALSE,"Ratios";"View_3",#N/A,FALSE,"Mix";"View_2",#N/A,FALSE,"FV-EBITDA";"View_1",#N/A,FALSE,"EPS"}</definedName>
    <definedName name="wrn.Universe." localSheetId="6" hidden="1">{"View_6",#N/A,FALSE,"Mix-Int-R&amp;D";"View_4",#N/A,FALSE,"Margins";"View_5",#N/A,FALSE,"Ratios";"View_3",#N/A,FALSE,"Mix";"View_2",#N/A,FALSE,"FV-EBITDA";"View_1",#N/A,FALSE,"EPS"}</definedName>
    <definedName name="wrn.Universe." localSheetId="8" hidden="1">{"View_6",#N/A,FALSE,"Mix-Int-R&amp;D";"View_4",#N/A,FALSE,"Margins";"View_5",#N/A,FALSE,"Ratios";"View_3",#N/A,FALSE,"Mix";"View_2",#N/A,FALSE,"FV-EBITDA";"View_1",#N/A,FALSE,"EPS"}</definedName>
    <definedName name="wrn.Universe." localSheetId="9" hidden="1">{"View_6",#N/A,FALSE,"Mix-Int-R&amp;D";"View_4",#N/A,FALSE,"Margins";"View_5",#N/A,FALSE,"Ratios";"View_3",#N/A,FALSE,"Mix";"View_2",#N/A,FALSE,"FV-EBITDA";"View_1",#N/A,FALSE,"EPS"}</definedName>
    <definedName name="wrn.Universe." localSheetId="3" hidden="1">{"View_6",#N/A,FALSE,"Mix-Int-R&amp;D";"View_4",#N/A,FALSE,"Margins";"View_5",#N/A,FALSE,"Ratios";"View_3",#N/A,FALSE,"Mix";"View_2",#N/A,FALSE,"FV-EBITDA";"View_1",#N/A,FALSE,"EPS"}</definedName>
    <definedName name="wrn.Universe." localSheetId="7" hidden="1">{"View_6",#N/A,FALSE,"Mix-Int-R&amp;D";"View_4",#N/A,FALSE,"Margins";"View_5",#N/A,FALSE,"Ratios";"View_3",#N/A,FALSE,"Mix";"View_2",#N/A,FALSE,"FV-EBITDA";"View_1",#N/A,FALSE,"EPS"}</definedName>
    <definedName name="wrn.Universe." localSheetId="12" hidden="1">{"View_6",#N/A,FALSE,"Mix-Int-R&amp;D";"View_4",#N/A,FALSE,"Margins";"View_5",#N/A,FALSE,"Ratios";"View_3",#N/A,FALSE,"Mix";"View_2",#N/A,FALSE,"FV-EBITDA";"View_1",#N/A,FALSE,"EPS"}</definedName>
    <definedName name="wrn.Universe." hidden="1">{"View_6",#N/A,FALSE,"Mix-Int-R&amp;D";"View_4",#N/A,FALSE,"Margins";"View_5",#N/A,FALSE,"Ratios";"View_3",#N/A,FALSE,"Mix";"View_2",#N/A,FALSE,"FV-EBITDA";"View_1",#N/A,FALSE,"EPS"}</definedName>
    <definedName name="wrn.USA." localSheetId="2" hidden="1">{"USA",#N/A,FALSE,"U.S.A."}</definedName>
    <definedName name="wrn.USA." localSheetId="10" hidden="1">{"USA",#N/A,FALSE,"U.S.A."}</definedName>
    <definedName name="wrn.USA." localSheetId="6" hidden="1">{"USA",#N/A,FALSE,"U.S.A."}</definedName>
    <definedName name="wrn.USA." localSheetId="8" hidden="1">{"USA",#N/A,FALSE,"U.S.A."}</definedName>
    <definedName name="wrn.USA." localSheetId="9" hidden="1">{"USA",#N/A,FALSE,"U.S.A."}</definedName>
    <definedName name="wrn.USA." localSheetId="3" hidden="1">{"USA",#N/A,FALSE,"U.S.A."}</definedName>
    <definedName name="wrn.USA." localSheetId="7" hidden="1">{"USA",#N/A,FALSE,"U.S.A."}</definedName>
    <definedName name="wrn.USA." localSheetId="12" hidden="1">{"USA",#N/A,FALSE,"U.S.A."}</definedName>
    <definedName name="wrn.USA." hidden="1">{"USA",#N/A,FALSE,"U.S.A."}</definedName>
    <definedName name="wrn.valuation." localSheetId="2" hidden="1">{"valuation",#N/A,FALSE,"TXTCOMPS"}</definedName>
    <definedName name="wrn.valuation." localSheetId="10" hidden="1">{"valuation",#N/A,FALSE,"TXTCOMPS"}</definedName>
    <definedName name="wrn.valuation." localSheetId="6" hidden="1">{"valuation",#N/A,FALSE,"TXTCOMPS"}</definedName>
    <definedName name="wrn.valuation." localSheetId="8" hidden="1">{"valuation",#N/A,FALSE,"TXTCOMPS"}</definedName>
    <definedName name="wrn.valuation." localSheetId="9" hidden="1">{"valuation",#N/A,FALSE,"TXTCOMPS"}</definedName>
    <definedName name="wrn.valuation." localSheetId="3" hidden="1">{"valuation",#N/A,FALSE,"TXTCOMPS"}</definedName>
    <definedName name="wrn.valuation." localSheetId="7" hidden="1">{"valuation",#N/A,FALSE,"TXTCOMPS"}</definedName>
    <definedName name="wrn.valuation." localSheetId="12" hidden="1">{"valuation",#N/A,FALSE,"TXTCOMPS"}</definedName>
    <definedName name="wrn.valuation." hidden="1">{"valuation",#N/A,FALSE,"TXTCOMPS"}</definedName>
    <definedName name="wrn.VALUENAV." localSheetId="2" hidden="1">{#N/A,#N/A,FALSE,"Value";#N/A,#N/A,FALSE,"NAV"}</definedName>
    <definedName name="wrn.VALUENAV." localSheetId="10" hidden="1">{#N/A,#N/A,FALSE,"Value";#N/A,#N/A,FALSE,"NAV"}</definedName>
    <definedName name="wrn.VALUENAV." localSheetId="6" hidden="1">{#N/A,#N/A,FALSE,"Value";#N/A,#N/A,FALSE,"NAV"}</definedName>
    <definedName name="wrn.VALUENAV." localSheetId="8" hidden="1">{#N/A,#N/A,FALSE,"Value";#N/A,#N/A,FALSE,"NAV"}</definedName>
    <definedName name="wrn.VALUENAV." localSheetId="9" hidden="1">{#N/A,#N/A,FALSE,"Value";#N/A,#N/A,FALSE,"NAV"}</definedName>
    <definedName name="wrn.VALUENAV." localSheetId="3" hidden="1">{#N/A,#N/A,FALSE,"Value";#N/A,#N/A,FALSE,"NAV"}</definedName>
    <definedName name="wrn.VALUENAV." localSheetId="7" hidden="1">{#N/A,#N/A,FALSE,"Value";#N/A,#N/A,FALSE,"NAV"}</definedName>
    <definedName name="wrn.VALUENAV." localSheetId="12" hidden="1">{#N/A,#N/A,FALSE,"Value";#N/A,#N/A,FALSE,"NAV"}</definedName>
    <definedName name="wrn.VALUENAV." hidden="1">{#N/A,#N/A,FALSE,"Value";#N/A,#N/A,FALSE,"NAV"}</definedName>
    <definedName name="wrn.Variance._.3." localSheetId="2" hidden="1">{"Variance Q3",#N/A,FALSE,"Var"}</definedName>
    <definedName name="wrn.Variance._.3." localSheetId="10" hidden="1">{"Variance Q3",#N/A,FALSE,"Var"}</definedName>
    <definedName name="wrn.Variance._.3." localSheetId="6" hidden="1">{"Variance Q3",#N/A,FALSE,"Var"}</definedName>
    <definedName name="wrn.Variance._.3." localSheetId="8" hidden="1">{"Variance Q3",#N/A,FALSE,"Var"}</definedName>
    <definedName name="wrn.Variance._.3." localSheetId="9" hidden="1">{"Variance Q3",#N/A,FALSE,"Var"}</definedName>
    <definedName name="wrn.Variance._.3." localSheetId="3" hidden="1">{"Variance Q3",#N/A,FALSE,"Var"}</definedName>
    <definedName name="wrn.Variance._.3." localSheetId="7" hidden="1">{"Variance Q3",#N/A,FALSE,"Var"}</definedName>
    <definedName name="wrn.Variance._.3." localSheetId="12" hidden="1">{"Variance Q3",#N/A,FALSE,"Var"}</definedName>
    <definedName name="wrn.Variance._.3." hidden="1">{"Variance Q3",#N/A,FALSE,"Var"}</definedName>
    <definedName name="wrn.Variance._.Q1." localSheetId="2" hidden="1">{"Variance Q1",#N/A,FALSE,"Var"}</definedName>
    <definedName name="wrn.Variance._.Q1." localSheetId="10" hidden="1">{"Variance Q1",#N/A,FALSE,"Var"}</definedName>
    <definedName name="wrn.Variance._.Q1." localSheetId="6" hidden="1">{"Variance Q1",#N/A,FALSE,"Var"}</definedName>
    <definedName name="wrn.Variance._.Q1." localSheetId="8" hidden="1">{"Variance Q1",#N/A,FALSE,"Var"}</definedName>
    <definedName name="wrn.Variance._.Q1." localSheetId="9" hidden="1">{"Variance Q1",#N/A,FALSE,"Var"}</definedName>
    <definedName name="wrn.Variance._.Q1." localSheetId="3" hidden="1">{"Variance Q1",#N/A,FALSE,"Var"}</definedName>
    <definedName name="wrn.Variance._.Q1." localSheetId="7" hidden="1">{"Variance Q1",#N/A,FALSE,"Var"}</definedName>
    <definedName name="wrn.Variance._.Q1." localSheetId="12" hidden="1">{"Variance Q1",#N/A,FALSE,"Var"}</definedName>
    <definedName name="wrn.Variance._.Q1." hidden="1">{"Variance Q1",#N/A,FALSE,"Var"}</definedName>
    <definedName name="wrn.Variance._.Q2." localSheetId="2" hidden="1">{"Variance Q2",#N/A,FALSE,"Var"}</definedName>
    <definedName name="wrn.Variance._.Q2." localSheetId="10" hidden="1">{"Variance Q2",#N/A,FALSE,"Var"}</definedName>
    <definedName name="wrn.Variance._.Q2." localSheetId="6" hidden="1">{"Variance Q2",#N/A,FALSE,"Var"}</definedName>
    <definedName name="wrn.Variance._.Q2." localSheetId="8" hidden="1">{"Variance Q2",#N/A,FALSE,"Var"}</definedName>
    <definedName name="wrn.Variance._.Q2." localSheetId="9" hidden="1">{"Variance Q2",#N/A,FALSE,"Var"}</definedName>
    <definedName name="wrn.Variance._.Q2." localSheetId="3" hidden="1">{"Variance Q2",#N/A,FALSE,"Var"}</definedName>
    <definedName name="wrn.Variance._.Q2." localSheetId="7" hidden="1">{"Variance Q2",#N/A,FALSE,"Var"}</definedName>
    <definedName name="wrn.Variance._.Q2." localSheetId="12" hidden="1">{"Variance Q2",#N/A,FALSE,"Var"}</definedName>
    <definedName name="wrn.Variance._.Q2." hidden="1">{"Variance Q2",#N/A,FALSE,"Var"}</definedName>
    <definedName name="wrn.Variance._.Q3." localSheetId="2" hidden="1">{"Variance Q3",#N/A,FALSE,"Var"}</definedName>
    <definedName name="wrn.Variance._.Q3." localSheetId="10" hidden="1">{"Variance Q3",#N/A,FALSE,"Var"}</definedName>
    <definedName name="wrn.Variance._.Q3." localSheetId="6" hidden="1">{"Variance Q3",#N/A,FALSE,"Var"}</definedName>
    <definedName name="wrn.Variance._.Q3." localSheetId="8" hidden="1">{"Variance Q3",#N/A,FALSE,"Var"}</definedName>
    <definedName name="wrn.Variance._.Q3." localSheetId="9" hidden="1">{"Variance Q3",#N/A,FALSE,"Var"}</definedName>
    <definedName name="wrn.Variance._.Q3." localSheetId="3" hidden="1">{"Variance Q3",#N/A,FALSE,"Var"}</definedName>
    <definedName name="wrn.Variance._.Q3." localSheetId="7" hidden="1">{"Variance Q3",#N/A,FALSE,"Var"}</definedName>
    <definedName name="wrn.Variance._.Q3." localSheetId="12" hidden="1">{"Variance Q3",#N/A,FALSE,"Var"}</definedName>
    <definedName name="wrn.Variance._.Q3." hidden="1">{"Variance Q3",#N/A,FALSE,"Var"}</definedName>
    <definedName name="wrn.Variance._.Q4" localSheetId="2" hidden="1">{"Variance Q4",#N/A,FALSE,"Var"}</definedName>
    <definedName name="wrn.Variance._.Q4" localSheetId="10" hidden="1">{"Variance Q4",#N/A,FALSE,"Var"}</definedName>
    <definedName name="wrn.Variance._.Q4" localSheetId="6" hidden="1">{"Variance Q4",#N/A,FALSE,"Var"}</definedName>
    <definedName name="wrn.Variance._.Q4" localSheetId="8" hidden="1">{"Variance Q4",#N/A,FALSE,"Var"}</definedName>
    <definedName name="wrn.Variance._.Q4" localSheetId="9" hidden="1">{"Variance Q4",#N/A,FALSE,"Var"}</definedName>
    <definedName name="wrn.Variance._.Q4" localSheetId="3" hidden="1">{"Variance Q4",#N/A,FALSE,"Var"}</definedName>
    <definedName name="wrn.Variance._.Q4" localSheetId="7" hidden="1">{"Variance Q4",#N/A,FALSE,"Var"}</definedName>
    <definedName name="wrn.Variance._.Q4" localSheetId="12" hidden="1">{"Variance Q4",#N/A,FALSE,"Var"}</definedName>
    <definedName name="wrn.Variance._.Q4" hidden="1">{"Variance Q4",#N/A,FALSE,"Var"}</definedName>
    <definedName name="wrn.Variance._.Q4." localSheetId="2" hidden="1">{"Variance Q4",#N/A,FALSE,"Var"}</definedName>
    <definedName name="wrn.Variance._.Q4." localSheetId="10" hidden="1">{"Variance Q4",#N/A,FALSE,"Var"}</definedName>
    <definedName name="wrn.Variance._.Q4." localSheetId="6" hidden="1">{"Variance Q4",#N/A,FALSE,"Var"}</definedName>
    <definedName name="wrn.Variance._.Q4." localSheetId="8" hidden="1">{"Variance Q4",#N/A,FALSE,"Var"}</definedName>
    <definedName name="wrn.Variance._.Q4." localSheetId="9" hidden="1">{"Variance Q4",#N/A,FALSE,"Var"}</definedName>
    <definedName name="wrn.Variance._.Q4." localSheetId="3" hidden="1">{"Variance Q4",#N/A,FALSE,"Var"}</definedName>
    <definedName name="wrn.Variance._.Q4." localSheetId="7" hidden="1">{"Variance Q4",#N/A,FALSE,"Var"}</definedName>
    <definedName name="wrn.Variance._.Q4." localSheetId="12" hidden="1">{"Variance Q4",#N/A,FALSE,"Var"}</definedName>
    <definedName name="wrn.Variance._.Q4." hidden="1">{"Variance Q4",#N/A,FALSE,"Var"}</definedName>
    <definedName name="wrn.weekly." localSheetId="2" hidden="1">{#N/A,#N/A,FALSE,"Large Operators";#N/A,#N/A,FALSE,"Smaller Operators";#N/A,#N/A,FALSE,"Equip. Supply";#N/A,#N/A,FALSE,"EBITDA";#N/A,#N/A,FALSE,"perform"}</definedName>
    <definedName name="wrn.weekly." localSheetId="10" hidden="1">{#N/A,#N/A,FALSE,"Large Operators";#N/A,#N/A,FALSE,"Smaller Operators";#N/A,#N/A,FALSE,"Equip. Supply";#N/A,#N/A,FALSE,"EBITDA";#N/A,#N/A,FALSE,"perform"}</definedName>
    <definedName name="wrn.weekly." localSheetId="6" hidden="1">{#N/A,#N/A,FALSE,"Large Operators";#N/A,#N/A,FALSE,"Smaller Operators";#N/A,#N/A,FALSE,"Equip. Supply";#N/A,#N/A,FALSE,"EBITDA";#N/A,#N/A,FALSE,"perform"}</definedName>
    <definedName name="wrn.weekly." localSheetId="8" hidden="1">{#N/A,#N/A,FALSE,"Large Operators";#N/A,#N/A,FALSE,"Smaller Operators";#N/A,#N/A,FALSE,"Equip. Supply";#N/A,#N/A,FALSE,"EBITDA";#N/A,#N/A,FALSE,"perform"}</definedName>
    <definedName name="wrn.weekly." localSheetId="9" hidden="1">{#N/A,#N/A,FALSE,"Large Operators";#N/A,#N/A,FALSE,"Smaller Operators";#N/A,#N/A,FALSE,"Equip. Supply";#N/A,#N/A,FALSE,"EBITDA";#N/A,#N/A,FALSE,"perform"}</definedName>
    <definedName name="wrn.weekly." localSheetId="3" hidden="1">{#N/A,#N/A,FALSE,"Large Operators";#N/A,#N/A,FALSE,"Smaller Operators";#N/A,#N/A,FALSE,"Equip. Supply";#N/A,#N/A,FALSE,"EBITDA";#N/A,#N/A,FALSE,"perform"}</definedName>
    <definedName name="wrn.weekly." localSheetId="7" hidden="1">{#N/A,#N/A,FALSE,"Large Operators";#N/A,#N/A,FALSE,"Smaller Operators";#N/A,#N/A,FALSE,"Equip. Supply";#N/A,#N/A,FALSE,"EBITDA";#N/A,#N/A,FALSE,"perform"}</definedName>
    <definedName name="wrn.weekly." localSheetId="12" hidden="1">{#N/A,#N/A,FALSE,"Large Operators";#N/A,#N/A,FALSE,"Smaller Operators";#N/A,#N/A,FALSE,"Equip. Supply";#N/A,#N/A,FALSE,"EBITDA";#N/A,#N/A,FALSE,"perform"}</definedName>
    <definedName name="wrn.weekly." hidden="1">{#N/A,#N/A,FALSE,"Large Operators";#N/A,#N/A,FALSE,"Smaller Operators";#N/A,#N/A,FALSE,"Equip. Supply";#N/A,#N/A,FALSE,"EBITDA";#N/A,#N/A,FALSE,"perform"}</definedName>
    <definedName name="wrn.wells." localSheetId="2"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0"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6"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8"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9"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3"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7"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2"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LAVARIANCEANALYSIS." localSheetId="2" hidden="1">{"INCOME STATEMENT",#N/A,FALSE,"IS";"WWSALES",#N/A,FALSE,"WWSALES";"USSALES",#N/A,FALSE,"USSALES";"INTLSALES",#N/A,FALSE,"INTLSALES"}</definedName>
    <definedName name="wrn.WLAVARIANCEANALYSIS." localSheetId="10" hidden="1">{"INCOME STATEMENT",#N/A,FALSE,"IS";"WWSALES",#N/A,FALSE,"WWSALES";"USSALES",#N/A,FALSE,"USSALES";"INTLSALES",#N/A,FALSE,"INTLSALES"}</definedName>
    <definedName name="wrn.WLAVARIANCEANALYSIS." localSheetId="6" hidden="1">{"INCOME STATEMENT",#N/A,FALSE,"IS";"WWSALES",#N/A,FALSE,"WWSALES";"USSALES",#N/A,FALSE,"USSALES";"INTLSALES",#N/A,FALSE,"INTLSALES"}</definedName>
    <definedName name="wrn.WLAVARIANCEANALYSIS." localSheetId="8" hidden="1">{"INCOME STATEMENT",#N/A,FALSE,"IS";"WWSALES",#N/A,FALSE,"WWSALES";"USSALES",#N/A,FALSE,"USSALES";"INTLSALES",#N/A,FALSE,"INTLSALES"}</definedName>
    <definedName name="wrn.WLAVARIANCEANALYSIS." localSheetId="9" hidden="1">{"INCOME STATEMENT",#N/A,FALSE,"IS";"WWSALES",#N/A,FALSE,"WWSALES";"USSALES",#N/A,FALSE,"USSALES";"INTLSALES",#N/A,FALSE,"INTLSALES"}</definedName>
    <definedName name="wrn.WLAVARIANCEANALYSIS." localSheetId="3" hidden="1">{"INCOME STATEMENT",#N/A,FALSE,"IS";"WWSALES",#N/A,FALSE,"WWSALES";"USSALES",#N/A,FALSE,"USSALES";"INTLSALES",#N/A,FALSE,"INTLSALES"}</definedName>
    <definedName name="wrn.WLAVARIANCEANALYSIS." localSheetId="7" hidden="1">{"INCOME STATEMENT",#N/A,FALSE,"IS";"WWSALES",#N/A,FALSE,"WWSALES";"USSALES",#N/A,FALSE,"USSALES";"INTLSALES",#N/A,FALSE,"INTLSALES"}</definedName>
    <definedName name="wrn.WLAVARIANCEANALYSIS." localSheetId="12" hidden="1">{"INCOME STATEMENT",#N/A,FALSE,"IS";"WWSALES",#N/A,FALSE,"WWSALES";"USSALES",#N/A,FALSE,"USSALES";"INTLSALES",#N/A,FALSE,"INTLSALES"}</definedName>
    <definedName name="wrn.WLAVARIANCEANALYSIS." hidden="1">{"INCOME STATEMENT",#N/A,FALSE,"IS";"WWSALES",#N/A,FALSE,"WWSALES";"USSALES",#N/A,FALSE,"USSALES";"INTLSALES",#N/A,FALSE,"INTLSALES"}</definedName>
    <definedName name="wrn1.corporate._Profile" localSheetId="2" hidden="1">{"Corporate Profile",#N/A,FALSE,"D"}</definedName>
    <definedName name="wrn1.corporate._Profile" localSheetId="10" hidden="1">{"Corporate Profile",#N/A,FALSE,"D"}</definedName>
    <definedName name="wrn1.corporate._Profile" localSheetId="6" hidden="1">{"Corporate Profile",#N/A,FALSE,"D"}</definedName>
    <definedName name="wrn1.corporate._Profile" localSheetId="8" hidden="1">{"Corporate Profile",#N/A,FALSE,"D"}</definedName>
    <definedName name="wrn1.corporate._Profile" localSheetId="9" hidden="1">{"Corporate Profile",#N/A,FALSE,"D"}</definedName>
    <definedName name="wrn1.corporate._Profile" localSheetId="3" hidden="1">{"Corporate Profile",#N/A,FALSE,"D"}</definedName>
    <definedName name="wrn1.corporate._Profile" localSheetId="7" hidden="1">{"Corporate Profile",#N/A,FALSE,"D"}</definedName>
    <definedName name="wrn1.corporate._Profile" localSheetId="12" hidden="1">{"Corporate Profile",#N/A,FALSE,"D"}</definedName>
    <definedName name="wrn1.corporate._Profile" hidden="1">{"Corporate Profile",#N/A,FALSE,"D"}</definedName>
    <definedName name="ws" localSheetId="2" hidden="1">{"'보고양식'!$A$58:$K$111"}</definedName>
    <definedName name="ws" localSheetId="10" hidden="1">{"'보고양식'!$A$58:$K$111"}</definedName>
    <definedName name="ws" localSheetId="6" hidden="1">{"'보고양식'!$A$58:$K$111"}</definedName>
    <definedName name="ws" localSheetId="8" hidden="1">{"'보고양식'!$A$58:$K$111"}</definedName>
    <definedName name="ws" localSheetId="9" hidden="1">{"'보고양식'!$A$58:$K$111"}</definedName>
    <definedName name="WS" localSheetId="3" hidden="1">{"valuation",#N/A,FALSE,"TXTCOMPS"}</definedName>
    <definedName name="ws" localSheetId="7" hidden="1">{"'보고양식'!$A$58:$K$111"}</definedName>
    <definedName name="WS" localSheetId="12" hidden="1">{"valuation",#N/A,FALSE,"TXTCOMPS"}</definedName>
    <definedName name="ws" hidden="1">{"'보고양식'!$A$58:$K$111"}</definedName>
    <definedName name="WTI_2004Q3">#REF!</definedName>
    <definedName name="WTI_2004Q4">#REF!</definedName>
    <definedName name="wvu.cash." localSheetId="2" hidden="1">{TRUE,TRUE,-1.25,-15.5,456.75,279.75,FALSE,FALSE,TRUE,TRUE,0,1,18,1,199,6,3,4,TRUE,TRUE,3,TRUE,1,TRUE,100,"Swvu.cash.","ACwvu.cash.",1,FALSE,FALSE,0.511811023622047,0.511811023622047,0.511811023622047,0.511811023622047,1,"","",FALSE,FALSE,FALSE,FALSE,1,#N/A,1,1,#DIV/0!,FALSE,"Rwvu.cash.",#N/A,FALSE,FALSE}</definedName>
    <definedName name="wvu.cash." localSheetId="10" hidden="1">{TRUE,TRUE,-1.25,-15.5,456.75,279.75,FALSE,FALSE,TRUE,TRUE,0,1,18,1,199,6,3,4,TRUE,TRUE,3,TRUE,1,TRUE,100,"Swvu.cash.","ACwvu.cash.",1,FALSE,FALSE,0.511811023622047,0.511811023622047,0.511811023622047,0.511811023622047,1,"","",FALSE,FALSE,FALSE,FALSE,1,#N/A,1,1,#DIV/0!,FALSE,"Rwvu.cash.",#N/A,FALSE,FALSE}</definedName>
    <definedName name="wvu.cash." localSheetId="6" hidden="1">{TRUE,TRUE,-1.25,-15.5,456.75,279.75,FALSE,FALSE,TRUE,TRUE,0,1,18,1,199,6,3,4,TRUE,TRUE,3,TRUE,1,TRUE,100,"Swvu.cash.","ACwvu.cash.",1,FALSE,FALSE,0.511811023622047,0.511811023622047,0.511811023622047,0.511811023622047,1,"","",FALSE,FALSE,FALSE,FALSE,1,#N/A,1,1,#DIV/0!,FALSE,"Rwvu.cash.",#N/A,FALSE,FALSE}</definedName>
    <definedName name="wvu.cash." localSheetId="8" hidden="1">{TRUE,TRUE,-1.25,-15.5,456.75,279.75,FALSE,FALSE,TRUE,TRUE,0,1,18,1,199,6,3,4,TRUE,TRUE,3,TRUE,1,TRUE,100,"Swvu.cash.","ACwvu.cash.",1,FALSE,FALSE,0.511811023622047,0.511811023622047,0.511811023622047,0.511811023622047,1,"","",FALSE,FALSE,FALSE,FALSE,1,#N/A,1,1,#DIV/0!,FALSE,"Rwvu.cash.",#N/A,FALSE,FALSE}</definedName>
    <definedName name="wvu.cash." localSheetId="9" hidden="1">{TRUE,TRUE,-1.25,-15.5,456.75,279.75,FALSE,FALSE,TRUE,TRUE,0,1,18,1,199,6,3,4,TRUE,TRUE,3,TRUE,1,TRUE,100,"Swvu.cash.","ACwvu.cash.",1,FALSE,FALSE,0.511811023622047,0.511811023622047,0.511811023622047,0.511811023622047,1,"","",FALSE,FALSE,FALSE,FALSE,1,#N/A,1,1,#DIV/0!,FALSE,"Rwvu.cash.",#N/A,FALSE,FALSE}</definedName>
    <definedName name="wvu.cash." localSheetId="3" hidden="1">{TRUE,TRUE,-1.25,-15.5,456.75,279.75,FALSE,FALSE,TRUE,TRUE,0,1,18,1,199,6,3,4,TRUE,TRUE,3,TRUE,1,TRUE,100,"Swvu.cash.","ACwvu.cash.",1,FALSE,FALSE,0.511811023622047,0.511811023622047,0.511811023622047,0.511811023622047,1,"","",FALSE,FALSE,FALSE,FALSE,1,#N/A,1,1,#DIV/0!,FALSE,"Rwvu.cash.",#N/A,FALSE,FALSE}</definedName>
    <definedName name="wvu.cash." localSheetId="7" hidden="1">{TRUE,TRUE,-1.25,-15.5,456.75,279.75,FALSE,FALSE,TRUE,TRUE,0,1,18,1,199,6,3,4,TRUE,TRUE,3,TRUE,1,TRUE,100,"Swvu.cash.","ACwvu.cash.",1,FALSE,FALSE,0.511811023622047,0.511811023622047,0.511811023622047,0.511811023622047,1,"","",FALSE,FALSE,FALSE,FALSE,1,#N/A,1,1,#DIV/0!,FALSE,"Rwvu.cash.",#N/A,FALSE,FALSE}</definedName>
    <definedName name="wvu.cash." localSheetId="12"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profits."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0"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6"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8"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9"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7"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2"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turnover."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0"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6"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8"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9"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7"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2"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_EP_Depr_2004">#REF!</definedName>
    <definedName name="WW_EP_NI_2004">#REF!</definedName>
    <definedName name="WW_EP_ROCC_1998">#REF!</definedName>
    <definedName name="WW_EP_ROCC_1999">#REF!</definedName>
    <definedName name="WW_EP_ROCC_2000">#REF!</definedName>
    <definedName name="WW_EP_ROCC_2001">#REF!</definedName>
    <definedName name="WW_EP_ROCC_2002">#REF!</definedName>
    <definedName name="WW_EP_ROCC_2003">#REF!</definedName>
    <definedName name="WW_EP_ROCC_2004">#REF!</definedName>
    <definedName name="WW_EP_ROCC_2005">#REF!</definedName>
    <definedName name="WW_EP_ROCC_2006">#REF!</definedName>
    <definedName name="WWAnnualSegs">#REF!</definedName>
    <definedName name="WWGasProd_2004">#REF!</definedName>
    <definedName name="WWOilProd_2004">#REF!</definedName>
    <definedName name="WWOtherCosts_2004">#REF!</definedName>
    <definedName name="WWProd_2004">#REF!</definedName>
    <definedName name="WWProdCosts_2004">#REF!</definedName>
    <definedName name="WWQuartSegs">#REF!</definedName>
    <definedName name="x" localSheetId="2" hidden="1">"c2205"</definedName>
    <definedName name="x" localSheetId="10" hidden="1">{"cover a","1q",FALSE,"Cover";"Op Earn Mgd Q1",#N/A,FALSE,"Op-Earn (Mng)";"Op Earn Rpt Q1",#N/A,FALSE,"Op-Earn (Rpt)";"Loans",#N/A,FALSE,"Loans";"Credit Costs",#N/A,FALSE,"CCosts";"Net Interest Margin",#N/A,FALSE,"Margin";"Nonint Income",#N/A,FALSE,"NonII";"Nonint Exp",#N/A,FALSE,"NonIE";"Valuation",#N/A,FALSE,"Valuation"}</definedName>
    <definedName name="x" localSheetId="6" hidden="1">"c2205"</definedName>
    <definedName name="x" localSheetId="8" hidden="1">"c2205"</definedName>
    <definedName name="x" localSheetId="9" hidden="1">{"cover a","1q",FALSE,"Cover";"Op Earn Mgd Q1",#N/A,FALSE,"Op-Earn (Mng)";"Op Earn Rpt Q1",#N/A,FALSE,"Op-Earn (Rpt)";"Loans",#N/A,FALSE,"Loans";"Credit Costs",#N/A,FALSE,"CCosts";"Net Interest Margin",#N/A,FALSE,"Margin";"Nonint Income",#N/A,FALSE,"NonII";"Nonint Exp",#N/A,FALSE,"NonIE";"Valuation",#N/A,FALSE,"Valuation"}</definedName>
    <definedName name="x" localSheetId="3" hidden="1">{"valuation",#N/A,FALSE,"TXTCOMPS"}</definedName>
    <definedName name="x" localSheetId="7" hidden="1">"c2205"</definedName>
    <definedName name="x" localSheetId="12" hidden="1">{"valuation",#N/A,FALSE,"TXTCOMPS"}</definedName>
    <definedName name="x" hidden="1">{"cover a","1q",FALSE,"Cover";"Op Earn Mgd Q1",#N/A,FALSE,"Op-Earn (Mng)";"Op Earn Rpt Q1",#N/A,FALSE,"Op-Earn (Rpt)";"Loans",#N/A,FALSE,"Loans";"Credit Costs",#N/A,FALSE,"CCosts";"Net Interest Margin",#N/A,FALSE,"Margin";"Nonint Income",#N/A,FALSE,"NonII";"Nonint Exp",#N/A,FALSE,"NonIE";"Valuation",#N/A,FALSE,"Valuation"}</definedName>
    <definedName name="XOM_CAPEX">#REF!</definedName>
    <definedName name="XOM_CAPEX_Chems">#REF!</definedName>
    <definedName name="XOM_CAPEX_EP">#REF!</definedName>
    <definedName name="XOM_CAPEX_Other">#REF!</definedName>
    <definedName name="XOM_CAPEX_RM">#REF!</definedName>
    <definedName name="xxxx" localSheetId="2" hidden="1">#REF!</definedName>
    <definedName name="xxxx" localSheetId="10" hidden="1">#REF!</definedName>
    <definedName name="xxxx" localSheetId="6" hidden="1">#REF!</definedName>
    <definedName name="xxxx" localSheetId="8" hidden="1">#REF!</definedName>
    <definedName name="xxxx" localSheetId="9" hidden="1">#REF!</definedName>
    <definedName name="xxxx" localSheetId="3" hidden="1">#REF!</definedName>
    <definedName name="xxxx" localSheetId="7" hidden="1">#REF!</definedName>
    <definedName name="xxxx" localSheetId="12" hidden="1">#REF!</definedName>
    <definedName name="xxxx" hidden="1">#REF!</definedName>
    <definedName name="y" localSheetId="2" hidden="1">{"segment_EPS",#N/A,FALSE,"TXTCOMPS"}</definedName>
    <definedName name="y" localSheetId="10" hidden="1">{"segment_EPS",#N/A,FALSE,"TXTCOMPS"}</definedName>
    <definedName name="y" localSheetId="6" hidden="1">{"segment_EPS",#N/A,FALSE,"TXTCOMPS"}</definedName>
    <definedName name="y" localSheetId="8" hidden="1">{"segment_EPS",#N/A,FALSE,"TXTCOMPS"}</definedName>
    <definedName name="y" localSheetId="9" hidden="1">{"segment_EPS",#N/A,FALSE,"TXTCOMPS"}</definedName>
    <definedName name="y" localSheetId="3" hidden="1">{"segment_EPS",#N/A,FALSE,"TXTCOMPS"}</definedName>
    <definedName name="y" localSheetId="7" hidden="1">{"segment_EPS",#N/A,FALSE,"TXTCOMPS"}</definedName>
    <definedName name="y" localSheetId="12" hidden="1">{"segment_EPS",#N/A,FALSE,"TXTCOMPS"}</definedName>
    <definedName name="y" hidden="1">{"segment_EPS",#N/A,FALSE,"TXTCOMPS"}</definedName>
    <definedName name="YearBase">2004</definedName>
    <definedName name="z" localSheetId="2" hidden="1">#REF!</definedName>
    <definedName name="z" localSheetId="10" hidden="1">{#N/A,#N/A,FALSE,"Aging Summary";#N/A,#N/A,FALSE,"Ratio Analysis";#N/A,#N/A,FALSE,"Test 120 Day Accts";#N/A,#N/A,FALSE,"Tickmarks"}</definedName>
    <definedName name="z" localSheetId="6" hidden="1">#REF!</definedName>
    <definedName name="z" localSheetId="8" hidden="1">#REF!</definedName>
    <definedName name="z" localSheetId="9" hidden="1">{#N/A,#N/A,FALSE,"Aging Summary";#N/A,#N/A,FALSE,"Ratio Analysis";#N/A,#N/A,FALSE,"Test 120 Day Accts";#N/A,#N/A,FALSE,"Tickmarks"}</definedName>
    <definedName name="z" localSheetId="3" hidden="1">{"segment_EPS",#N/A,FALSE,"TXTCOMPS"}</definedName>
    <definedName name="z" localSheetId="7" hidden="1">#REF!</definedName>
    <definedName name="z" localSheetId="12" hidden="1">{"segment_EPS",#N/A,FALSE,"TXTCOMPS"}</definedName>
    <definedName name="z" hidden="1">{#N/A,#N/A,FALSE,"Aging Summary";#N/A,#N/A,FALSE,"Ratio Analysis";#N/A,#N/A,FALSE,"Test 120 Day Accts";#N/A,#N/A,FALSE,"Tickmarks"}</definedName>
    <definedName name="ㄴㄴ" localSheetId="2" hidden="1">{#N/A,#N/A,FALSE,"Aging Summary";#N/A,#N/A,FALSE,"Ratio Analysis";#N/A,#N/A,FALSE,"Test 120 Day Accts";#N/A,#N/A,FALSE,"Tickmarks"}</definedName>
    <definedName name="ㄴㄴ" localSheetId="10" hidden="1">{#N/A,#N/A,FALSE,"Aging Summary";#N/A,#N/A,FALSE,"Ratio Analysis";#N/A,#N/A,FALSE,"Test 120 Day Accts";#N/A,#N/A,FALSE,"Tickmarks"}</definedName>
    <definedName name="ㄴㄴ" localSheetId="6" hidden="1">{#N/A,#N/A,FALSE,"Aging Summary";#N/A,#N/A,FALSE,"Ratio Analysis";#N/A,#N/A,FALSE,"Test 120 Day Accts";#N/A,#N/A,FALSE,"Tickmarks"}</definedName>
    <definedName name="ㄴㄴ" localSheetId="8" hidden="1">{#N/A,#N/A,FALSE,"Aging Summary";#N/A,#N/A,FALSE,"Ratio Analysis";#N/A,#N/A,FALSE,"Test 120 Day Accts";#N/A,#N/A,FALSE,"Tickmarks"}</definedName>
    <definedName name="ㄴㄴ" localSheetId="9" hidden="1">{#N/A,#N/A,FALSE,"Aging Summary";#N/A,#N/A,FALSE,"Ratio Analysis";#N/A,#N/A,FALSE,"Test 120 Day Accts";#N/A,#N/A,FALSE,"Tickmarks"}</definedName>
    <definedName name="ㄴㄴ" localSheetId="3" hidden="1">{#N/A,#N/A,FALSE,"Aging Summary";#N/A,#N/A,FALSE,"Ratio Analysis";#N/A,#N/A,FALSE,"Test 120 Day Accts";#N/A,#N/A,FALSE,"Tickmarks"}</definedName>
    <definedName name="ㄴㄴ" localSheetId="7" hidden="1">{#N/A,#N/A,FALSE,"Aging Summary";#N/A,#N/A,FALSE,"Ratio Analysis";#N/A,#N/A,FALSE,"Test 120 Day Accts";#N/A,#N/A,FALSE,"Tickmarks"}</definedName>
    <definedName name="ㄴㄴ" localSheetId="12" hidden="1">{#N/A,#N/A,FALSE,"Aging Summary";#N/A,#N/A,FALSE,"Ratio Analysis";#N/A,#N/A,FALSE,"Test 120 Day Accts";#N/A,#N/A,FALSE,"Tickmarks"}</definedName>
    <definedName name="ㄴㄴ" hidden="1">{#N/A,#N/A,FALSE,"Aging Summary";#N/A,#N/A,FALSE,"Ratio Analysis";#N/A,#N/A,FALSE,"Test 120 Day Accts";#N/A,#N/A,FALSE,"Tickmarks"}</definedName>
    <definedName name="매출원가" localSheetId="2" hidden="1">{#N/A,#N/A,FALSE,"Aging Summary";#N/A,#N/A,FALSE,"Ratio Analysis";#N/A,#N/A,FALSE,"Test 120 Day Accts";#N/A,#N/A,FALSE,"Tickmarks"}</definedName>
    <definedName name="매출원가" localSheetId="10" hidden="1">{#N/A,#N/A,FALSE,"Aging Summary";#N/A,#N/A,FALSE,"Ratio Analysis";#N/A,#N/A,FALSE,"Test 120 Day Accts";#N/A,#N/A,FALSE,"Tickmarks"}</definedName>
    <definedName name="매출원가" localSheetId="6" hidden="1">{#N/A,#N/A,FALSE,"Aging Summary";#N/A,#N/A,FALSE,"Ratio Analysis";#N/A,#N/A,FALSE,"Test 120 Day Accts";#N/A,#N/A,FALSE,"Tickmarks"}</definedName>
    <definedName name="매출원가" localSheetId="8" hidden="1">{#N/A,#N/A,FALSE,"Aging Summary";#N/A,#N/A,FALSE,"Ratio Analysis";#N/A,#N/A,FALSE,"Test 120 Day Accts";#N/A,#N/A,FALSE,"Tickmarks"}</definedName>
    <definedName name="매출원가" localSheetId="9" hidden="1">{#N/A,#N/A,FALSE,"Aging Summary";#N/A,#N/A,FALSE,"Ratio Analysis";#N/A,#N/A,FALSE,"Test 120 Day Accts";#N/A,#N/A,FALSE,"Tickmarks"}</definedName>
    <definedName name="매출원가" localSheetId="3" hidden="1">{#N/A,#N/A,FALSE,"Aging Summary";#N/A,#N/A,FALSE,"Ratio Analysis";#N/A,#N/A,FALSE,"Test 120 Day Accts";#N/A,#N/A,FALSE,"Tickmarks"}</definedName>
    <definedName name="매출원가" localSheetId="7" hidden="1">{#N/A,#N/A,FALSE,"Aging Summary";#N/A,#N/A,FALSE,"Ratio Analysis";#N/A,#N/A,FALSE,"Test 120 Day Accts";#N/A,#N/A,FALSE,"Tickmarks"}</definedName>
    <definedName name="매출원가" localSheetId="12" hidden="1">{#N/A,#N/A,FALSE,"Aging Summary";#N/A,#N/A,FALSE,"Ratio Analysis";#N/A,#N/A,FALSE,"Test 120 Day Accts";#N/A,#N/A,FALSE,"Tickmarks"}</definedName>
    <definedName name="매출원가" hidden="1">{#N/A,#N/A,FALSE,"Aging Summary";#N/A,#N/A,FALSE,"Ratio Analysis";#N/A,#N/A,FALSE,"Test 120 Day Accts";#N/A,#N/A,FALSE,"Tickmarks"}</definedName>
    <definedName name="매출원가1" localSheetId="2" hidden="1">{#N/A,#N/A,FALSE,"Aging Summary";#N/A,#N/A,FALSE,"Ratio Analysis";#N/A,#N/A,FALSE,"Test 120 Day Accts";#N/A,#N/A,FALSE,"Tickmarks"}</definedName>
    <definedName name="매출원가1" localSheetId="10" hidden="1">{#N/A,#N/A,FALSE,"Aging Summary";#N/A,#N/A,FALSE,"Ratio Analysis";#N/A,#N/A,FALSE,"Test 120 Day Accts";#N/A,#N/A,FALSE,"Tickmarks"}</definedName>
    <definedName name="매출원가1" localSheetId="6" hidden="1">{#N/A,#N/A,FALSE,"Aging Summary";#N/A,#N/A,FALSE,"Ratio Analysis";#N/A,#N/A,FALSE,"Test 120 Day Accts";#N/A,#N/A,FALSE,"Tickmarks"}</definedName>
    <definedName name="매출원가1" localSheetId="8" hidden="1">{#N/A,#N/A,FALSE,"Aging Summary";#N/A,#N/A,FALSE,"Ratio Analysis";#N/A,#N/A,FALSE,"Test 120 Day Accts";#N/A,#N/A,FALSE,"Tickmarks"}</definedName>
    <definedName name="매출원가1" localSheetId="9" hidden="1">{#N/A,#N/A,FALSE,"Aging Summary";#N/A,#N/A,FALSE,"Ratio Analysis";#N/A,#N/A,FALSE,"Test 120 Day Accts";#N/A,#N/A,FALSE,"Tickmarks"}</definedName>
    <definedName name="매출원가1" localSheetId="3" hidden="1">{#N/A,#N/A,FALSE,"Aging Summary";#N/A,#N/A,FALSE,"Ratio Analysis";#N/A,#N/A,FALSE,"Test 120 Day Accts";#N/A,#N/A,FALSE,"Tickmarks"}</definedName>
    <definedName name="매출원가1" localSheetId="7" hidden="1">{#N/A,#N/A,FALSE,"Aging Summary";#N/A,#N/A,FALSE,"Ratio Analysis";#N/A,#N/A,FALSE,"Test 120 Day Accts";#N/A,#N/A,FALSE,"Tickmarks"}</definedName>
    <definedName name="매출원가1" localSheetId="12" hidden="1">{#N/A,#N/A,FALSE,"Aging Summary";#N/A,#N/A,FALSE,"Ratio Analysis";#N/A,#N/A,FALSE,"Test 120 Day Accts";#N/A,#N/A,FALSE,"Tickmarks"}</definedName>
    <definedName name="매출원가1" hidden="1">{#N/A,#N/A,FALSE,"Aging Summary";#N/A,#N/A,FALSE,"Ratio Analysis";#N/A,#N/A,FALSE,"Test 120 Day Accts";#N/A,#N/A,FALSE,"Tickmarks"}</definedName>
    <definedName name="ㅏㅏ" localSheetId="2" hidden="1">{#N/A,#N/A,FALSE,"Aging Summary";#N/A,#N/A,FALSE,"Ratio Analysis";#N/A,#N/A,FALSE,"Test 120 Day Accts";#N/A,#N/A,FALSE,"Tickmarks"}</definedName>
    <definedName name="ㅏㅏ" localSheetId="10" hidden="1">{#N/A,#N/A,FALSE,"Aging Summary";#N/A,#N/A,FALSE,"Ratio Analysis";#N/A,#N/A,FALSE,"Test 120 Day Accts";#N/A,#N/A,FALSE,"Tickmarks"}</definedName>
    <definedName name="ㅏㅏ" localSheetId="6" hidden="1">{#N/A,#N/A,FALSE,"Aging Summary";#N/A,#N/A,FALSE,"Ratio Analysis";#N/A,#N/A,FALSE,"Test 120 Day Accts";#N/A,#N/A,FALSE,"Tickmarks"}</definedName>
    <definedName name="ㅏㅏ" localSheetId="8" hidden="1">{#N/A,#N/A,FALSE,"Aging Summary";#N/A,#N/A,FALSE,"Ratio Analysis";#N/A,#N/A,FALSE,"Test 120 Day Accts";#N/A,#N/A,FALSE,"Tickmarks"}</definedName>
    <definedName name="ㅏㅏ" localSheetId="9" hidden="1">{#N/A,#N/A,FALSE,"Aging Summary";#N/A,#N/A,FALSE,"Ratio Analysis";#N/A,#N/A,FALSE,"Test 120 Day Accts";#N/A,#N/A,FALSE,"Tickmarks"}</definedName>
    <definedName name="ㅏㅏ" localSheetId="3" hidden="1">{#N/A,#N/A,FALSE,"Aging Summary";#N/A,#N/A,FALSE,"Ratio Analysis";#N/A,#N/A,FALSE,"Test 120 Day Accts";#N/A,#N/A,FALSE,"Tickmarks"}</definedName>
    <definedName name="ㅏㅏ" localSheetId="7" hidden="1">{#N/A,#N/A,FALSE,"Aging Summary";#N/A,#N/A,FALSE,"Ratio Analysis";#N/A,#N/A,FALSE,"Test 120 Day Accts";#N/A,#N/A,FALSE,"Tickmarks"}</definedName>
    <definedName name="ㅏㅏ" localSheetId="12" hidden="1">{#N/A,#N/A,FALSE,"Aging Summary";#N/A,#N/A,FALSE,"Ratio Analysis";#N/A,#N/A,FALSE,"Test 120 Day Accts";#N/A,#N/A,FALSE,"Tickmarks"}</definedName>
    <definedName name="ㅏㅏ" hidden="1">{#N/A,#N/A,FALSE,"Aging Summary";#N/A,#N/A,FALSE,"Ratio Analysis";#N/A,#N/A,FALSE,"Test 120 Day Accts";#N/A,#N/A,FALSE,"Tickmarks"}</definedName>
  </definedNames>
  <calcPr calcId="191029" calcMode="manual"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512" i="28" l="1"/>
  <c r="AH288" i="28"/>
  <c r="AH200" i="28"/>
  <c r="W183" i="3"/>
  <c r="X183" i="3" s="1"/>
  <c r="V183" i="3"/>
  <c r="X182" i="3"/>
  <c r="W182" i="3"/>
  <c r="V182" i="3"/>
  <c r="X181" i="3"/>
  <c r="AH199" i="28"/>
  <c r="AG199" i="28"/>
  <c r="AK199" i="28"/>
  <c r="AL199" i="28"/>
  <c r="AM199" i="28"/>
  <c r="AN199" i="28"/>
  <c r="AO199" i="28"/>
  <c r="AS199" i="28"/>
  <c r="AK200" i="28"/>
  <c r="AL200" i="28"/>
  <c r="AM200" i="28"/>
  <c r="AN200" i="28"/>
  <c r="AO200" i="28"/>
  <c r="AS200" i="28"/>
  <c r="AJ200" i="28"/>
  <c r="AJ199" i="28"/>
  <c r="AH182" i="28"/>
  <c r="AG182" i="28"/>
  <c r="AH181" i="28"/>
  <c r="AG181" i="28"/>
  <c r="AG174" i="28"/>
  <c r="AG169" i="28"/>
  <c r="AG168" i="28"/>
  <c r="Y181" i="28"/>
  <c r="Y182" i="28"/>
  <c r="Y183" i="28"/>
  <c r="Y184" i="28"/>
  <c r="N8" i="29"/>
  <c r="O7" i="29"/>
  <c r="N7" i="29"/>
  <c r="M7" i="29"/>
  <c r="L7" i="29"/>
  <c r="K7" i="29"/>
  <c r="J7" i="29"/>
  <c r="F22" i="29"/>
  <c r="F21" i="29"/>
  <c r="F20" i="29"/>
  <c r="F17" i="29"/>
  <c r="F16" i="29"/>
  <c r="F11" i="29"/>
  <c r="F10" i="29"/>
  <c r="F9" i="29"/>
  <c r="F7" i="29"/>
  <c r="F8" i="29" s="1"/>
  <c r="O8" i="29"/>
  <c r="M8" i="29"/>
  <c r="L8" i="29"/>
  <c r="K8" i="29"/>
  <c r="J8" i="29"/>
  <c r="J6" i="29"/>
  <c r="C20" i="29"/>
  <c r="C19" i="29"/>
  <c r="C13" i="29"/>
  <c r="C12" i="29"/>
  <c r="C11" i="29"/>
  <c r="C10" i="29"/>
  <c r="C7" i="29"/>
  <c r="C8" i="29" s="1"/>
  <c r="C9" i="29" s="1"/>
  <c r="W220" i="28"/>
  <c r="X220" i="28"/>
  <c r="V220" i="28"/>
  <c r="W532" i="28"/>
  <c r="X532" i="28"/>
  <c r="V532" i="28"/>
  <c r="AK239" i="3"/>
  <c r="AL239" i="3"/>
  <c r="AM239" i="3"/>
  <c r="AN239" i="3"/>
  <c r="AO239" i="3"/>
  <c r="AP239" i="3"/>
  <c r="AQ239" i="3"/>
  <c r="AR239" i="3"/>
  <c r="AS239" i="3"/>
  <c r="AT239" i="3"/>
  <c r="AU239" i="3"/>
  <c r="AV239" i="3"/>
  <c r="AW239" i="3"/>
  <c r="AX239" i="3"/>
  <c r="AY239" i="3"/>
  <c r="AZ239" i="3"/>
  <c r="AJ239" i="3"/>
  <c r="U16" i="3"/>
  <c r="U31" i="3"/>
  <c r="U54" i="3" s="1"/>
  <c r="U65" i="3"/>
  <c r="U66" i="3"/>
  <c r="U52" i="3"/>
  <c r="U53" i="3"/>
  <c r="U55" i="3"/>
  <c r="U56" i="3"/>
  <c r="U57" i="3"/>
  <c r="U58" i="3"/>
  <c r="U59" i="3"/>
  <c r="U60" i="3"/>
  <c r="U61" i="3"/>
  <c r="U62" i="3"/>
  <c r="U63" i="3"/>
  <c r="U64" i="3"/>
  <c r="F12" i="29" l="1"/>
  <c r="F13" i="29" s="1"/>
  <c r="F14" i="29" s="1"/>
  <c r="F15" i="29" s="1"/>
  <c r="F18" i="29" s="1"/>
  <c r="F19" i="29" s="1"/>
  <c r="AA239" i="3"/>
  <c r="Z239" i="3"/>
  <c r="N239" i="3"/>
  <c r="O239" i="3"/>
  <c r="P239" i="3"/>
  <c r="Q239" i="3"/>
  <c r="R239" i="3"/>
  <c r="S239" i="3"/>
  <c r="T239" i="3"/>
  <c r="M239" i="3"/>
  <c r="AG512" i="28"/>
  <c r="AG288" i="28"/>
  <c r="AG200" i="28"/>
  <c r="AA183" i="3"/>
  <c r="Z183" i="3"/>
  <c r="AG153" i="3"/>
  <c r="AG152" i="3"/>
  <c r="AG149" i="3"/>
  <c r="AG148" i="3"/>
  <c r="AG145" i="3"/>
  <c r="AG144" i="3"/>
  <c r="AG143" i="3"/>
  <c r="AG139" i="3"/>
  <c r="AG133" i="3"/>
  <c r="AG130" i="3"/>
  <c r="AG127" i="3"/>
  <c r="AG123" i="3" s="1"/>
  <c r="AG126" i="3"/>
  <c r="AG125" i="3"/>
  <c r="AG124" i="3"/>
  <c r="AG118" i="3"/>
  <c r="AG114" i="3" s="1"/>
  <c r="AG117" i="3"/>
  <c r="AG116" i="3"/>
  <c r="AG115" i="3"/>
  <c r="AG110" i="3"/>
  <c r="AG107" i="3"/>
  <c r="AG105" i="3"/>
  <c r="AG97" i="3"/>
  <c r="V153" i="3"/>
  <c r="V152" i="3"/>
  <c r="V149" i="3"/>
  <c r="V148" i="3"/>
  <c r="V145" i="3"/>
  <c r="V144" i="3"/>
  <c r="V143" i="3"/>
  <c r="V139" i="3"/>
  <c r="V133" i="3"/>
  <c r="V130" i="3"/>
  <c r="V229" i="3" s="1"/>
  <c r="V227" i="3" s="1"/>
  <c r="V127" i="3"/>
  <c r="V126" i="3"/>
  <c r="V123" i="3" s="1"/>
  <c r="V125" i="3"/>
  <c r="V124" i="3"/>
  <c r="V118" i="3"/>
  <c r="V117" i="3"/>
  <c r="V116" i="3"/>
  <c r="V115" i="3"/>
  <c r="V114" i="3"/>
  <c r="V110" i="3"/>
  <c r="V107" i="3"/>
  <c r="V105" i="3"/>
  <c r="V97" i="3"/>
  <c r="V223" i="3"/>
  <c r="V222" i="3"/>
  <c r="V214" i="3"/>
  <c r="V209" i="3"/>
  <c r="V192" i="3"/>
  <c r="V191" i="3"/>
  <c r="P188" i="3"/>
  <c r="O188" i="3"/>
  <c r="N188" i="3"/>
  <c r="E188" i="3"/>
  <c r="F188" i="3"/>
  <c r="G188" i="3"/>
  <c r="H188" i="3"/>
  <c r="I188" i="3"/>
  <c r="J188" i="3"/>
  <c r="K188" i="3"/>
  <c r="L188" i="3"/>
  <c r="M188" i="3"/>
  <c r="Q188" i="3"/>
  <c r="R188" i="3"/>
  <c r="S188" i="3"/>
  <c r="T188" i="3"/>
  <c r="N233" i="3"/>
  <c r="N230" i="3"/>
  <c r="N229" i="3"/>
  <c r="N228" i="3"/>
  <c r="N227" i="3"/>
  <c r="N226" i="3"/>
  <c r="N225" i="3"/>
  <c r="N224" i="3"/>
  <c r="N223" i="3"/>
  <c r="N231" i="3" s="1"/>
  <c r="N222" i="3"/>
  <c r="N219" i="3"/>
  <c r="N218" i="3"/>
  <c r="N214" i="3" s="1"/>
  <c r="N220" i="3" s="1"/>
  <c r="N217" i="3"/>
  <c r="N216" i="3"/>
  <c r="N215" i="3"/>
  <c r="N213" i="3"/>
  <c r="N210" i="3"/>
  <c r="N203" i="3" s="1"/>
  <c r="N209" i="3"/>
  <c r="N208" i="3"/>
  <c r="N207" i="3"/>
  <c r="N206" i="3"/>
  <c r="N205" i="3"/>
  <c r="N204" i="3"/>
  <c r="N202" i="3"/>
  <c r="N201" i="3"/>
  <c r="N200" i="3"/>
  <c r="N199" i="3"/>
  <c r="N198" i="3"/>
  <c r="N197" i="3"/>
  <c r="N196" i="3"/>
  <c r="N195" i="3"/>
  <c r="N194" i="3"/>
  <c r="N193" i="3"/>
  <c r="N191" i="3"/>
  <c r="N190" i="3"/>
  <c r="N189" i="3"/>
  <c r="E236" i="3"/>
  <c r="G158" i="3"/>
  <c r="F158" i="3"/>
  <c r="E158" i="3"/>
  <c r="AG47" i="29"/>
  <c r="U42" i="28"/>
  <c r="U43" i="28"/>
  <c r="N192" i="3" l="1"/>
  <c r="N211" i="3" s="1"/>
  <c r="N235" i="3" s="1"/>
  <c r="AJ46" i="28" l="1"/>
  <c r="AJ47" i="28"/>
  <c r="AJ45" i="28"/>
  <c r="AL44" i="28"/>
  <c r="AK44" i="28"/>
  <c r="AJ44" i="28"/>
  <c r="AJ43" i="28"/>
  <c r="AJ42" i="28"/>
  <c r="AM44" i="28"/>
  <c r="AA42" i="28"/>
  <c r="AB42" i="28"/>
  <c r="AC42" i="28"/>
  <c r="AD42" i="28"/>
  <c r="AG191" i="3"/>
  <c r="O24" i="13"/>
  <c r="X537" i="28" l="1"/>
  <c r="W537" i="28"/>
  <c r="V537" i="28"/>
  <c r="X531" i="28"/>
  <c r="W531" i="28"/>
  <c r="V531" i="28"/>
  <c r="X530" i="28"/>
  <c r="W530" i="28"/>
  <c r="V530" i="28"/>
  <c r="X526" i="28"/>
  <c r="W526" i="28"/>
  <c r="V526" i="28"/>
  <c r="X525" i="28"/>
  <c r="W525" i="28"/>
  <c r="V525" i="28"/>
  <c r="X524" i="28"/>
  <c r="W524" i="28"/>
  <c r="V524" i="28"/>
  <c r="X427" i="28"/>
  <c r="W427" i="28"/>
  <c r="V427" i="28"/>
  <c r="W301" i="28"/>
  <c r="X301" i="28"/>
  <c r="V301" i="28"/>
  <c r="X425" i="28"/>
  <c r="W425" i="28"/>
  <c r="V425" i="28"/>
  <c r="X316" i="28"/>
  <c r="W316" i="28"/>
  <c r="V316" i="28"/>
  <c r="X315" i="28"/>
  <c r="W315" i="28"/>
  <c r="V315" i="28"/>
  <c r="X308" i="28"/>
  <c r="W308" i="28"/>
  <c r="V308" i="28"/>
  <c r="X306" i="28"/>
  <c r="W306" i="28"/>
  <c r="V306" i="28"/>
  <c r="X302" i="28"/>
  <c r="W302" i="28"/>
  <c r="V302" i="28"/>
  <c r="X300" i="28"/>
  <c r="W300" i="28"/>
  <c r="V300" i="28"/>
  <c r="X228" i="28"/>
  <c r="W228" i="28"/>
  <c r="V228" i="28"/>
  <c r="X227" i="28"/>
  <c r="W227" i="28"/>
  <c r="V227" i="28"/>
  <c r="X226" i="28"/>
  <c r="W226" i="28"/>
  <c r="V226" i="28"/>
  <c r="X219" i="28"/>
  <c r="W219" i="28"/>
  <c r="V219" i="28"/>
  <c r="X218" i="28"/>
  <c r="W218" i="28"/>
  <c r="V218" i="28"/>
  <c r="W213" i="28"/>
  <c r="X213" i="28"/>
  <c r="V213" i="28"/>
  <c r="X214" i="28"/>
  <c r="W214" i="28"/>
  <c r="V214" i="28"/>
  <c r="X212" i="28"/>
  <c r="W212" i="28"/>
  <c r="V212" i="28"/>
  <c r="V18" i="14"/>
  <c r="V19" i="14"/>
  <c r="O23" i="14"/>
  <c r="P23" i="14"/>
  <c r="Q23" i="14"/>
  <c r="R23" i="14"/>
  <c r="S23" i="14"/>
  <c r="T23" i="14"/>
  <c r="U23" i="14"/>
  <c r="O26" i="14"/>
  <c r="P26" i="14"/>
  <c r="Q26" i="14"/>
  <c r="Q24" i="14" s="1"/>
  <c r="R26" i="14"/>
  <c r="R24" i="14" s="1"/>
  <c r="S26" i="14"/>
  <c r="S24" i="14" s="1"/>
  <c r="T26" i="14"/>
  <c r="T24" i="14" s="1"/>
  <c r="U26" i="14"/>
  <c r="U24" i="14" s="1"/>
  <c r="T29" i="14"/>
  <c r="T30" i="14"/>
  <c r="T32" i="14" s="1"/>
  <c r="O31" i="14"/>
  <c r="P31" i="14"/>
  <c r="Q31" i="14"/>
  <c r="R31" i="14"/>
  <c r="S31" i="14"/>
  <c r="T31" i="14"/>
  <c r="U31" i="14"/>
  <c r="N31" i="14"/>
  <c r="N26" i="14"/>
  <c r="F76" i="13"/>
  <c r="AH14" i="4"/>
  <c r="AG14" i="4"/>
  <c r="W14" i="4"/>
  <c r="X14" i="4" s="1"/>
  <c r="V14" i="4"/>
  <c r="AH45" i="4"/>
  <c r="AG45" i="4"/>
  <c r="W45" i="4"/>
  <c r="X45" i="4"/>
  <c r="V45" i="4"/>
  <c r="R42" i="28"/>
  <c r="R43" i="28"/>
  <c r="S43" i="28"/>
  <c r="T43" i="28"/>
  <c r="U605" i="28"/>
  <c r="U517" i="28"/>
  <c r="O24" i="14" l="1"/>
  <c r="P24" i="14"/>
  <c r="U480" i="28"/>
  <c r="U481" i="28"/>
  <c r="U256" i="28"/>
  <c r="U168" i="28"/>
  <c r="U169" i="28"/>
  <c r="U16" i="28"/>
  <c r="U45" i="28" s="1"/>
  <c r="U17" i="28"/>
  <c r="U50" i="28" s="1"/>
  <c r="U18" i="28"/>
  <c r="U51" i="28" s="1"/>
  <c r="U24" i="28"/>
  <c r="U31" i="28"/>
  <c r="U32" i="28"/>
  <c r="U39" i="28"/>
  <c r="U102" i="28"/>
  <c r="U106" i="28"/>
  <c r="U108" i="28"/>
  <c r="U111" i="28"/>
  <c r="U112" i="28"/>
  <c r="U113" i="28"/>
  <c r="U114" i="28"/>
  <c r="U115" i="28"/>
  <c r="U118" i="28"/>
  <c r="U122" i="28" s="1"/>
  <c r="U35" i="28" s="1"/>
  <c r="U16" i="14" s="1"/>
  <c r="U119" i="28"/>
  <c r="U120" i="28"/>
  <c r="U121" i="28"/>
  <c r="U166" i="3"/>
  <c r="U177" i="3"/>
  <c r="U178" i="3"/>
  <c r="U182" i="3"/>
  <c r="U183" i="3"/>
  <c r="U233" i="3"/>
  <c r="U230" i="3"/>
  <c r="U229" i="3"/>
  <c r="U227" i="3" s="1"/>
  <c r="U228" i="3"/>
  <c r="U226" i="3"/>
  <c r="U19" i="14" s="1"/>
  <c r="U225" i="3"/>
  <c r="U20" i="14" s="1"/>
  <c r="U224" i="3"/>
  <c r="U223" i="3"/>
  <c r="U222" i="3"/>
  <c r="U219" i="3"/>
  <c r="U218" i="3"/>
  <c r="U217" i="3"/>
  <c r="U216" i="3"/>
  <c r="U215" i="3"/>
  <c r="U213" i="3"/>
  <c r="U17" i="14" s="1"/>
  <c r="U210" i="3"/>
  <c r="U209" i="3"/>
  <c r="U208" i="3"/>
  <c r="U207" i="3"/>
  <c r="U206" i="3"/>
  <c r="U205" i="3"/>
  <c r="U204" i="3"/>
  <c r="U202" i="3"/>
  <c r="U201" i="3"/>
  <c r="U200" i="3"/>
  <c r="U199" i="3"/>
  <c r="U198" i="3"/>
  <c r="U197" i="3"/>
  <c r="U196" i="3"/>
  <c r="U195" i="3"/>
  <c r="U194" i="3"/>
  <c r="U193" i="3"/>
  <c r="U191" i="3"/>
  <c r="U190" i="3"/>
  <c r="U23" i="28" s="1"/>
  <c r="U52" i="28" s="1"/>
  <c r="U189" i="3"/>
  <c r="Q233" i="3"/>
  <c r="Q230" i="3"/>
  <c r="Q227" i="3" s="1"/>
  <c r="Q229" i="3"/>
  <c r="Q228" i="3"/>
  <c r="Q226" i="3"/>
  <c r="Q19" i="14" s="1"/>
  <c r="Q225" i="3"/>
  <c r="Q20" i="14" s="1"/>
  <c r="Q224" i="3"/>
  <c r="Q223" i="3"/>
  <c r="Q222" i="3"/>
  <c r="Q18" i="14" s="1"/>
  <c r="Q219" i="3"/>
  <c r="Q218" i="3"/>
  <c r="Q217" i="3"/>
  <c r="Q214" i="3" s="1"/>
  <c r="Q220" i="3" s="1"/>
  <c r="Q216" i="3"/>
  <c r="Q215" i="3"/>
  <c r="Q213" i="3"/>
  <c r="Q17" i="14" s="1"/>
  <c r="Q210" i="3"/>
  <c r="Q209" i="3"/>
  <c r="Q208" i="3"/>
  <c r="Q207" i="3"/>
  <c r="Q206" i="3"/>
  <c r="Q205" i="3"/>
  <c r="Q204" i="3"/>
  <c r="Q202" i="3"/>
  <c r="Q201" i="3"/>
  <c r="Q200" i="3"/>
  <c r="Q199" i="3"/>
  <c r="Q198" i="3"/>
  <c r="Q197" i="3"/>
  <c r="Q196" i="3"/>
  <c r="Q195" i="3"/>
  <c r="Q194" i="3"/>
  <c r="Q193" i="3"/>
  <c r="Q191" i="3"/>
  <c r="Q190" i="3"/>
  <c r="Q189" i="3"/>
  <c r="AZ192" i="3"/>
  <c r="AZ203" i="3"/>
  <c r="AZ214" i="3"/>
  <c r="AZ227" i="3"/>
  <c r="AZ231" i="3" s="1"/>
  <c r="U281" i="3"/>
  <c r="U280" i="3" s="1"/>
  <c r="U139" i="3"/>
  <c r="U136" i="3"/>
  <c r="U133" i="3"/>
  <c r="U130" i="3"/>
  <c r="U123" i="3"/>
  <c r="U128" i="3" s="1"/>
  <c r="U114" i="3"/>
  <c r="U110" i="3"/>
  <c r="U102" i="3"/>
  <c r="U98" i="3"/>
  <c r="U181" i="3" s="1"/>
  <c r="U184" i="3" s="1"/>
  <c r="U13" i="3"/>
  <c r="U25" i="3" s="1"/>
  <c r="U146" i="3" l="1"/>
  <c r="U116" i="28"/>
  <c r="U30" i="28" s="1"/>
  <c r="U15" i="14" s="1"/>
  <c r="U203" i="3"/>
  <c r="U179" i="3"/>
  <c r="U231" i="3"/>
  <c r="U18" i="14"/>
  <c r="U214" i="3"/>
  <c r="U220" i="3" s="1"/>
  <c r="U29" i="14"/>
  <c r="Q231" i="3"/>
  <c r="U108" i="3"/>
  <c r="U30" i="14"/>
  <c r="Q203" i="3"/>
  <c r="U15" i="28"/>
  <c r="U49" i="28" s="1"/>
  <c r="Q192" i="3"/>
  <c r="U192" i="3"/>
  <c r="AZ211" i="3"/>
  <c r="AZ220" i="3"/>
  <c r="U119" i="3"/>
  <c r="U33" i="3"/>
  <c r="U36" i="3" s="1"/>
  <c r="E5" i="13"/>
  <c r="D4" i="13"/>
  <c r="U21" i="14" l="1"/>
  <c r="U188" i="3"/>
  <c r="U211" i="3" s="1"/>
  <c r="U51" i="3"/>
  <c r="U27" i="14"/>
  <c r="U32" i="14"/>
  <c r="AZ235" i="3"/>
  <c r="U39" i="3"/>
  <c r="U41" i="3" s="1"/>
  <c r="U278" i="3"/>
  <c r="U283" i="3" s="1"/>
  <c r="AG527" i="28"/>
  <c r="AG526" i="28"/>
  <c r="AG525" i="28"/>
  <c r="AG524" i="28"/>
  <c r="AG537" i="28"/>
  <c r="Z3" i="13"/>
  <c r="E3" i="15" a="1"/>
  <c r="J86" i="14"/>
  <c r="U235" i="3" l="1"/>
  <c r="U42" i="3"/>
  <c r="E3" i="15"/>
  <c r="AG316" i="28"/>
  <c r="AH316" i="28" s="1"/>
  <c r="AG315" i="28"/>
  <c r="AH315" i="28" s="1"/>
  <c r="AG227" i="28"/>
  <c r="AH227" i="28" s="1"/>
  <c r="AG228" i="28"/>
  <c r="AH228" i="28" s="1"/>
  <c r="AG226" i="28"/>
  <c r="AH226" i="28" s="1"/>
  <c r="M19" i="14"/>
  <c r="F31" i="14"/>
  <c r="F26" i="14"/>
  <c r="F23" i="14"/>
  <c r="F20" i="14"/>
  <c r="F19" i="14"/>
  <c r="F18" i="14"/>
  <c r="F17" i="14"/>
  <c r="M200" i="28"/>
  <c r="S16" i="28"/>
  <c r="S45" i="28" s="1"/>
  <c r="T16" i="28"/>
  <c r="T45" i="28" s="1"/>
  <c r="V16" i="28"/>
  <c r="V45" i="28" s="1"/>
  <c r="W16" i="28"/>
  <c r="W45" i="28" s="1"/>
  <c r="X16" i="28"/>
  <c r="X45" i="28" s="1"/>
  <c r="AF45" i="4" l="1"/>
  <c r="V20" i="4"/>
  <c r="W20" i="4"/>
  <c r="X20" i="4"/>
  <c r="AE11" i="4"/>
  <c r="AE14" i="4"/>
  <c r="AE10" i="4"/>
  <c r="U128" i="28"/>
  <c r="U127" i="28"/>
  <c r="X641" i="28"/>
  <c r="W641" i="28"/>
  <c r="V641" i="28"/>
  <c r="U641" i="28"/>
  <c r="X637" i="28"/>
  <c r="W637" i="28"/>
  <c r="V637" i="28"/>
  <c r="U637" i="28"/>
  <c r="U629" i="28"/>
  <c r="X629" i="28"/>
  <c r="X625" i="28"/>
  <c r="W625" i="28"/>
  <c r="W629" i="28" s="1"/>
  <c r="V625" i="28"/>
  <c r="X620" i="28"/>
  <c r="W620" i="28"/>
  <c r="V620" i="28"/>
  <c r="X618" i="28"/>
  <c r="W618" i="28"/>
  <c r="V618" i="28"/>
  <c r="X615" i="28"/>
  <c r="W615" i="28"/>
  <c r="V615" i="28"/>
  <c r="X614" i="28"/>
  <c r="W614" i="28"/>
  <c r="V614" i="28"/>
  <c r="X613" i="28"/>
  <c r="W613" i="28"/>
  <c r="V613" i="28"/>
  <c r="X612" i="28"/>
  <c r="W612" i="28"/>
  <c r="V612" i="28"/>
  <c r="V605" i="28"/>
  <c r="W605" i="28"/>
  <c r="X605" i="28"/>
  <c r="X584" i="28"/>
  <c r="W584" i="28"/>
  <c r="V584" i="28"/>
  <c r="U584" i="28"/>
  <c r="X583" i="28"/>
  <c r="W583" i="28"/>
  <c r="V583" i="28"/>
  <c r="U583" i="28"/>
  <c r="X582" i="28"/>
  <c r="X585" i="28" s="1"/>
  <c r="W582" i="28"/>
  <c r="W585" i="28" s="1"/>
  <c r="V582" i="28"/>
  <c r="X581" i="28"/>
  <c r="W581" i="28"/>
  <c r="V581" i="28"/>
  <c r="X578" i="28"/>
  <c r="W578" i="28"/>
  <c r="V578" i="28"/>
  <c r="U578" i="28"/>
  <c r="U431" i="28"/>
  <c r="V426" i="28"/>
  <c r="W426" i="28"/>
  <c r="X426" i="28"/>
  <c r="X445" i="28" s="1"/>
  <c r="T605" i="28"/>
  <c r="Q200" i="28"/>
  <c r="R200" i="28"/>
  <c r="V629" i="28" l="1"/>
  <c r="U585" i="28"/>
  <c r="V585" i="28"/>
  <c r="K6" i="29"/>
  <c r="L6" i="29" s="1"/>
  <c r="M6" i="29" s="1"/>
  <c r="AG578" i="28"/>
  <c r="AH578" i="28"/>
  <c r="AF511" i="28"/>
  <c r="AG511" i="28" s="1"/>
  <c r="AH511" i="28" s="1"/>
  <c r="AG426" i="28"/>
  <c r="AH426" i="28"/>
  <c r="AG427" i="28"/>
  <c r="AH427" i="28"/>
  <c r="AG425" i="28"/>
  <c r="AH425" i="28" s="1"/>
  <c r="AF287" i="28"/>
  <c r="AF199" i="28"/>
  <c r="G31" i="15"/>
  <c r="AF487" i="28"/>
  <c r="AF175" i="28"/>
  <c r="G22" i="15"/>
  <c r="AF262" i="28"/>
  <c r="AF174" i="28"/>
  <c r="AH128" i="28"/>
  <c r="S18" i="15" s="1"/>
  <c r="AG128" i="28"/>
  <c r="M18" i="15" s="1"/>
  <c r="AH127" i="28"/>
  <c r="S12" i="15" s="1"/>
  <c r="AG127" i="28"/>
  <c r="AD200" i="28"/>
  <c r="AD199" i="28"/>
  <c r="O200" i="28"/>
  <c r="O199" i="28"/>
  <c r="N200" i="28"/>
  <c r="N199" i="28"/>
  <c r="M199" i="28"/>
  <c r="AE200" i="28"/>
  <c r="Q97" i="28"/>
  <c r="Q57" i="28" s="1"/>
  <c r="R97" i="28"/>
  <c r="R57" i="28" s="1"/>
  <c r="Q99" i="28"/>
  <c r="R99" i="28"/>
  <c r="Q102" i="28"/>
  <c r="R102" i="28"/>
  <c r="Q106" i="28"/>
  <c r="R106" i="28"/>
  <c r="Q108" i="28"/>
  <c r="R108" i="28"/>
  <c r="Q111" i="28"/>
  <c r="R111" i="28"/>
  <c r="Q112" i="28"/>
  <c r="R112" i="28"/>
  <c r="Q113" i="28"/>
  <c r="R113" i="28"/>
  <c r="Q114" i="28"/>
  <c r="R114" i="28"/>
  <c r="Q115" i="28"/>
  <c r="R115" i="28"/>
  <c r="Q118" i="28"/>
  <c r="R118" i="28"/>
  <c r="Q119" i="28"/>
  <c r="R119" i="28"/>
  <c r="Q120" i="28"/>
  <c r="R120" i="28"/>
  <c r="Q121" i="28"/>
  <c r="R121" i="28"/>
  <c r="T17" i="28"/>
  <c r="T50" i="28" s="1"/>
  <c r="T15" i="28"/>
  <c r="T49" i="28" s="1"/>
  <c r="T18" i="28"/>
  <c r="T51" i="28" s="1"/>
  <c r="T24" i="28"/>
  <c r="T31" i="28"/>
  <c r="T32" i="28"/>
  <c r="T39" i="28"/>
  <c r="R601" i="28"/>
  <c r="Q434" i="28"/>
  <c r="R434" i="28"/>
  <c r="T293" i="28"/>
  <c r="G26" i="15" l="1"/>
  <c r="R116" i="28"/>
  <c r="G19" i="15"/>
  <c r="W175" i="28"/>
  <c r="X175" i="28"/>
  <c r="V175" i="28"/>
  <c r="V128" i="28" s="1"/>
  <c r="G13" i="15"/>
  <c r="W174" i="28"/>
  <c r="V174" i="28"/>
  <c r="X174" i="28"/>
  <c r="G30" i="15"/>
  <c r="G14" i="15"/>
  <c r="V262" i="28"/>
  <c r="X262" i="28"/>
  <c r="W262" i="28"/>
  <c r="M12" i="15"/>
  <c r="W487" i="28"/>
  <c r="X487" i="28"/>
  <c r="V487" i="28"/>
  <c r="Q122" i="28"/>
  <c r="G21" i="15"/>
  <c r="C14" i="29"/>
  <c r="C15" i="29" s="1"/>
  <c r="C16" i="29" s="1"/>
  <c r="C17" i="29" s="1"/>
  <c r="C18" i="29" s="1"/>
  <c r="C21" i="29" s="1"/>
  <c r="C22" i="29" s="1"/>
  <c r="AG287" i="28"/>
  <c r="AH287" i="28" s="1"/>
  <c r="G27" i="15"/>
  <c r="Q116" i="28"/>
  <c r="R122" i="28"/>
  <c r="K5" i="29"/>
  <c r="X128" i="28" l="1"/>
  <c r="W128" i="28"/>
  <c r="T569" i="28"/>
  <c r="AE523" i="28"/>
  <c r="AE497" i="28"/>
  <c r="AE299" i="28"/>
  <c r="R568" i="28"/>
  <c r="T629" i="28"/>
  <c r="T481" i="28"/>
  <c r="T256" i="28"/>
  <c r="T168" i="28"/>
  <c r="T169" i="28"/>
  <c r="S133" i="28"/>
  <c r="S134" i="28"/>
  <c r="S135" i="28"/>
  <c r="S136" i="28"/>
  <c r="S127" i="28"/>
  <c r="S128" i="28"/>
  <c r="S519" i="28"/>
  <c r="S42" i="28" s="1"/>
  <c r="S446" i="28"/>
  <c r="S569" i="28"/>
  <c r="S585" i="28"/>
  <c r="S517" i="28"/>
  <c r="T517" i="28"/>
  <c r="S513" i="28"/>
  <c r="S481" i="28"/>
  <c r="R354" i="28"/>
  <c r="S354" i="28"/>
  <c r="T354" i="28"/>
  <c r="S317" i="28"/>
  <c r="S256" i="28"/>
  <c r="S258" i="28"/>
  <c r="S259" i="28"/>
  <c r="O259" i="28"/>
  <c r="S199" i="28"/>
  <c r="S99" i="28"/>
  <c r="S102" i="28"/>
  <c r="T102" i="28"/>
  <c r="S106" i="28"/>
  <c r="T106" i="28"/>
  <c r="S108" i="28"/>
  <c r="T108" i="28"/>
  <c r="S111" i="28"/>
  <c r="T111" i="28"/>
  <c r="S112" i="28"/>
  <c r="T112" i="28"/>
  <c r="S113" i="28"/>
  <c r="T113" i="28"/>
  <c r="S114" i="28"/>
  <c r="T114" i="28"/>
  <c r="S115" i="28"/>
  <c r="T115" i="28"/>
  <c r="S118" i="28"/>
  <c r="T118" i="28"/>
  <c r="S119" i="28"/>
  <c r="T119" i="28"/>
  <c r="S120" i="28"/>
  <c r="T120" i="28"/>
  <c r="S121" i="28"/>
  <c r="T121" i="28"/>
  <c r="S79" i="3"/>
  <c r="T79" i="3"/>
  <c r="R79" i="3"/>
  <c r="AE283" i="3"/>
  <c r="T166" i="3"/>
  <c r="T177" i="3"/>
  <c r="T178" i="3"/>
  <c r="T181" i="3"/>
  <c r="T182" i="3"/>
  <c r="T184" i="3" s="1"/>
  <c r="T183" i="3"/>
  <c r="T233" i="3"/>
  <c r="T230" i="3"/>
  <c r="T229" i="3"/>
  <c r="T228" i="3"/>
  <c r="T227" i="3" s="1"/>
  <c r="T226" i="3"/>
  <c r="T19" i="14" s="1"/>
  <c r="T225" i="3"/>
  <c r="T20" i="14" s="1"/>
  <c r="T224" i="3"/>
  <c r="T223" i="3"/>
  <c r="T222" i="3"/>
  <c r="T18" i="14" s="1"/>
  <c r="T219" i="3"/>
  <c r="T218" i="3"/>
  <c r="T217" i="3"/>
  <c r="T216" i="3"/>
  <c r="T215" i="3"/>
  <c r="T210" i="3"/>
  <c r="T209" i="3"/>
  <c r="T208" i="3"/>
  <c r="T207" i="3"/>
  <c r="T206" i="3"/>
  <c r="T205" i="3"/>
  <c r="T204" i="3"/>
  <c r="T202" i="3"/>
  <c r="T201" i="3"/>
  <c r="T200" i="3"/>
  <c r="T199" i="3"/>
  <c r="T198" i="3"/>
  <c r="T197" i="3"/>
  <c r="T196" i="3"/>
  <c r="T195" i="3"/>
  <c r="T194" i="3"/>
  <c r="T193" i="3"/>
  <c r="T191" i="3"/>
  <c r="T190" i="3"/>
  <c r="T23" i="28" s="1"/>
  <c r="T52" i="28" s="1"/>
  <c r="T189" i="3"/>
  <c r="AY213" i="3"/>
  <c r="AY192" i="3"/>
  <c r="AY203" i="3"/>
  <c r="AY214" i="3"/>
  <c r="AY227" i="3"/>
  <c r="AY231" i="3" s="1"/>
  <c r="T27" i="3"/>
  <c r="S54" i="3"/>
  <c r="S52" i="3"/>
  <c r="S53" i="3"/>
  <c r="S55" i="3"/>
  <c r="S72" i="3" s="1"/>
  <c r="S56" i="3"/>
  <c r="S73" i="3" s="1"/>
  <c r="S57" i="3"/>
  <c r="S66" i="3" s="1"/>
  <c r="S98" i="28" s="1"/>
  <c r="S58" i="3"/>
  <c r="S75" i="3" s="1"/>
  <c r="S59" i="3"/>
  <c r="S76" i="3" s="1"/>
  <c r="S60" i="3"/>
  <c r="S77" i="3" s="1"/>
  <c r="S61" i="3"/>
  <c r="S78" i="3" s="1"/>
  <c r="S62" i="3"/>
  <c r="S65" i="3" s="1"/>
  <c r="S107" i="28" s="1"/>
  <c r="S63" i="3"/>
  <c r="T108" i="3"/>
  <c r="T114" i="3"/>
  <c r="T123" i="3"/>
  <c r="T128" i="3" s="1"/>
  <c r="T130" i="3"/>
  <c r="T133" i="3"/>
  <c r="T136" i="3"/>
  <c r="T179" i="3" s="1"/>
  <c r="T139" i="3"/>
  <c r="T214" i="3" l="1"/>
  <c r="S74" i="3"/>
  <c r="T231" i="3"/>
  <c r="T192" i="3"/>
  <c r="T203" i="3"/>
  <c r="S116" i="28"/>
  <c r="T122" i="28"/>
  <c r="T35" i="28" s="1"/>
  <c r="T16" i="14" s="1"/>
  <c r="S122" i="28"/>
  <c r="S109" i="28"/>
  <c r="T116" i="28"/>
  <c r="T30" i="28" s="1"/>
  <c r="T15" i="14" s="1"/>
  <c r="AY220" i="3"/>
  <c r="AY211" i="3"/>
  <c r="T146" i="3"/>
  <c r="T119" i="3"/>
  <c r="T27" i="14" s="1"/>
  <c r="X5" i="4"/>
  <c r="W5" i="4"/>
  <c r="V5" i="4"/>
  <c r="U5" i="4"/>
  <c r="S14" i="4"/>
  <c r="AH5" i="4"/>
  <c r="AH6" i="4"/>
  <c r="AH44" i="4"/>
  <c r="AH98" i="28"/>
  <c r="AH99" i="28"/>
  <c r="AH108" i="28"/>
  <c r="AH112" i="28"/>
  <c r="AH113" i="28"/>
  <c r="AH114" i="28"/>
  <c r="AH115" i="28"/>
  <c r="AH119" i="28"/>
  <c r="AH120" i="28"/>
  <c r="AH121" i="28"/>
  <c r="AH354" i="28"/>
  <c r="AH361" i="28"/>
  <c r="AH381" i="28"/>
  <c r="AH392" i="28"/>
  <c r="AH405" i="28"/>
  <c r="AH413" i="28"/>
  <c r="AH417" i="28"/>
  <c r="AH450" i="28"/>
  <c r="AH495" i="28"/>
  <c r="AH496" i="28"/>
  <c r="AH583" i="28"/>
  <c r="AH584" i="28"/>
  <c r="AH55" i="3"/>
  <c r="AH72" i="3" s="1"/>
  <c r="AH56" i="3"/>
  <c r="AH73" i="3" s="1"/>
  <c r="AH57" i="3"/>
  <c r="AH74" i="3" s="1"/>
  <c r="AH58" i="3"/>
  <c r="AH75" i="3" s="1"/>
  <c r="AH59" i="3"/>
  <c r="AH76" i="3" s="1"/>
  <c r="AH60" i="3"/>
  <c r="AH77" i="3" s="1"/>
  <c r="AH61" i="3"/>
  <c r="AH78" i="3" s="1"/>
  <c r="AH79" i="3"/>
  <c r="AH184" i="3"/>
  <c r="AH192" i="3"/>
  <c r="AH214" i="3"/>
  <c r="AH227" i="3"/>
  <c r="AH407" i="28" l="1"/>
  <c r="AH398" i="28"/>
  <c r="AH408" i="28" s="1"/>
  <c r="AY235" i="3"/>
  <c r="S205" i="28"/>
  <c r="S17" i="28"/>
  <c r="S50" i="28" s="1"/>
  <c r="S18" i="28"/>
  <c r="S51" i="28" s="1"/>
  <c r="S24" i="28"/>
  <c r="S31" i="28"/>
  <c r="S32" i="28"/>
  <c r="S39" i="28"/>
  <c r="S166" i="3"/>
  <c r="S177" i="3"/>
  <c r="S178" i="3"/>
  <c r="S183" i="3"/>
  <c r="S233" i="3"/>
  <c r="S230" i="3"/>
  <c r="S229" i="3"/>
  <c r="S228" i="3"/>
  <c r="S226" i="3"/>
  <c r="S19" i="14" s="1"/>
  <c r="S225" i="3"/>
  <c r="S20" i="14" s="1"/>
  <c r="S224" i="3"/>
  <c r="S223" i="3"/>
  <c r="S222" i="3"/>
  <c r="S18" i="14" s="1"/>
  <c r="S219" i="3"/>
  <c r="S218" i="3"/>
  <c r="S217" i="3"/>
  <c r="S216" i="3"/>
  <c r="S215" i="3"/>
  <c r="S210" i="3"/>
  <c r="S209" i="3"/>
  <c r="S208" i="3"/>
  <c r="S207" i="3"/>
  <c r="S206" i="3"/>
  <c r="S205" i="3"/>
  <c r="S204" i="3"/>
  <c r="S202" i="3"/>
  <c r="S201" i="3"/>
  <c r="S200" i="3"/>
  <c r="S199" i="3"/>
  <c r="S198" i="3"/>
  <c r="S197" i="3"/>
  <c r="S196" i="3"/>
  <c r="S195" i="3"/>
  <c r="S194" i="3"/>
  <c r="S193" i="3"/>
  <c r="S191" i="3"/>
  <c r="S190" i="3"/>
  <c r="S189" i="3"/>
  <c r="AX213" i="3"/>
  <c r="AX192" i="3"/>
  <c r="AX203" i="3"/>
  <c r="AX214" i="3"/>
  <c r="AX227" i="3"/>
  <c r="AX231" i="3" s="1"/>
  <c r="S98" i="3"/>
  <c r="S29" i="14" s="1"/>
  <c r="S102" i="3"/>
  <c r="S30" i="14" s="1"/>
  <c r="S110" i="3"/>
  <c r="S114" i="3"/>
  <c r="S123" i="3"/>
  <c r="S128" i="3" s="1"/>
  <c r="S130" i="3"/>
  <c r="S133" i="3"/>
  <c r="S136" i="3"/>
  <c r="S179" i="3" s="1"/>
  <c r="S139" i="3"/>
  <c r="S13" i="3"/>
  <c r="S25" i="3" s="1"/>
  <c r="S60" i="28" s="1"/>
  <c r="U72" i="3"/>
  <c r="V55" i="3"/>
  <c r="V72" i="3" s="1"/>
  <c r="W55" i="3"/>
  <c r="W72" i="3" s="1"/>
  <c r="X55" i="3"/>
  <c r="X72" i="3" s="1"/>
  <c r="U73" i="3"/>
  <c r="V56" i="3"/>
  <c r="V73" i="3" s="1"/>
  <c r="W56" i="3"/>
  <c r="W73" i="3" s="1"/>
  <c r="X56" i="3"/>
  <c r="X73" i="3" s="1"/>
  <c r="U74" i="3"/>
  <c r="V57" i="3"/>
  <c r="V74" i="3" s="1"/>
  <c r="W57" i="3"/>
  <c r="W74" i="3" s="1"/>
  <c r="X57" i="3"/>
  <c r="X74" i="3" s="1"/>
  <c r="U75" i="3"/>
  <c r="V58" i="3"/>
  <c r="V75" i="3" s="1"/>
  <c r="W58" i="3"/>
  <c r="W75" i="3" s="1"/>
  <c r="X58" i="3"/>
  <c r="X75" i="3" s="1"/>
  <c r="U76" i="3"/>
  <c r="V59" i="3"/>
  <c r="V76" i="3" s="1"/>
  <c r="W59" i="3"/>
  <c r="W76" i="3" s="1"/>
  <c r="X59" i="3"/>
  <c r="X76" i="3" s="1"/>
  <c r="U77" i="3"/>
  <c r="V60" i="3"/>
  <c r="V77" i="3" s="1"/>
  <c r="W60" i="3"/>
  <c r="W77" i="3" s="1"/>
  <c r="X60" i="3"/>
  <c r="X77" i="3" s="1"/>
  <c r="U78" i="3"/>
  <c r="V61" i="3"/>
  <c r="V78" i="3" s="1"/>
  <c r="W61" i="3"/>
  <c r="W78" i="3" s="1"/>
  <c r="X61" i="3"/>
  <c r="X78" i="3" s="1"/>
  <c r="U79" i="3"/>
  <c r="V79" i="3"/>
  <c r="W79" i="3"/>
  <c r="X79" i="3"/>
  <c r="W192" i="3"/>
  <c r="X192" i="3"/>
  <c r="W214" i="3"/>
  <c r="X214" i="3"/>
  <c r="V108" i="28"/>
  <c r="W108" i="28"/>
  <c r="X108" i="28"/>
  <c r="V112" i="28"/>
  <c r="W112" i="28"/>
  <c r="X112" i="28"/>
  <c r="V113" i="28"/>
  <c r="W113" i="28"/>
  <c r="X113" i="28"/>
  <c r="V114" i="28"/>
  <c r="W114" i="28"/>
  <c r="X114" i="28"/>
  <c r="V115" i="28"/>
  <c r="W115" i="28"/>
  <c r="X115" i="28"/>
  <c r="V119" i="28"/>
  <c r="W119" i="28"/>
  <c r="X119" i="28"/>
  <c r="V120" i="28"/>
  <c r="W120" i="28"/>
  <c r="X120" i="28"/>
  <c r="V121" i="28"/>
  <c r="W121" i="28"/>
  <c r="X121" i="28"/>
  <c r="U354" i="28"/>
  <c r="V354" i="28"/>
  <c r="W354" i="28"/>
  <c r="X354" i="28"/>
  <c r="U361" i="28"/>
  <c r="V361" i="28"/>
  <c r="W361" i="28"/>
  <c r="X361" i="28"/>
  <c r="U381" i="28"/>
  <c r="V381" i="28"/>
  <c r="W381" i="28"/>
  <c r="X381" i="28"/>
  <c r="U387" i="28"/>
  <c r="V387" i="28"/>
  <c r="V392" i="28" s="1"/>
  <c r="V398" i="28" s="1"/>
  <c r="W387" i="28"/>
  <c r="W392" i="28" s="1"/>
  <c r="X387" i="28"/>
  <c r="X392" i="28" s="1"/>
  <c r="U405" i="28"/>
  <c r="V405" i="28"/>
  <c r="W405" i="28"/>
  <c r="X405" i="28"/>
  <c r="U413" i="28"/>
  <c r="V413" i="28"/>
  <c r="W413" i="28"/>
  <c r="X413" i="28"/>
  <c r="U417" i="28"/>
  <c r="V417" i="28"/>
  <c r="W417" i="28"/>
  <c r="X417" i="28"/>
  <c r="V102" i="28"/>
  <c r="X102" i="28"/>
  <c r="X15" i="3" s="1"/>
  <c r="V494" i="28"/>
  <c r="X494" i="28"/>
  <c r="X497" i="28" s="1"/>
  <c r="V495" i="28"/>
  <c r="W495" i="28"/>
  <c r="X495" i="28"/>
  <c r="U496" i="28"/>
  <c r="V496" i="28"/>
  <c r="W496" i="28"/>
  <c r="X496" i="28"/>
  <c r="S32" i="14" l="1"/>
  <c r="U392" i="28"/>
  <c r="V15" i="3"/>
  <c r="S182" i="3"/>
  <c r="S181" i="3"/>
  <c r="S184" i="3" s="1"/>
  <c r="S227" i="3"/>
  <c r="S231" i="3" s="1"/>
  <c r="S213" i="3"/>
  <c r="S17" i="14" s="1"/>
  <c r="T213" i="3"/>
  <c r="T17" i="14" s="1"/>
  <c r="T21" i="14" s="1"/>
  <c r="S33" i="3"/>
  <c r="V408" i="28"/>
  <c r="S23" i="28"/>
  <c r="S52" i="28" s="1"/>
  <c r="S64" i="3"/>
  <c r="S103" i="28" s="1"/>
  <c r="S104" i="28" s="1"/>
  <c r="S203" i="3"/>
  <c r="S214" i="3"/>
  <c r="AX211" i="3"/>
  <c r="S30" i="28"/>
  <c r="S15" i="14" s="1"/>
  <c r="S108" i="3"/>
  <c r="S119" i="3" s="1"/>
  <c r="S27" i="14" s="1"/>
  <c r="S192" i="3"/>
  <c r="AX220" i="3"/>
  <c r="S146" i="3"/>
  <c r="W494" i="28"/>
  <c r="W398" i="28"/>
  <c r="W408" i="28" s="1"/>
  <c r="W407" i="28"/>
  <c r="V497" i="28"/>
  <c r="U497" i="28"/>
  <c r="X398" i="28"/>
  <c r="X408" i="28" s="1"/>
  <c r="X407" i="28"/>
  <c r="W102" i="28"/>
  <c r="W15" i="3" s="1"/>
  <c r="V407" i="28"/>
  <c r="S220" i="3" l="1"/>
  <c r="U398" i="28"/>
  <c r="U407" i="28"/>
  <c r="T220" i="3"/>
  <c r="S36" i="3"/>
  <c r="S39" i="3" s="1"/>
  <c r="AX235" i="3"/>
  <c r="S211" i="3"/>
  <c r="W497" i="28"/>
  <c r="A2" i="4"/>
  <c r="Z5" i="4"/>
  <c r="F6" i="4"/>
  <c r="G6" i="4" s="1"/>
  <c r="H6" i="4" s="1"/>
  <c r="AA6" i="4"/>
  <c r="AA5" i="4" s="1"/>
  <c r="D12" i="4"/>
  <c r="Q14" i="4"/>
  <c r="R14" i="4"/>
  <c r="Q15" i="4"/>
  <c r="C19" i="4"/>
  <c r="C20" i="4"/>
  <c r="C25" i="4"/>
  <c r="C26" i="4"/>
  <c r="C27" i="4"/>
  <c r="C28" i="4"/>
  <c r="C33" i="4"/>
  <c r="C34" i="4"/>
  <c r="C35" i="4"/>
  <c r="C36" i="4"/>
  <c r="AG44" i="4"/>
  <c r="AJ52" i="4"/>
  <c r="Q53" i="4"/>
  <c r="A2" i="15"/>
  <c r="U408" i="28" l="1"/>
  <c r="S235" i="3"/>
  <c r="S51" i="3"/>
  <c r="S69" i="3" s="1"/>
  <c r="S71" i="3"/>
  <c r="S88" i="3" s="1"/>
  <c r="S42" i="3"/>
  <c r="S41" i="3"/>
  <c r="S278" i="3"/>
  <c r="R15" i="4"/>
  <c r="F5" i="4"/>
  <c r="G5" i="4"/>
  <c r="H5" i="4"/>
  <c r="I6" i="4"/>
  <c r="J6" i="4" s="1"/>
  <c r="K6" i="4" s="1"/>
  <c r="L6" i="4" s="1"/>
  <c r="E5" i="4"/>
  <c r="AB6" i="4"/>
  <c r="H221" i="15"/>
  <c r="AF221" i="15" l="1"/>
  <c r="L221" i="15"/>
  <c r="I5" i="4"/>
  <c r="J5" i="4"/>
  <c r="K5" i="4"/>
  <c r="L5" i="4"/>
  <c r="M6" i="4"/>
  <c r="N6" i="4" s="1"/>
  <c r="O6" i="4" s="1"/>
  <c r="P6" i="4" s="1"/>
  <c r="AB5" i="4"/>
  <c r="AC6" i="4"/>
  <c r="V11" i="4" l="1"/>
  <c r="V26" i="4" s="1"/>
  <c r="V34" i="4" s="1"/>
  <c r="W191" i="3"/>
  <c r="Q6" i="4"/>
  <c r="R6" i="4" s="1"/>
  <c r="S6" i="4" s="1"/>
  <c r="M5" i="4"/>
  <c r="N5" i="4"/>
  <c r="O5" i="4"/>
  <c r="P5" i="4"/>
  <c r="AC5" i="4"/>
  <c r="AD6" i="4"/>
  <c r="X191" i="3" l="1"/>
  <c r="AF14" i="4"/>
  <c r="W11" i="4"/>
  <c r="W26" i="4" s="1"/>
  <c r="W34" i="4" s="1"/>
  <c r="AD5" i="4"/>
  <c r="AE6" i="4"/>
  <c r="T6" i="4"/>
  <c r="U6" i="4" s="1"/>
  <c r="V6" i="4" l="1"/>
  <c r="X11" i="4"/>
  <c r="AE5" i="4"/>
  <c r="AH191" i="3"/>
  <c r="AF6" i="4"/>
  <c r="S5" i="4"/>
  <c r="Q5" i="4"/>
  <c r="R5" i="4"/>
  <c r="T5" i="4"/>
  <c r="X26" i="4" l="1"/>
  <c r="X34" i="4" s="1"/>
  <c r="AF34" i="4" s="1"/>
  <c r="AF11" i="4"/>
  <c r="AF26" i="4" s="1"/>
  <c r="W6" i="4"/>
  <c r="AF5" i="4"/>
  <c r="AG6" i="4"/>
  <c r="X6" i="4" l="1"/>
  <c r="AG11" i="4"/>
  <c r="AG5" i="4"/>
  <c r="AG26" i="4" l="1"/>
  <c r="AG34" i="4" s="1"/>
  <c r="AH11" i="4"/>
  <c r="AH26" i="4" s="1"/>
  <c r="AH34" i="4" s="1"/>
  <c r="D12" i="15" l="1"/>
  <c r="E12" i="15"/>
  <c r="L12" i="15"/>
  <c r="R12" i="15"/>
  <c r="F13" i="15"/>
  <c r="F14" i="15"/>
  <c r="F15" i="15"/>
  <c r="H15" i="15" s="1"/>
  <c r="F16" i="15"/>
  <c r="H16" i="15" s="1"/>
  <c r="D18" i="15"/>
  <c r="E18" i="15"/>
  <c r="L18" i="15"/>
  <c r="R18" i="15"/>
  <c r="F19" i="15"/>
  <c r="F20" i="15"/>
  <c r="H20" i="15" s="1"/>
  <c r="F21" i="15"/>
  <c r="F22" i="15"/>
  <c r="F28" i="15"/>
  <c r="F32" i="15"/>
  <c r="F36" i="15"/>
  <c r="F37" i="15"/>
  <c r="F38" i="15"/>
  <c r="F39" i="15"/>
  <c r="F40" i="15"/>
  <c r="F41" i="15"/>
  <c r="F45" i="15"/>
  <c r="F46" i="15"/>
  <c r="F47" i="15"/>
  <c r="F48" i="15"/>
  <c r="F49" i="15"/>
  <c r="F50" i="15"/>
  <c r="C234" i="15"/>
  <c r="C235" i="15"/>
  <c r="C236" i="15"/>
  <c r="C240" i="15"/>
  <c r="C241" i="15"/>
  <c r="J5" i="29"/>
  <c r="A2" i="28"/>
  <c r="E5" i="28"/>
  <c r="Z5" i="28"/>
  <c r="F6" i="28"/>
  <c r="G6" i="28" s="1"/>
  <c r="AA6" i="28"/>
  <c r="AK6" i="28"/>
  <c r="AL6" i="28" s="1"/>
  <c r="AM6" i="28" s="1"/>
  <c r="AN6" i="28" s="1"/>
  <c r="AO6" i="28" s="1"/>
  <c r="AP6" i="28" s="1"/>
  <c r="AQ6" i="28" s="1"/>
  <c r="AR6" i="28" s="1"/>
  <c r="AS6" i="28" s="1"/>
  <c r="AT6" i="28" s="1"/>
  <c r="AU6" i="28" s="1"/>
  <c r="AV6" i="28" s="1"/>
  <c r="E10" i="28"/>
  <c r="F10" i="28"/>
  <c r="F56" i="28" s="1"/>
  <c r="G10" i="28"/>
  <c r="G67" i="28" s="1"/>
  <c r="I10" i="28"/>
  <c r="J10" i="28"/>
  <c r="J56" i="28" s="1"/>
  <c r="K10" i="28"/>
  <c r="K56" i="28" s="1"/>
  <c r="M10" i="28"/>
  <c r="M56" i="28" s="1"/>
  <c r="N10" i="28"/>
  <c r="O10" i="28"/>
  <c r="Q10" i="28"/>
  <c r="R10" i="28"/>
  <c r="R7" i="14" s="1"/>
  <c r="R36" i="14" s="1"/>
  <c r="Z10" i="28"/>
  <c r="AA10" i="28"/>
  <c r="AA67" i="28" s="1"/>
  <c r="E16" i="28"/>
  <c r="E45" i="28" s="1"/>
  <c r="F16" i="28"/>
  <c r="F15" i="28" s="1"/>
  <c r="F49" i="28" s="1"/>
  <c r="G16" i="28"/>
  <c r="G15" i="28" s="1"/>
  <c r="G49" i="28" s="1"/>
  <c r="H16" i="28"/>
  <c r="H15" i="28" s="1"/>
  <c r="H49" i="28" s="1"/>
  <c r="I16" i="28"/>
  <c r="J16" i="28"/>
  <c r="K16" i="28"/>
  <c r="L16" i="28"/>
  <c r="L15" i="28" s="1"/>
  <c r="M16" i="28"/>
  <c r="M45" i="28" s="1"/>
  <c r="N16" i="28"/>
  <c r="N45" i="28" s="1"/>
  <c r="O16" i="28"/>
  <c r="O15" i="28" s="1"/>
  <c r="O49" i="28" s="1"/>
  <c r="P16" i="28"/>
  <c r="P15" i="28" s="1"/>
  <c r="P49" i="28" s="1"/>
  <c r="Q16" i="28"/>
  <c r="R16" i="28"/>
  <c r="Z16" i="28"/>
  <c r="AA16" i="28"/>
  <c r="AA15" i="28" s="1"/>
  <c r="E17" i="28"/>
  <c r="F17" i="28"/>
  <c r="G17" i="28"/>
  <c r="G50" i="28" s="1"/>
  <c r="H17" i="28"/>
  <c r="H50" i="28" s="1"/>
  <c r="I17" i="28"/>
  <c r="J17" i="28"/>
  <c r="J50" i="28" s="1"/>
  <c r="K17" i="28"/>
  <c r="L17" i="28"/>
  <c r="L50" i="28" s="1"/>
  <c r="M17" i="28"/>
  <c r="N17" i="28"/>
  <c r="N50" i="28" s="1"/>
  <c r="O17" i="28"/>
  <c r="O50" i="28" s="1"/>
  <c r="P17" i="28"/>
  <c r="P50" i="28" s="1"/>
  <c r="Q17" i="28"/>
  <c r="R17" i="28"/>
  <c r="R50" i="28" s="1"/>
  <c r="Z17" i="28"/>
  <c r="AA17" i="28"/>
  <c r="E18" i="28"/>
  <c r="F18" i="28"/>
  <c r="G18" i="28"/>
  <c r="G51" i="28" s="1"/>
  <c r="H18" i="28"/>
  <c r="H51" i="28" s="1"/>
  <c r="I18" i="28"/>
  <c r="J18" i="28"/>
  <c r="J51" i="28" s="1"/>
  <c r="K18" i="28"/>
  <c r="L18" i="28"/>
  <c r="L51" i="28" s="1"/>
  <c r="M18" i="28"/>
  <c r="N18" i="28"/>
  <c r="O18" i="28"/>
  <c r="O51" i="28" s="1"/>
  <c r="P18" i="28"/>
  <c r="P51" i="28" s="1"/>
  <c r="Q18" i="28"/>
  <c r="R18" i="28"/>
  <c r="R51" i="28" s="1"/>
  <c r="Z18" i="28"/>
  <c r="AA18" i="28"/>
  <c r="E22" i="28"/>
  <c r="E170" i="3" s="1"/>
  <c r="F22" i="28"/>
  <c r="G22" i="28"/>
  <c r="I22" i="28"/>
  <c r="J22" i="28"/>
  <c r="K22" i="28"/>
  <c r="M22" i="28"/>
  <c r="N22" i="28"/>
  <c r="N170" i="3" s="1"/>
  <c r="O22" i="28"/>
  <c r="O170" i="3" s="1"/>
  <c r="Q22" i="28"/>
  <c r="R22" i="28"/>
  <c r="Z22" i="28"/>
  <c r="AA22" i="28"/>
  <c r="AA170" i="3" s="1"/>
  <c r="Z23" i="28"/>
  <c r="AA23" i="28"/>
  <c r="E24" i="28"/>
  <c r="F24" i="28"/>
  <c r="G24" i="28"/>
  <c r="H24" i="28"/>
  <c r="I24" i="28"/>
  <c r="J24" i="28"/>
  <c r="K24" i="28"/>
  <c r="L24" i="28"/>
  <c r="M24" i="28"/>
  <c r="N24" i="28"/>
  <c r="O24" i="28"/>
  <c r="P24" i="28"/>
  <c r="Q24" i="28"/>
  <c r="R24" i="28"/>
  <c r="Z24" i="28"/>
  <c r="AA24" i="28"/>
  <c r="E27" i="28"/>
  <c r="F27" i="28"/>
  <c r="G27" i="28"/>
  <c r="H27" i="28"/>
  <c r="I27" i="28"/>
  <c r="J27" i="28"/>
  <c r="K27" i="28"/>
  <c r="L27" i="28"/>
  <c r="M27" i="28"/>
  <c r="N27" i="28"/>
  <c r="O27" i="28"/>
  <c r="P27" i="28"/>
  <c r="Q27" i="28"/>
  <c r="Z27" i="28"/>
  <c r="AA27" i="28"/>
  <c r="E31" i="28"/>
  <c r="F31" i="28"/>
  <c r="G31" i="28"/>
  <c r="H31" i="28"/>
  <c r="I31" i="28"/>
  <c r="J31" i="28"/>
  <c r="K31" i="28"/>
  <c r="L31" i="28"/>
  <c r="M31" i="28"/>
  <c r="N31" i="28"/>
  <c r="O31" i="28"/>
  <c r="P31" i="28"/>
  <c r="Q31" i="28"/>
  <c r="R31" i="28"/>
  <c r="Z31" i="28"/>
  <c r="AA31" i="28"/>
  <c r="E32" i="28"/>
  <c r="F32" i="28"/>
  <c r="G32" i="28"/>
  <c r="H32" i="28"/>
  <c r="I32" i="28"/>
  <c r="J32" i="28"/>
  <c r="K32" i="28"/>
  <c r="L32" i="28"/>
  <c r="M32" i="28"/>
  <c r="N32" i="28"/>
  <c r="O32" i="28"/>
  <c r="P32" i="28"/>
  <c r="Q32" i="28"/>
  <c r="R32" i="28"/>
  <c r="Z32" i="28"/>
  <c r="AA32" i="28"/>
  <c r="E39" i="28"/>
  <c r="F39" i="28"/>
  <c r="G39" i="28"/>
  <c r="H39" i="28"/>
  <c r="I39" i="28"/>
  <c r="J39" i="28"/>
  <c r="K39" i="28"/>
  <c r="L39" i="28"/>
  <c r="M39" i="28"/>
  <c r="N39" i="28"/>
  <c r="O39" i="28"/>
  <c r="P39" i="28"/>
  <c r="Q39" i="28"/>
  <c r="R39" i="28"/>
  <c r="Z39" i="28"/>
  <c r="AA39" i="28"/>
  <c r="E42" i="28"/>
  <c r="F42" i="28"/>
  <c r="G42" i="28"/>
  <c r="I42" i="28"/>
  <c r="J42" i="28"/>
  <c r="K42" i="28"/>
  <c r="M42" i="28"/>
  <c r="N42" i="28"/>
  <c r="N60" i="28" s="1"/>
  <c r="O42" i="28"/>
  <c r="Z42" i="28"/>
  <c r="E43" i="28"/>
  <c r="F43" i="28"/>
  <c r="G43" i="28"/>
  <c r="H43" i="28"/>
  <c r="I43" i="28"/>
  <c r="J43" i="28"/>
  <c r="K43" i="28"/>
  <c r="L43" i="28"/>
  <c r="M43" i="28"/>
  <c r="N43" i="28"/>
  <c r="O43" i="28"/>
  <c r="P43" i="28"/>
  <c r="Q43" i="28"/>
  <c r="Z43" i="28"/>
  <c r="AA43" i="28"/>
  <c r="P45" i="28"/>
  <c r="Z48" i="28"/>
  <c r="AA48" i="28"/>
  <c r="Z49" i="28"/>
  <c r="AA49" i="28"/>
  <c r="Z50" i="28"/>
  <c r="AA50" i="28"/>
  <c r="Z51" i="28"/>
  <c r="AA51" i="28"/>
  <c r="M67" i="28"/>
  <c r="Q67" i="28"/>
  <c r="E97" i="28"/>
  <c r="F97" i="28"/>
  <c r="F57" i="28" s="1"/>
  <c r="G97" i="28"/>
  <c r="G57" i="28" s="1"/>
  <c r="I97" i="28"/>
  <c r="I57" i="28" s="1"/>
  <c r="J97" i="28"/>
  <c r="J57" i="28" s="1"/>
  <c r="K97" i="28"/>
  <c r="K57" i="28" s="1"/>
  <c r="M97" i="28"/>
  <c r="M57" i="28" s="1"/>
  <c r="N97" i="28"/>
  <c r="N57" i="28" s="1"/>
  <c r="O97" i="28"/>
  <c r="O57" i="28" s="1"/>
  <c r="Z97" i="28"/>
  <c r="AA97" i="28"/>
  <c r="AA57" i="28" s="1"/>
  <c r="AG98" i="28"/>
  <c r="E99" i="28"/>
  <c r="F99" i="28"/>
  <c r="G99" i="28"/>
  <c r="H99" i="28"/>
  <c r="I99" i="28"/>
  <c r="J99" i="28"/>
  <c r="K99" i="28"/>
  <c r="L99" i="28"/>
  <c r="M99" i="28"/>
  <c r="N99" i="28"/>
  <c r="O99" i="28"/>
  <c r="P99" i="28"/>
  <c r="Z99" i="28"/>
  <c r="AA99" i="28"/>
  <c r="AG99" i="28"/>
  <c r="E102" i="28"/>
  <c r="F102" i="28"/>
  <c r="G102" i="28"/>
  <c r="H102" i="28"/>
  <c r="I102" i="28"/>
  <c r="J102" i="28"/>
  <c r="K102" i="28"/>
  <c r="L102" i="28"/>
  <c r="M102" i="28"/>
  <c r="N102" i="28"/>
  <c r="O102" i="28"/>
  <c r="P102" i="28"/>
  <c r="Z102" i="28"/>
  <c r="AA102" i="28"/>
  <c r="Z103" i="28"/>
  <c r="AA103" i="28"/>
  <c r="E106" i="28"/>
  <c r="F106" i="28"/>
  <c r="G106" i="28"/>
  <c r="H106" i="28"/>
  <c r="I106" i="28"/>
  <c r="J106" i="28"/>
  <c r="K106" i="28"/>
  <c r="L106" i="28"/>
  <c r="M106" i="28"/>
  <c r="N106" i="28"/>
  <c r="O106" i="28"/>
  <c r="P106" i="28"/>
  <c r="Z106" i="28"/>
  <c r="AA106" i="28"/>
  <c r="E108" i="28"/>
  <c r="F108" i="28"/>
  <c r="G108" i="28"/>
  <c r="H108" i="28"/>
  <c r="I108" i="28"/>
  <c r="J108" i="28"/>
  <c r="K108" i="28"/>
  <c r="L108" i="28"/>
  <c r="M108" i="28"/>
  <c r="N108" i="28"/>
  <c r="O108" i="28"/>
  <c r="P108" i="28"/>
  <c r="Z108" i="28"/>
  <c r="AA108" i="28"/>
  <c r="AG108" i="28"/>
  <c r="E111" i="28"/>
  <c r="F111" i="28"/>
  <c r="G111" i="28"/>
  <c r="H111" i="28"/>
  <c r="I111" i="28"/>
  <c r="J111" i="28"/>
  <c r="K111" i="28"/>
  <c r="L111" i="28"/>
  <c r="M111" i="28"/>
  <c r="N111" i="28"/>
  <c r="O111" i="28"/>
  <c r="P111" i="28"/>
  <c r="Z111" i="28"/>
  <c r="AA111" i="28"/>
  <c r="E112" i="28"/>
  <c r="F112" i="28"/>
  <c r="G112" i="28"/>
  <c r="H112" i="28"/>
  <c r="I112" i="28"/>
  <c r="J112" i="28"/>
  <c r="K112" i="28"/>
  <c r="L112" i="28"/>
  <c r="M112" i="28"/>
  <c r="N112" i="28"/>
  <c r="O112" i="28"/>
  <c r="P112" i="28"/>
  <c r="Z112" i="28"/>
  <c r="AA112" i="28"/>
  <c r="AG112" i="28"/>
  <c r="E113" i="28"/>
  <c r="F113" i="28"/>
  <c r="G113" i="28"/>
  <c r="H113" i="28"/>
  <c r="I113" i="28"/>
  <c r="J113" i="28"/>
  <c r="K113" i="28"/>
  <c r="L113" i="28"/>
  <c r="M113" i="28"/>
  <c r="N113" i="28"/>
  <c r="O113" i="28"/>
  <c r="P113" i="28"/>
  <c r="Z113" i="28"/>
  <c r="AA113" i="28"/>
  <c r="AG113" i="28"/>
  <c r="E114" i="28"/>
  <c r="F114" i="28"/>
  <c r="G114" i="28"/>
  <c r="H114" i="28"/>
  <c r="I114" i="28"/>
  <c r="J114" i="28"/>
  <c r="K114" i="28"/>
  <c r="L114" i="28"/>
  <c r="M114" i="28"/>
  <c r="N114" i="28"/>
  <c r="O114" i="28"/>
  <c r="P114" i="28"/>
  <c r="Z114" i="28"/>
  <c r="AG114" i="28"/>
  <c r="E115" i="28"/>
  <c r="F115" i="28"/>
  <c r="G115" i="28"/>
  <c r="H115" i="28"/>
  <c r="I115" i="28"/>
  <c r="J115" i="28"/>
  <c r="K115" i="28"/>
  <c r="L115" i="28"/>
  <c r="M115" i="28"/>
  <c r="N115" i="28"/>
  <c r="O115" i="28"/>
  <c r="P115" i="28"/>
  <c r="Z115" i="28"/>
  <c r="AA115" i="28"/>
  <c r="AG115" i="28"/>
  <c r="E118" i="28"/>
  <c r="F118" i="28"/>
  <c r="G118" i="28"/>
  <c r="H118" i="28"/>
  <c r="I118" i="28"/>
  <c r="J118" i="28"/>
  <c r="K118" i="28"/>
  <c r="L118" i="28"/>
  <c r="M118" i="28"/>
  <c r="N118" i="28"/>
  <c r="O118" i="28"/>
  <c r="P118" i="28"/>
  <c r="Z118" i="28"/>
  <c r="AA118" i="28"/>
  <c r="E119" i="28"/>
  <c r="F119" i="28"/>
  <c r="G119" i="28"/>
  <c r="H119" i="28"/>
  <c r="I119" i="28"/>
  <c r="J119" i="28"/>
  <c r="K119" i="28"/>
  <c r="L119" i="28"/>
  <c r="M119" i="28"/>
  <c r="N119" i="28"/>
  <c r="O119" i="28"/>
  <c r="P119" i="28"/>
  <c r="Z119" i="28"/>
  <c r="AA119" i="28"/>
  <c r="AG119" i="28"/>
  <c r="E120" i="28"/>
  <c r="F120" i="28"/>
  <c r="G120" i="28"/>
  <c r="H120" i="28"/>
  <c r="I120" i="28"/>
  <c r="J120" i="28"/>
  <c r="K120" i="28"/>
  <c r="L120" i="28"/>
  <c r="M120" i="28"/>
  <c r="N120" i="28"/>
  <c r="O120" i="28"/>
  <c r="P120" i="28"/>
  <c r="Z120" i="28"/>
  <c r="AA120" i="28"/>
  <c r="AG120" i="28"/>
  <c r="E121" i="28"/>
  <c r="F121" i="28"/>
  <c r="G121" i="28"/>
  <c r="H121" i="28"/>
  <c r="I121" i="28"/>
  <c r="J121" i="28"/>
  <c r="K121" i="28"/>
  <c r="L121" i="28"/>
  <c r="M121" i="28"/>
  <c r="N121" i="28"/>
  <c r="O121" i="28"/>
  <c r="P121" i="28"/>
  <c r="Z121" i="28"/>
  <c r="AA121" i="28"/>
  <c r="AG121" i="28"/>
  <c r="E127" i="28"/>
  <c r="F127" i="28"/>
  <c r="G127" i="28"/>
  <c r="H127" i="28"/>
  <c r="I127" i="28"/>
  <c r="J127" i="28"/>
  <c r="K127" i="28"/>
  <c r="L127" i="28"/>
  <c r="M127" i="28"/>
  <c r="N127" i="28"/>
  <c r="O127" i="28"/>
  <c r="P127" i="28"/>
  <c r="Q127" i="28"/>
  <c r="R127" i="28"/>
  <c r="Z127" i="28"/>
  <c r="AA127" i="28"/>
  <c r="E128" i="28"/>
  <c r="F128" i="28"/>
  <c r="G128" i="28"/>
  <c r="H128" i="28"/>
  <c r="I128" i="28"/>
  <c r="J128" i="28"/>
  <c r="K128" i="28"/>
  <c r="L128" i="28"/>
  <c r="M128" i="28"/>
  <c r="N128" i="28"/>
  <c r="O128" i="28"/>
  <c r="P128" i="28"/>
  <c r="Q128" i="28"/>
  <c r="R128" i="28"/>
  <c r="Z128" i="28"/>
  <c r="AA128" i="28"/>
  <c r="Z129" i="28"/>
  <c r="AA129" i="28"/>
  <c r="Z130" i="28"/>
  <c r="AA130" i="28"/>
  <c r="E133" i="28"/>
  <c r="E1" i="28" s="1"/>
  <c r="E188" i="28" s="1"/>
  <c r="F133" i="28"/>
  <c r="F1" i="28" s="1"/>
  <c r="F188" i="28" s="1"/>
  <c r="G133" i="28"/>
  <c r="G1" i="28" s="1"/>
  <c r="G188" i="28" s="1"/>
  <c r="I133" i="28"/>
  <c r="I1" i="28" s="1"/>
  <c r="I500" i="28" s="1"/>
  <c r="J133" i="28"/>
  <c r="J1" i="28" s="1"/>
  <c r="J364" i="28" s="1"/>
  <c r="K133" i="28"/>
  <c r="K1" i="28" s="1"/>
  <c r="K500" i="28" s="1"/>
  <c r="M133" i="28"/>
  <c r="M1" i="28" s="1"/>
  <c r="M188" i="28" s="1"/>
  <c r="N133" i="28"/>
  <c r="N1" i="28" s="1"/>
  <c r="N188" i="28" s="1"/>
  <c r="O133" i="28"/>
  <c r="O1" i="28" s="1"/>
  <c r="O188" i="28" s="1"/>
  <c r="Q133" i="28"/>
  <c r="Q1" i="28" s="1"/>
  <c r="Q188" i="28" s="1"/>
  <c r="R133" i="28"/>
  <c r="Z133" i="28"/>
  <c r="Z1" i="28" s="1"/>
  <c r="Z188" i="28" s="1"/>
  <c r="AA133" i="28"/>
  <c r="AA1" i="28" s="1"/>
  <c r="AA188" i="28" s="1"/>
  <c r="E134" i="28"/>
  <c r="E2" i="28" s="1"/>
  <c r="E501" i="28" s="1"/>
  <c r="F134" i="28"/>
  <c r="F2" i="28" s="1"/>
  <c r="F189" i="28" s="1"/>
  <c r="G134" i="28"/>
  <c r="G2" i="28" s="1"/>
  <c r="I134" i="28"/>
  <c r="I2" i="28" s="1"/>
  <c r="I189" i="28" s="1"/>
  <c r="J134" i="28"/>
  <c r="J2" i="28" s="1"/>
  <c r="J277" i="28" s="1"/>
  <c r="K134" i="28"/>
  <c r="K2" i="28" s="1"/>
  <c r="K189" i="28" s="1"/>
  <c r="M134" i="28"/>
  <c r="M2" i="28" s="1"/>
  <c r="M189" i="28" s="1"/>
  <c r="N134" i="28"/>
  <c r="N2" i="28" s="1"/>
  <c r="N189" i="28" s="1"/>
  <c r="O134" i="28"/>
  <c r="O2" i="28" s="1"/>
  <c r="O501" i="28" s="1"/>
  <c r="Q134" i="28"/>
  <c r="Q2" i="28" s="1"/>
  <c r="Q189" i="28" s="1"/>
  <c r="R134" i="28"/>
  <c r="Z134" i="28"/>
  <c r="Z2" i="28" s="1"/>
  <c r="Z277" i="28" s="1"/>
  <c r="AA134" i="28"/>
  <c r="AA2" i="28" s="1"/>
  <c r="AA277" i="28" s="1"/>
  <c r="E135" i="28"/>
  <c r="E3" i="28" s="1"/>
  <c r="E278" i="28" s="1"/>
  <c r="F135" i="28"/>
  <c r="F3" i="28" s="1"/>
  <c r="F190" i="28" s="1"/>
  <c r="G135" i="28"/>
  <c r="G3" i="28" s="1"/>
  <c r="G190" i="28" s="1"/>
  <c r="I135" i="28"/>
  <c r="I3" i="28" s="1"/>
  <c r="I278" i="28" s="1"/>
  <c r="J135" i="28"/>
  <c r="J3" i="28" s="1"/>
  <c r="J190" i="28" s="1"/>
  <c r="K135" i="28"/>
  <c r="K3" i="28" s="1"/>
  <c r="M135" i="28"/>
  <c r="M3" i="28" s="1"/>
  <c r="M278" i="28" s="1"/>
  <c r="N135" i="28"/>
  <c r="N3" i="28" s="1"/>
  <c r="N190" i="28" s="1"/>
  <c r="O135" i="28"/>
  <c r="O3" i="28" s="1"/>
  <c r="O278" i="28" s="1"/>
  <c r="Q135" i="28"/>
  <c r="Q3" i="28" s="1"/>
  <c r="Q502" i="28" s="1"/>
  <c r="R135" i="28"/>
  <c r="Z135" i="28"/>
  <c r="Z3" i="28" s="1"/>
  <c r="Z366" i="28" s="1"/>
  <c r="AA135" i="28"/>
  <c r="AA3" i="28" s="1"/>
  <c r="AA190" i="28" s="1"/>
  <c r="E136" i="28"/>
  <c r="E4" i="28" s="1"/>
  <c r="E191" i="28" s="1"/>
  <c r="F136" i="28"/>
  <c r="F4" i="28" s="1"/>
  <c r="F279" i="28" s="1"/>
  <c r="G136" i="28"/>
  <c r="G4" i="28" s="1"/>
  <c r="G279" i="28" s="1"/>
  <c r="I136" i="28"/>
  <c r="I4" i="28" s="1"/>
  <c r="I191" i="28" s="1"/>
  <c r="J136" i="28"/>
  <c r="J4" i="28" s="1"/>
  <c r="J191" i="28" s="1"/>
  <c r="K136" i="28"/>
  <c r="K4" i="28" s="1"/>
  <c r="K279" i="28" s="1"/>
  <c r="M136" i="28"/>
  <c r="M4" i="28" s="1"/>
  <c r="M279" i="28" s="1"/>
  <c r="N136" i="28"/>
  <c r="N4" i="28" s="1"/>
  <c r="N279" i="28" s="1"/>
  <c r="O136" i="28"/>
  <c r="O4" i="28" s="1"/>
  <c r="Q136" i="28"/>
  <c r="Q4" i="28" s="1"/>
  <c r="Q191" i="28" s="1"/>
  <c r="R136" i="28"/>
  <c r="Z136" i="28"/>
  <c r="Z4" i="28" s="1"/>
  <c r="Z191" i="28" s="1"/>
  <c r="AA136" i="28"/>
  <c r="AA4" i="28" s="1"/>
  <c r="AA279" i="28" s="1"/>
  <c r="AF138" i="28"/>
  <c r="AF139" i="28"/>
  <c r="AF140" i="28"/>
  <c r="AF141" i="28"/>
  <c r="R149" i="28"/>
  <c r="V164" i="28"/>
  <c r="V165" i="28"/>
  <c r="E168" i="28"/>
  <c r="F168" i="28"/>
  <c r="G168" i="28"/>
  <c r="H168" i="28"/>
  <c r="I168" i="28"/>
  <c r="J168" i="28"/>
  <c r="K168" i="28"/>
  <c r="L168" i="28"/>
  <c r="M168" i="28"/>
  <c r="N168" i="28"/>
  <c r="O168" i="28"/>
  <c r="P168" i="28"/>
  <c r="Q168" i="28"/>
  <c r="R168" i="28"/>
  <c r="Z168" i="28"/>
  <c r="AA168" i="28"/>
  <c r="E169" i="28"/>
  <c r="F169" i="28"/>
  <c r="G169" i="28"/>
  <c r="H169" i="28"/>
  <c r="I169" i="28"/>
  <c r="J169" i="28"/>
  <c r="K169" i="28"/>
  <c r="L169" i="28"/>
  <c r="M169" i="28"/>
  <c r="N169" i="28"/>
  <c r="O169" i="28"/>
  <c r="P169" i="28"/>
  <c r="Q169" i="28"/>
  <c r="R169" i="28"/>
  <c r="Z169" i="28"/>
  <c r="AA169" i="28"/>
  <c r="E170" i="28"/>
  <c r="F170" i="28"/>
  <c r="G170" i="28"/>
  <c r="H170" i="28"/>
  <c r="I170" i="28"/>
  <c r="J170" i="28"/>
  <c r="K170" i="28"/>
  <c r="L170" i="28"/>
  <c r="M170" i="28"/>
  <c r="N170" i="28"/>
  <c r="O170" i="28"/>
  <c r="P170" i="28"/>
  <c r="Q170" i="28"/>
  <c r="R170" i="28"/>
  <c r="Z170" i="28"/>
  <c r="AA170" i="28"/>
  <c r="E171" i="28"/>
  <c r="F171" i="28"/>
  <c r="G171" i="28"/>
  <c r="H171" i="28"/>
  <c r="I171" i="28"/>
  <c r="J171" i="28"/>
  <c r="K171" i="28"/>
  <c r="L171" i="28"/>
  <c r="M171" i="28"/>
  <c r="N171" i="28"/>
  <c r="O171" i="28"/>
  <c r="P171" i="28"/>
  <c r="Q171" i="28"/>
  <c r="R171" i="28"/>
  <c r="Z171" i="28"/>
  <c r="AA171" i="28"/>
  <c r="E178" i="28"/>
  <c r="F178" i="28"/>
  <c r="G178" i="28"/>
  <c r="H178" i="28"/>
  <c r="I178" i="28"/>
  <c r="J178" i="28"/>
  <c r="K178" i="28"/>
  <c r="L178" i="28"/>
  <c r="M178" i="28"/>
  <c r="N178" i="28"/>
  <c r="O178" i="28"/>
  <c r="P178" i="28"/>
  <c r="Q178" i="28"/>
  <c r="R178" i="28"/>
  <c r="Z178" i="28"/>
  <c r="AA178" i="28"/>
  <c r="E185" i="28"/>
  <c r="F185" i="28"/>
  <c r="G185" i="28"/>
  <c r="I185" i="28"/>
  <c r="J185" i="28"/>
  <c r="K185" i="28"/>
  <c r="M185" i="28"/>
  <c r="N185" i="28"/>
  <c r="O185" i="28"/>
  <c r="Q185" i="28"/>
  <c r="R185" i="28"/>
  <c r="Z185" i="28"/>
  <c r="AA185" i="28"/>
  <c r="AB185" i="28"/>
  <c r="AC185" i="28"/>
  <c r="AD185" i="28"/>
  <c r="I188" i="28"/>
  <c r="G189" i="28"/>
  <c r="K190" i="28"/>
  <c r="O191" i="28"/>
  <c r="E201" i="28"/>
  <c r="E203" i="28" s="1"/>
  <c r="F201" i="28"/>
  <c r="F203" i="28" s="1"/>
  <c r="G201" i="28"/>
  <c r="G203" i="28" s="1"/>
  <c r="I201" i="28"/>
  <c r="I203" i="28" s="1"/>
  <c r="J201" i="28"/>
  <c r="J203" i="28" s="1"/>
  <c r="K201" i="28"/>
  <c r="K203" i="28" s="1"/>
  <c r="M201" i="28"/>
  <c r="M203" i="28" s="1"/>
  <c r="N201" i="28"/>
  <c r="N203" i="28" s="1"/>
  <c r="O201" i="28"/>
  <c r="Q201" i="28"/>
  <c r="R201" i="28"/>
  <c r="Z201" i="28"/>
  <c r="Z203" i="28" s="1"/>
  <c r="AA201" i="28"/>
  <c r="AB201" i="28"/>
  <c r="AB203" i="28" s="1"/>
  <c r="AC201" i="28"/>
  <c r="AC203" i="28" s="1"/>
  <c r="AD201" i="28"/>
  <c r="AD203" i="28" s="1"/>
  <c r="E205" i="28"/>
  <c r="F205" i="28"/>
  <c r="G205" i="28"/>
  <c r="H205" i="28"/>
  <c r="I205" i="28"/>
  <c r="J205" i="28"/>
  <c r="K205" i="28"/>
  <c r="L205" i="28"/>
  <c r="M205" i="28"/>
  <c r="N205" i="28"/>
  <c r="O205" i="28"/>
  <c r="P205" i="28"/>
  <c r="Q205" i="28"/>
  <c r="R205" i="28"/>
  <c r="Z205" i="28"/>
  <c r="AA205" i="28"/>
  <c r="E209" i="28"/>
  <c r="F209" i="28"/>
  <c r="G209" i="28"/>
  <c r="I209" i="28"/>
  <c r="J209" i="28"/>
  <c r="K209" i="28"/>
  <c r="M209" i="28"/>
  <c r="N209" i="28"/>
  <c r="O209" i="28"/>
  <c r="Q209" i="28"/>
  <c r="R209" i="28"/>
  <c r="Z209" i="28"/>
  <c r="AA209" i="28"/>
  <c r="AB209" i="28"/>
  <c r="AC209" i="28"/>
  <c r="AD209" i="28"/>
  <c r="E211" i="28"/>
  <c r="E216" i="28" s="1"/>
  <c r="F211" i="28"/>
  <c r="F216" i="28" s="1"/>
  <c r="G211" i="28"/>
  <c r="G216" i="28" s="1"/>
  <c r="I211" i="28"/>
  <c r="I216" i="28" s="1"/>
  <c r="J211" i="28"/>
  <c r="J216" i="28" s="1"/>
  <c r="J222" i="28" s="1"/>
  <c r="K211" i="28"/>
  <c r="K216" i="28" s="1"/>
  <c r="M211" i="28"/>
  <c r="M216" i="28" s="1"/>
  <c r="N211" i="28"/>
  <c r="N216" i="28" s="1"/>
  <c r="N222" i="28" s="1"/>
  <c r="O211" i="28"/>
  <c r="Q211" i="28"/>
  <c r="Q216" i="28" s="1"/>
  <c r="R211" i="28"/>
  <c r="R216" i="28" s="1"/>
  <c r="Z211" i="28"/>
  <c r="Z216" i="28" s="1"/>
  <c r="AA211" i="28"/>
  <c r="AA216" i="28" s="1"/>
  <c r="E229" i="28"/>
  <c r="E236" i="28" s="1"/>
  <c r="F229" i="28"/>
  <c r="F236" i="28" s="1"/>
  <c r="G229" i="28"/>
  <c r="H229" i="28"/>
  <c r="I229" i="28"/>
  <c r="J229" i="28"/>
  <c r="J236" i="28" s="1"/>
  <c r="K229" i="28"/>
  <c r="K236" i="28" s="1"/>
  <c r="L229" i="28"/>
  <c r="L236" i="28" s="1"/>
  <c r="M229" i="28"/>
  <c r="M236" i="28" s="1"/>
  <c r="N229" i="28"/>
  <c r="N240" i="28" s="1"/>
  <c r="O229" i="28"/>
  <c r="O240" i="28" s="1"/>
  <c r="P229" i="28"/>
  <c r="Q229" i="28"/>
  <c r="R229" i="28"/>
  <c r="R236" i="28" s="1"/>
  <c r="Z229" i="28"/>
  <c r="Z236" i="28" s="1"/>
  <c r="AA229" i="28"/>
  <c r="AA236" i="28" s="1"/>
  <c r="V250" i="28"/>
  <c r="V253" i="28"/>
  <c r="V252" i="28"/>
  <c r="E256" i="28"/>
  <c r="F256" i="28"/>
  <c r="G256" i="28"/>
  <c r="H256" i="28"/>
  <c r="I256" i="28"/>
  <c r="J256" i="28"/>
  <c r="K256" i="28"/>
  <c r="L256" i="28"/>
  <c r="M256" i="28"/>
  <c r="N256" i="28"/>
  <c r="O256" i="28"/>
  <c r="P256" i="28"/>
  <c r="Q256" i="28"/>
  <c r="R256" i="28"/>
  <c r="Z256" i="28"/>
  <c r="AA256" i="28"/>
  <c r="V257" i="28"/>
  <c r="AG257" i="28"/>
  <c r="AH257" i="28" s="1"/>
  <c r="E259" i="28"/>
  <c r="F259" i="28"/>
  <c r="G259" i="28"/>
  <c r="H259" i="28"/>
  <c r="I259" i="28"/>
  <c r="J259" i="28"/>
  <c r="K259" i="28"/>
  <c r="L259" i="28"/>
  <c r="M259" i="28"/>
  <c r="N259" i="28"/>
  <c r="P259" i="28"/>
  <c r="Q259" i="28"/>
  <c r="R259" i="28"/>
  <c r="Z259" i="28"/>
  <c r="AA259" i="28"/>
  <c r="E258" i="28"/>
  <c r="F258" i="28"/>
  <c r="G258" i="28"/>
  <c r="H258" i="28"/>
  <c r="I258" i="28"/>
  <c r="J258" i="28"/>
  <c r="K258" i="28"/>
  <c r="L258" i="28"/>
  <c r="M258" i="28"/>
  <c r="N258" i="28"/>
  <c r="O258" i="28"/>
  <c r="P258" i="28"/>
  <c r="Q258" i="28"/>
  <c r="R258" i="28"/>
  <c r="Z258" i="28"/>
  <c r="AA258" i="28"/>
  <c r="T459" i="28"/>
  <c r="E266" i="28"/>
  <c r="F266" i="28"/>
  <c r="G266" i="28"/>
  <c r="H266" i="28"/>
  <c r="I266" i="28"/>
  <c r="J266" i="28"/>
  <c r="K266" i="28"/>
  <c r="L266" i="28"/>
  <c r="M266" i="28"/>
  <c r="N266" i="28"/>
  <c r="O266" i="28"/>
  <c r="P266" i="28"/>
  <c r="Q266" i="28"/>
  <c r="R266" i="28"/>
  <c r="Z266" i="28"/>
  <c r="AA266" i="28"/>
  <c r="AB266" i="28"/>
  <c r="E273" i="28"/>
  <c r="F273" i="28"/>
  <c r="G273" i="28"/>
  <c r="I273" i="28"/>
  <c r="J273" i="28"/>
  <c r="K273" i="28"/>
  <c r="M273" i="28"/>
  <c r="N273" i="28"/>
  <c r="O273" i="28"/>
  <c r="Q273" i="28"/>
  <c r="R273" i="28"/>
  <c r="Z273" i="28"/>
  <c r="AA273" i="28"/>
  <c r="AB273" i="28"/>
  <c r="AC273" i="28"/>
  <c r="AD273" i="28"/>
  <c r="I276" i="28"/>
  <c r="N276" i="28"/>
  <c r="G277" i="28"/>
  <c r="K278" i="28"/>
  <c r="E279" i="28"/>
  <c r="J279" i="28"/>
  <c r="O279" i="28"/>
  <c r="E289" i="28"/>
  <c r="E291" i="28" s="1"/>
  <c r="F289" i="28"/>
  <c r="G289" i="28"/>
  <c r="G291" i="28" s="1"/>
  <c r="I289" i="28"/>
  <c r="I291" i="28" s="1"/>
  <c r="J289" i="28"/>
  <c r="J291" i="28" s="1"/>
  <c r="K289" i="28"/>
  <c r="K291" i="28" s="1"/>
  <c r="M289" i="28"/>
  <c r="M291" i="28" s="1"/>
  <c r="N289" i="28"/>
  <c r="N291" i="28" s="1"/>
  <c r="O289" i="28"/>
  <c r="Q289" i="28"/>
  <c r="R289" i="28"/>
  <c r="Z289" i="28"/>
  <c r="Z291" i="28" s="1"/>
  <c r="AA289" i="28"/>
  <c r="AA291" i="28" s="1"/>
  <c r="AB289" i="28"/>
  <c r="AB291" i="28" s="1"/>
  <c r="AC289" i="28"/>
  <c r="AC291" i="28" s="1"/>
  <c r="AD289" i="28"/>
  <c r="AD291" i="28" s="1"/>
  <c r="E293" i="28"/>
  <c r="F293" i="28"/>
  <c r="G293" i="28"/>
  <c r="H293" i="28"/>
  <c r="I293" i="28"/>
  <c r="J293" i="28"/>
  <c r="K293" i="28"/>
  <c r="L293" i="28"/>
  <c r="M293" i="28"/>
  <c r="N293" i="28"/>
  <c r="O293" i="28"/>
  <c r="P293" i="28"/>
  <c r="Q293" i="28"/>
  <c r="R293" i="28"/>
  <c r="Z293" i="28"/>
  <c r="AA293" i="28"/>
  <c r="E297" i="28"/>
  <c r="F297" i="28"/>
  <c r="G297" i="28"/>
  <c r="I297" i="28"/>
  <c r="J297" i="28"/>
  <c r="K297" i="28"/>
  <c r="M297" i="28"/>
  <c r="N297" i="28"/>
  <c r="O297" i="28"/>
  <c r="Q297" i="28"/>
  <c r="R297" i="28"/>
  <c r="Z297" i="28"/>
  <c r="AA297" i="28"/>
  <c r="AB297" i="28"/>
  <c r="AC297" i="28"/>
  <c r="AD297" i="28"/>
  <c r="E299" i="28"/>
  <c r="E304" i="28" s="1"/>
  <c r="F299" i="28"/>
  <c r="G299" i="28"/>
  <c r="G304" i="28" s="1"/>
  <c r="I299" i="28"/>
  <c r="I304" i="28" s="1"/>
  <c r="J299" i="28"/>
  <c r="J304" i="28" s="1"/>
  <c r="K299" i="28"/>
  <c r="K304" i="28" s="1"/>
  <c r="M299" i="28"/>
  <c r="M304" i="28" s="1"/>
  <c r="N299" i="28"/>
  <c r="N304" i="28" s="1"/>
  <c r="O299" i="28"/>
  <c r="O304" i="28" s="1"/>
  <c r="Q299" i="28"/>
  <c r="Q304" i="28" s="1"/>
  <c r="Q323" i="28" s="1"/>
  <c r="R299" i="28"/>
  <c r="Z299" i="28"/>
  <c r="AA299" i="28"/>
  <c r="AA304" i="28" s="1"/>
  <c r="AA310" i="28" s="1"/>
  <c r="AB299" i="28"/>
  <c r="AC299" i="28"/>
  <c r="AD299" i="28"/>
  <c r="S437" i="28"/>
  <c r="S439" i="28"/>
  <c r="F304" i="28"/>
  <c r="S445" i="28"/>
  <c r="T445" i="28"/>
  <c r="E310" i="28"/>
  <c r="E327" i="28" s="1"/>
  <c r="F310" i="28"/>
  <c r="F327" i="28" s="1"/>
  <c r="G310" i="28"/>
  <c r="G327" i="28" s="1"/>
  <c r="H310" i="28"/>
  <c r="I310" i="28"/>
  <c r="J310" i="28"/>
  <c r="K310" i="28"/>
  <c r="K327" i="28" s="1"/>
  <c r="L310" i="28"/>
  <c r="L327" i="28" s="1"/>
  <c r="M310" i="28"/>
  <c r="N310" i="28"/>
  <c r="N327" i="28" s="1"/>
  <c r="O310" i="28"/>
  <c r="O327" i="28" s="1"/>
  <c r="R708" i="28"/>
  <c r="S453" i="28"/>
  <c r="E317" i="28"/>
  <c r="E328" i="28" s="1"/>
  <c r="F317" i="28"/>
  <c r="G317" i="28"/>
  <c r="G328" i="28" s="1"/>
  <c r="H317" i="28"/>
  <c r="H328" i="28" s="1"/>
  <c r="I317" i="28"/>
  <c r="I328" i="28" s="1"/>
  <c r="J317" i="28"/>
  <c r="J328" i="28" s="1"/>
  <c r="K317" i="28"/>
  <c r="K324" i="28" s="1"/>
  <c r="L317" i="28"/>
  <c r="M317" i="28"/>
  <c r="M324" i="28" s="1"/>
  <c r="N317" i="28"/>
  <c r="O317" i="28"/>
  <c r="O324" i="28" s="1"/>
  <c r="P317" i="28"/>
  <c r="P324" i="28" s="1"/>
  <c r="Q317" i="28"/>
  <c r="Q328" i="28" s="1"/>
  <c r="Z317" i="28"/>
  <c r="Z328" i="28" s="1"/>
  <c r="AA317" i="28"/>
  <c r="AA328" i="28" s="1"/>
  <c r="E323" i="28"/>
  <c r="F323" i="28"/>
  <c r="G323" i="28"/>
  <c r="H323" i="28"/>
  <c r="I323" i="28"/>
  <c r="J323" i="28"/>
  <c r="K323" i="28"/>
  <c r="L323" i="28"/>
  <c r="M323" i="28"/>
  <c r="N323" i="28"/>
  <c r="O323" i="28"/>
  <c r="AF340" i="28"/>
  <c r="AF341" i="28"/>
  <c r="E344" i="28"/>
  <c r="F344" i="28"/>
  <c r="G344" i="28"/>
  <c r="H344" i="28"/>
  <c r="I344" i="28"/>
  <c r="J344" i="28"/>
  <c r="K344" i="28"/>
  <c r="L344" i="28"/>
  <c r="M344" i="28"/>
  <c r="N344" i="28"/>
  <c r="O344" i="28"/>
  <c r="P344" i="28"/>
  <c r="U344" i="28"/>
  <c r="Z344" i="28"/>
  <c r="AA344" i="28"/>
  <c r="AG344" i="28"/>
  <c r="AH344" i="28" s="1"/>
  <c r="E345" i="28"/>
  <c r="F345" i="28"/>
  <c r="G345" i="28"/>
  <c r="H345" i="28"/>
  <c r="I345" i="28"/>
  <c r="J345" i="28"/>
  <c r="K345" i="28"/>
  <c r="L345" i="28"/>
  <c r="M345" i="28"/>
  <c r="N345" i="28"/>
  <c r="O345" i="28"/>
  <c r="P345" i="28"/>
  <c r="U345" i="28"/>
  <c r="Z345" i="28"/>
  <c r="AA345" i="28"/>
  <c r="AG345" i="28"/>
  <c r="AH345" i="28" s="1"/>
  <c r="E354" i="28"/>
  <c r="F354" i="28"/>
  <c r="G354" i="28"/>
  <c r="H354" i="28"/>
  <c r="I354" i="28"/>
  <c r="J354" i="28"/>
  <c r="K354" i="28"/>
  <c r="L354" i="28"/>
  <c r="M354" i="28"/>
  <c r="N354" i="28"/>
  <c r="O354" i="28"/>
  <c r="P354" i="28"/>
  <c r="Q354" i="28"/>
  <c r="Z354" i="28"/>
  <c r="AA354" i="28"/>
  <c r="AE354" i="28"/>
  <c r="AF354" i="28"/>
  <c r="AG354" i="28"/>
  <c r="E361" i="28"/>
  <c r="F361" i="28"/>
  <c r="G361" i="28"/>
  <c r="I361" i="28"/>
  <c r="J361" i="28"/>
  <c r="K361" i="28"/>
  <c r="M361" i="28"/>
  <c r="N361" i="28"/>
  <c r="O361" i="28"/>
  <c r="Q361" i="28"/>
  <c r="R361" i="28"/>
  <c r="S361" i="28"/>
  <c r="T361" i="28"/>
  <c r="Z361" i="28"/>
  <c r="AA361" i="28"/>
  <c r="AB361" i="28"/>
  <c r="AC361" i="28"/>
  <c r="AD361" i="28"/>
  <c r="AF361" i="28"/>
  <c r="AG361" i="28"/>
  <c r="G364" i="28"/>
  <c r="I364" i="28"/>
  <c r="N364" i="28"/>
  <c r="G365" i="28"/>
  <c r="AA365" i="28"/>
  <c r="K366" i="28"/>
  <c r="E367" i="28"/>
  <c r="O367" i="28"/>
  <c r="E377" i="28"/>
  <c r="F377" i="28"/>
  <c r="F379" i="28" s="1"/>
  <c r="G377" i="28"/>
  <c r="G379" i="28" s="1"/>
  <c r="I377" i="28"/>
  <c r="J377" i="28"/>
  <c r="K377" i="28"/>
  <c r="K379" i="28" s="1"/>
  <c r="M377" i="28"/>
  <c r="N377" i="28"/>
  <c r="O377" i="28"/>
  <c r="O379" i="28" s="1"/>
  <c r="Q377" i="28"/>
  <c r="Q379" i="28" s="1"/>
  <c r="R377" i="28"/>
  <c r="Z377" i="28"/>
  <c r="Z379" i="28" s="1"/>
  <c r="AA377" i="28"/>
  <c r="AB377" i="28"/>
  <c r="AB379" i="28" s="1"/>
  <c r="AC377" i="28"/>
  <c r="AC379" i="28" s="1"/>
  <c r="AD377" i="28"/>
  <c r="AD379" i="28" s="1"/>
  <c r="E379" i="28"/>
  <c r="E381" i="28"/>
  <c r="F381" i="28"/>
  <c r="G381" i="28"/>
  <c r="H381" i="28"/>
  <c r="I381" i="28"/>
  <c r="J381" i="28"/>
  <c r="K381" i="28"/>
  <c r="L381" i="28"/>
  <c r="M381" i="28"/>
  <c r="N381" i="28"/>
  <c r="O381" i="28"/>
  <c r="P381" i="28"/>
  <c r="Q381" i="28"/>
  <c r="R381" i="28"/>
  <c r="S381" i="28"/>
  <c r="T381" i="28"/>
  <c r="Z381" i="28"/>
  <c r="AA381" i="28"/>
  <c r="AD381" i="28"/>
  <c r="AF381" i="28"/>
  <c r="AG381" i="28"/>
  <c r="E385" i="28"/>
  <c r="F385" i="28"/>
  <c r="G385" i="28"/>
  <c r="I385" i="28"/>
  <c r="J385" i="28"/>
  <c r="K385" i="28"/>
  <c r="M385" i="28"/>
  <c r="N385" i="28"/>
  <c r="O385" i="28"/>
  <c r="Z385" i="28"/>
  <c r="AA385" i="28"/>
  <c r="AB385" i="28"/>
  <c r="AC385" i="28"/>
  <c r="AD385" i="28"/>
  <c r="C387" i="28"/>
  <c r="E387" i="28"/>
  <c r="F387" i="28"/>
  <c r="F392" i="28" s="1"/>
  <c r="G387" i="28"/>
  <c r="I387" i="28"/>
  <c r="J387" i="28"/>
  <c r="K387" i="28"/>
  <c r="K392" i="28" s="1"/>
  <c r="M387" i="28"/>
  <c r="N387" i="28"/>
  <c r="N392" i="28" s="1"/>
  <c r="N398" i="28" s="1"/>
  <c r="N415" i="28" s="1"/>
  <c r="O387" i="28"/>
  <c r="O392" i="28" s="1"/>
  <c r="Q387" i="28"/>
  <c r="R387" i="28"/>
  <c r="S387" i="28"/>
  <c r="S392" i="28" s="1"/>
  <c r="T387" i="28"/>
  <c r="T392" i="28" s="1"/>
  <c r="T398" i="28" s="1"/>
  <c r="Z387" i="28"/>
  <c r="Z392" i="28" s="1"/>
  <c r="AA387" i="28"/>
  <c r="AA392" i="28" s="1"/>
  <c r="AB387" i="28"/>
  <c r="AC387" i="28"/>
  <c r="AD387" i="28"/>
  <c r="AF392" i="28"/>
  <c r="AG392" i="28"/>
  <c r="E405" i="28"/>
  <c r="E412" i="28" s="1"/>
  <c r="F405" i="28"/>
  <c r="G405" i="28"/>
  <c r="H405" i="28"/>
  <c r="H412" i="28" s="1"/>
  <c r="I405" i="28"/>
  <c r="I412" i="28" s="1"/>
  <c r="J405" i="28"/>
  <c r="J412" i="28" s="1"/>
  <c r="K405" i="28"/>
  <c r="L405" i="28"/>
  <c r="M405" i="28"/>
  <c r="M416" i="28" s="1"/>
  <c r="N405" i="28"/>
  <c r="O405" i="28"/>
  <c r="O416" i="28" s="1"/>
  <c r="P405" i="28"/>
  <c r="P416" i="28" s="1"/>
  <c r="Q405" i="28"/>
  <c r="R405" i="28"/>
  <c r="S405" i="28"/>
  <c r="T405" i="28"/>
  <c r="Z405" i="28"/>
  <c r="Z412" i="28" s="1"/>
  <c r="AA405" i="28"/>
  <c r="AF405" i="28"/>
  <c r="AG405" i="28"/>
  <c r="Q413" i="28"/>
  <c r="R413" i="28"/>
  <c r="S413" i="28"/>
  <c r="T413" i="28"/>
  <c r="AE413" i="28"/>
  <c r="AF413" i="28"/>
  <c r="AG413" i="28"/>
  <c r="Q417" i="28"/>
  <c r="R417" i="28"/>
  <c r="S417" i="28"/>
  <c r="T417" i="28"/>
  <c r="AE417" i="28"/>
  <c r="AF417" i="28"/>
  <c r="AG417" i="28"/>
  <c r="E431" i="28"/>
  <c r="F431" i="28"/>
  <c r="G431" i="28"/>
  <c r="H431" i="28"/>
  <c r="I431" i="28"/>
  <c r="J431" i="28"/>
  <c r="K431" i="28"/>
  <c r="L431" i="28"/>
  <c r="M431" i="28"/>
  <c r="N431" i="28"/>
  <c r="O431" i="28"/>
  <c r="P431" i="28"/>
  <c r="Q431" i="28"/>
  <c r="R431" i="28"/>
  <c r="Z431" i="28"/>
  <c r="AA431" i="28"/>
  <c r="E432" i="28"/>
  <c r="F432" i="28"/>
  <c r="G432" i="28"/>
  <c r="I432" i="28"/>
  <c r="J432" i="28"/>
  <c r="K432" i="28"/>
  <c r="M432" i="28"/>
  <c r="N432" i="28"/>
  <c r="O432" i="28"/>
  <c r="Q432" i="28"/>
  <c r="R432" i="28"/>
  <c r="Z432" i="28"/>
  <c r="AA432" i="28"/>
  <c r="Z434" i="28"/>
  <c r="AA434" i="28"/>
  <c r="AB434" i="28"/>
  <c r="AC434" i="28"/>
  <c r="AD434" i="28"/>
  <c r="E437" i="28"/>
  <c r="F437" i="28"/>
  <c r="G437" i="28"/>
  <c r="H437" i="28"/>
  <c r="I437" i="28"/>
  <c r="J437" i="28"/>
  <c r="K437" i="28"/>
  <c r="L437" i="28"/>
  <c r="M437" i="28"/>
  <c r="N437" i="28"/>
  <c r="O437" i="28"/>
  <c r="P437" i="28"/>
  <c r="Q437" i="28"/>
  <c r="R437" i="28"/>
  <c r="Z437" i="28"/>
  <c r="AA437" i="28"/>
  <c r="E438" i="28"/>
  <c r="F438" i="28"/>
  <c r="G438" i="28"/>
  <c r="H438" i="28"/>
  <c r="I438" i="28"/>
  <c r="J438" i="28"/>
  <c r="K438" i="28"/>
  <c r="L438" i="28"/>
  <c r="M438" i="28"/>
  <c r="N438" i="28"/>
  <c r="O438" i="28"/>
  <c r="P438" i="28"/>
  <c r="Q438" i="28"/>
  <c r="R438" i="28"/>
  <c r="Z438" i="28"/>
  <c r="AA438" i="28"/>
  <c r="E439" i="28"/>
  <c r="F439" i="28"/>
  <c r="G439" i="28"/>
  <c r="H439" i="28"/>
  <c r="I439" i="28"/>
  <c r="J439" i="28"/>
  <c r="K439" i="28"/>
  <c r="L439" i="28"/>
  <c r="M439" i="28"/>
  <c r="N439" i="28"/>
  <c r="O439" i="28"/>
  <c r="P439" i="28"/>
  <c r="Q439" i="28"/>
  <c r="R439" i="28"/>
  <c r="Z439" i="28"/>
  <c r="AA439" i="28"/>
  <c r="E440" i="28"/>
  <c r="F440" i="28"/>
  <c r="G440" i="28"/>
  <c r="H440" i="28"/>
  <c r="I440" i="28"/>
  <c r="J440" i="28"/>
  <c r="K440" i="28"/>
  <c r="L440" i="28"/>
  <c r="M440" i="28"/>
  <c r="N440" i="28"/>
  <c r="O440" i="28"/>
  <c r="P440" i="28"/>
  <c r="Q440" i="28"/>
  <c r="Z440" i="28"/>
  <c r="AA440" i="28"/>
  <c r="E443" i="28"/>
  <c r="F443" i="28"/>
  <c r="G443" i="28"/>
  <c r="H443" i="28"/>
  <c r="I443" i="28"/>
  <c r="J443" i="28"/>
  <c r="K443" i="28"/>
  <c r="L443" i="28"/>
  <c r="M443" i="28"/>
  <c r="N443" i="28"/>
  <c r="O443" i="28"/>
  <c r="P443" i="28"/>
  <c r="Q443" i="28"/>
  <c r="R443" i="28"/>
  <c r="Z443" i="28"/>
  <c r="AA443" i="28"/>
  <c r="E444" i="28"/>
  <c r="F444" i="28"/>
  <c r="G444" i="28"/>
  <c r="H444" i="28"/>
  <c r="I444" i="28"/>
  <c r="J444" i="28"/>
  <c r="K444" i="28"/>
  <c r="L444" i="28"/>
  <c r="M444" i="28"/>
  <c r="N444" i="28"/>
  <c r="O444" i="28"/>
  <c r="P444" i="28"/>
  <c r="Q444" i="28"/>
  <c r="R444" i="28"/>
  <c r="Z444" i="28"/>
  <c r="AA444" i="28"/>
  <c r="E445" i="28"/>
  <c r="E703" i="28" s="1"/>
  <c r="E168" i="3" s="1"/>
  <c r="F445" i="28"/>
  <c r="G445" i="28"/>
  <c r="H445" i="28"/>
  <c r="I445" i="28"/>
  <c r="J445" i="28"/>
  <c r="K445" i="28"/>
  <c r="L445" i="28"/>
  <c r="M445" i="28"/>
  <c r="N445" i="28"/>
  <c r="O445" i="28"/>
  <c r="P445" i="28"/>
  <c r="Q445" i="28"/>
  <c r="R445" i="28"/>
  <c r="Z445" i="28"/>
  <c r="AA445" i="28"/>
  <c r="E446" i="28"/>
  <c r="F446" i="28"/>
  <c r="G446" i="28"/>
  <c r="H446" i="28"/>
  <c r="I446" i="28"/>
  <c r="J446" i="28"/>
  <c r="K446" i="28"/>
  <c r="L446" i="28"/>
  <c r="M446" i="28"/>
  <c r="N446" i="28"/>
  <c r="O446" i="28"/>
  <c r="P446" i="28"/>
  <c r="Q446" i="28"/>
  <c r="R446" i="28"/>
  <c r="Z446" i="28"/>
  <c r="AA446" i="28"/>
  <c r="E450" i="28"/>
  <c r="F450" i="28"/>
  <c r="G450" i="28"/>
  <c r="H450" i="28"/>
  <c r="I450" i="28"/>
  <c r="J450" i="28"/>
  <c r="K450" i="28"/>
  <c r="L450" i="28"/>
  <c r="M450" i="28"/>
  <c r="N450" i="28"/>
  <c r="O450" i="28"/>
  <c r="P450" i="28"/>
  <c r="Q450" i="28"/>
  <c r="Z450" i="28"/>
  <c r="AA450" i="28"/>
  <c r="AG450" i="28"/>
  <c r="E451" i="28"/>
  <c r="F451" i="28"/>
  <c r="G451" i="28"/>
  <c r="H451" i="28"/>
  <c r="I451" i="28"/>
  <c r="J451" i="28"/>
  <c r="K451" i="28"/>
  <c r="L451" i="28"/>
  <c r="M451" i="28"/>
  <c r="N451" i="28"/>
  <c r="O451" i="28"/>
  <c r="P451" i="28"/>
  <c r="Q451" i="28"/>
  <c r="R451" i="28"/>
  <c r="Z451" i="28"/>
  <c r="AA451" i="28"/>
  <c r="E452" i="28"/>
  <c r="F452" i="28"/>
  <c r="G452" i="28"/>
  <c r="H452" i="28"/>
  <c r="I452" i="28"/>
  <c r="J452" i="28"/>
  <c r="K452" i="28"/>
  <c r="L452" i="28"/>
  <c r="M452" i="28"/>
  <c r="N452" i="28"/>
  <c r="O452" i="28"/>
  <c r="P452" i="28"/>
  <c r="Q452" i="28"/>
  <c r="R452" i="28"/>
  <c r="Z452" i="28"/>
  <c r="AA452" i="28"/>
  <c r="E453" i="28"/>
  <c r="F453" i="28"/>
  <c r="G453" i="28"/>
  <c r="H453" i="28"/>
  <c r="I453" i="28"/>
  <c r="J453" i="28"/>
  <c r="K453" i="28"/>
  <c r="L453" i="28"/>
  <c r="M453" i="28"/>
  <c r="N453" i="28"/>
  <c r="O453" i="28"/>
  <c r="P453" i="28"/>
  <c r="Q453" i="28"/>
  <c r="R453" i="28"/>
  <c r="Z453" i="28"/>
  <c r="AA453" i="28"/>
  <c r="E459" i="28"/>
  <c r="F459" i="28"/>
  <c r="G459" i="28"/>
  <c r="H459" i="28"/>
  <c r="I459" i="28"/>
  <c r="J459" i="28"/>
  <c r="K459" i="28"/>
  <c r="L459" i="28"/>
  <c r="M459" i="28"/>
  <c r="N459" i="28"/>
  <c r="O459" i="28"/>
  <c r="P459" i="28"/>
  <c r="Q459" i="28"/>
  <c r="R459" i="28"/>
  <c r="Z459" i="28"/>
  <c r="AA459" i="28"/>
  <c r="V474" i="28"/>
  <c r="V475" i="28"/>
  <c r="AG476" i="28"/>
  <c r="AH476" i="28" s="1"/>
  <c r="AG477" i="28"/>
  <c r="AH477" i="28" s="1"/>
  <c r="E480" i="28"/>
  <c r="F480" i="28"/>
  <c r="G480" i="28"/>
  <c r="H480" i="28"/>
  <c r="I480" i="28"/>
  <c r="J480" i="28"/>
  <c r="K480" i="28"/>
  <c r="L480" i="28"/>
  <c r="M480" i="28"/>
  <c r="N480" i="28"/>
  <c r="O480" i="28"/>
  <c r="Q480" i="28"/>
  <c r="R480" i="28"/>
  <c r="Z480" i="28"/>
  <c r="AA480" i="28"/>
  <c r="E481" i="28"/>
  <c r="F481" i="28"/>
  <c r="G481" i="28"/>
  <c r="H481" i="28"/>
  <c r="I481" i="28"/>
  <c r="J481" i="28"/>
  <c r="K481" i="28"/>
  <c r="L481" i="28"/>
  <c r="M481" i="28"/>
  <c r="N481" i="28"/>
  <c r="O481" i="28"/>
  <c r="P481" i="28"/>
  <c r="Q481" i="28"/>
  <c r="R481" i="28"/>
  <c r="E490" i="28"/>
  <c r="F490" i="28"/>
  <c r="G490" i="28"/>
  <c r="H490" i="28"/>
  <c r="I490" i="28"/>
  <c r="J490" i="28"/>
  <c r="K490" i="28"/>
  <c r="L490" i="28"/>
  <c r="M490" i="28"/>
  <c r="N490" i="28"/>
  <c r="O490" i="28"/>
  <c r="P490" i="28"/>
  <c r="Q490" i="28"/>
  <c r="R490" i="28"/>
  <c r="Z490" i="28"/>
  <c r="AA490" i="28"/>
  <c r="AB490" i="28"/>
  <c r="AC490" i="28"/>
  <c r="AD490" i="28"/>
  <c r="AG495" i="28"/>
  <c r="AG496" i="28"/>
  <c r="E497" i="28"/>
  <c r="F497" i="28"/>
  <c r="G497" i="28"/>
  <c r="I497" i="28"/>
  <c r="J497" i="28"/>
  <c r="K497" i="28"/>
  <c r="M497" i="28"/>
  <c r="N497" i="28"/>
  <c r="O497" i="28"/>
  <c r="Q497" i="28"/>
  <c r="R497" i="28"/>
  <c r="Z497" i="28"/>
  <c r="AA497" i="28"/>
  <c r="AB497" i="28"/>
  <c r="AC497" i="28"/>
  <c r="AD497" i="28"/>
  <c r="N500" i="28"/>
  <c r="Z500" i="28"/>
  <c r="G501" i="28"/>
  <c r="E502" i="28"/>
  <c r="K502" i="28"/>
  <c r="E503" i="28"/>
  <c r="I503" i="28"/>
  <c r="O503" i="28"/>
  <c r="E513" i="28"/>
  <c r="E515" i="28" s="1"/>
  <c r="F513" i="28"/>
  <c r="F515" i="28" s="1"/>
  <c r="G513" i="28"/>
  <c r="G515" i="28" s="1"/>
  <c r="I513" i="28"/>
  <c r="I515" i="28" s="1"/>
  <c r="J513" i="28"/>
  <c r="K513" i="28"/>
  <c r="M513" i="28"/>
  <c r="M515" i="28" s="1"/>
  <c r="N513" i="28"/>
  <c r="N515" i="28" s="1"/>
  <c r="O513" i="28"/>
  <c r="O515" i="28" s="1"/>
  <c r="Q513" i="28"/>
  <c r="Q515" i="28" s="1"/>
  <c r="R513" i="28"/>
  <c r="R515" i="28" s="1"/>
  <c r="Z513" i="28"/>
  <c r="AA513" i="28"/>
  <c r="AB513" i="28"/>
  <c r="AB515" i="28" s="1"/>
  <c r="AC513" i="28"/>
  <c r="AC515" i="28" s="1"/>
  <c r="AD513" i="28"/>
  <c r="AD515" i="28" s="1"/>
  <c r="E517" i="28"/>
  <c r="F517" i="28"/>
  <c r="G517" i="28"/>
  <c r="H517" i="28"/>
  <c r="I517" i="28"/>
  <c r="J517" i="28"/>
  <c r="K517" i="28"/>
  <c r="L517" i="28"/>
  <c r="M517" i="28"/>
  <c r="N517" i="28"/>
  <c r="O517" i="28"/>
  <c r="P517" i="28"/>
  <c r="Q517" i="28"/>
  <c r="R517" i="28"/>
  <c r="Z517" i="28"/>
  <c r="AA517" i="28"/>
  <c r="E521" i="28"/>
  <c r="F521" i="28"/>
  <c r="G521" i="28"/>
  <c r="I521" i="28"/>
  <c r="J521" i="28"/>
  <c r="K521" i="28"/>
  <c r="M521" i="28"/>
  <c r="N521" i="28"/>
  <c r="O521" i="28"/>
  <c r="Q521" i="28"/>
  <c r="R521" i="28"/>
  <c r="Z521" i="28"/>
  <c r="AA521" i="28"/>
  <c r="AB521" i="28"/>
  <c r="AC521" i="28"/>
  <c r="AD521" i="28"/>
  <c r="E523" i="28"/>
  <c r="F523" i="28"/>
  <c r="G523" i="28"/>
  <c r="G528" i="28" s="1"/>
  <c r="G534" i="28" s="1"/>
  <c r="I523" i="28"/>
  <c r="J523" i="28"/>
  <c r="J528" i="28" s="1"/>
  <c r="K523" i="28"/>
  <c r="K528" i="28" s="1"/>
  <c r="M523" i="28"/>
  <c r="M528" i="28" s="1"/>
  <c r="N523" i="28"/>
  <c r="N528" i="28" s="1"/>
  <c r="N547" i="28" s="1"/>
  <c r="O523" i="28"/>
  <c r="O528" i="28" s="1"/>
  <c r="Q523" i="28"/>
  <c r="Q528" i="28" s="1"/>
  <c r="R523" i="28"/>
  <c r="R528" i="28" s="1"/>
  <c r="R534" i="28" s="1"/>
  <c r="R551" i="28" s="1"/>
  <c r="Z523" i="28"/>
  <c r="Z528" i="28" s="1"/>
  <c r="AA523" i="28"/>
  <c r="AA528" i="28" s="1"/>
  <c r="AB523" i="28"/>
  <c r="AC523" i="28"/>
  <c r="AD523" i="28"/>
  <c r="AG532" i="28"/>
  <c r="AH532" i="28" s="1"/>
  <c r="S541" i="28"/>
  <c r="T541" i="28"/>
  <c r="E541" i="28"/>
  <c r="E552" i="28" s="1"/>
  <c r="F541" i="28"/>
  <c r="F548" i="28" s="1"/>
  <c r="G541" i="28"/>
  <c r="G548" i="28" s="1"/>
  <c r="H541" i="28"/>
  <c r="H548" i="28" s="1"/>
  <c r="I541" i="28"/>
  <c r="I548" i="28" s="1"/>
  <c r="J541" i="28"/>
  <c r="J548" i="28" s="1"/>
  <c r="K541" i="28"/>
  <c r="L541" i="28"/>
  <c r="L552" i="28" s="1"/>
  <c r="M541" i="28"/>
  <c r="M552" i="28" s="1"/>
  <c r="N541" i="28"/>
  <c r="N552" i="28" s="1"/>
  <c r="O541" i="28"/>
  <c r="O548" i="28" s="1"/>
  <c r="P541" i="28"/>
  <c r="P552" i="28" s="1"/>
  <c r="Q541" i="28"/>
  <c r="Q552" i="28" s="1"/>
  <c r="R541" i="28"/>
  <c r="R552" i="28" s="1"/>
  <c r="Z541" i="28"/>
  <c r="Z548" i="28" s="1"/>
  <c r="AA541" i="28"/>
  <c r="AA552" i="28" s="1"/>
  <c r="E548" i="28"/>
  <c r="I568" i="28"/>
  <c r="J568" i="28"/>
  <c r="K568" i="28"/>
  <c r="M568" i="28"/>
  <c r="N568" i="28"/>
  <c r="V568" i="28"/>
  <c r="G569" i="28"/>
  <c r="H569" i="28"/>
  <c r="I569" i="28"/>
  <c r="J569" i="28"/>
  <c r="K569" i="28"/>
  <c r="L569" i="28"/>
  <c r="M569" i="28"/>
  <c r="N569" i="28"/>
  <c r="Q569" i="28"/>
  <c r="R569" i="28"/>
  <c r="V570" i="28"/>
  <c r="V571" i="28"/>
  <c r="T585" i="28"/>
  <c r="E578" i="28"/>
  <c r="F578" i="28"/>
  <c r="G578" i="28"/>
  <c r="H578" i="28"/>
  <c r="I578" i="28"/>
  <c r="J578" i="28"/>
  <c r="K578" i="28"/>
  <c r="L578" i="28"/>
  <c r="M578" i="28"/>
  <c r="N578" i="28"/>
  <c r="O578" i="28"/>
  <c r="P578" i="28"/>
  <c r="Q578" i="28"/>
  <c r="R578" i="28"/>
  <c r="Z578" i="28"/>
  <c r="AA578" i="28"/>
  <c r="AF583" i="28"/>
  <c r="AG583" i="28"/>
  <c r="AF584" i="28"/>
  <c r="AG584" i="28"/>
  <c r="E585" i="28"/>
  <c r="F585" i="28"/>
  <c r="G585" i="28"/>
  <c r="I585" i="28"/>
  <c r="J585" i="28"/>
  <c r="K585" i="28"/>
  <c r="M585" i="28"/>
  <c r="N585" i="28"/>
  <c r="O585" i="28"/>
  <c r="Q585" i="28"/>
  <c r="R585" i="28"/>
  <c r="Z585" i="28"/>
  <c r="AA585" i="28"/>
  <c r="AB585" i="28"/>
  <c r="AC585" i="28"/>
  <c r="AD585" i="28"/>
  <c r="I588" i="28"/>
  <c r="N588" i="28"/>
  <c r="G589" i="28"/>
  <c r="I589" i="28"/>
  <c r="K590" i="28"/>
  <c r="Q590" i="28"/>
  <c r="E591" i="28"/>
  <c r="O591" i="28"/>
  <c r="AG600" i="28"/>
  <c r="E601" i="28"/>
  <c r="F601" i="28"/>
  <c r="G601" i="28"/>
  <c r="G603" i="28" s="1"/>
  <c r="I601" i="28"/>
  <c r="J601" i="28"/>
  <c r="J603" i="28" s="1"/>
  <c r="K601" i="28"/>
  <c r="K603" i="28" s="1"/>
  <c r="M601" i="28"/>
  <c r="M603" i="28" s="1"/>
  <c r="N601" i="28"/>
  <c r="N603" i="28" s="1"/>
  <c r="O601" i="28"/>
  <c r="O603" i="28" s="1"/>
  <c r="Q601" i="28"/>
  <c r="Z601" i="28"/>
  <c r="AA601" i="28"/>
  <c r="AC601" i="28"/>
  <c r="AC603" i="28" s="1"/>
  <c r="AD601" i="28"/>
  <c r="AD603" i="28" s="1"/>
  <c r="E605" i="28"/>
  <c r="F605" i="28"/>
  <c r="G605" i="28"/>
  <c r="H605" i="28"/>
  <c r="I605" i="28"/>
  <c r="J605" i="28"/>
  <c r="K605" i="28"/>
  <c r="L605" i="28"/>
  <c r="M605" i="28"/>
  <c r="N605" i="28"/>
  <c r="O605" i="28"/>
  <c r="P605" i="28"/>
  <c r="Q605" i="28"/>
  <c r="R605" i="28"/>
  <c r="Z605" i="28"/>
  <c r="AA605" i="28"/>
  <c r="AD605" i="28"/>
  <c r="G609" i="28"/>
  <c r="I609" i="28"/>
  <c r="J609" i="28"/>
  <c r="K609" i="28"/>
  <c r="M609" i="28"/>
  <c r="N609" i="28"/>
  <c r="O609" i="28"/>
  <c r="Q609" i="28"/>
  <c r="R609" i="28"/>
  <c r="AB609" i="28"/>
  <c r="AC609" i="28"/>
  <c r="AD609" i="28"/>
  <c r="E611" i="28"/>
  <c r="E616" i="28" s="1"/>
  <c r="E622" i="28" s="1"/>
  <c r="F611" i="28"/>
  <c r="F616" i="28" s="1"/>
  <c r="F622" i="28" s="1"/>
  <c r="G611" i="28"/>
  <c r="G616" i="28" s="1"/>
  <c r="I611" i="28"/>
  <c r="I616" i="28" s="1"/>
  <c r="I622" i="28" s="1"/>
  <c r="J611" i="28"/>
  <c r="K611" i="28"/>
  <c r="M611" i="28"/>
  <c r="N611" i="28"/>
  <c r="O611" i="28"/>
  <c r="Q611" i="28"/>
  <c r="Q616" i="28" s="1"/>
  <c r="R611" i="28"/>
  <c r="R616" i="28" s="1"/>
  <c r="Z611" i="28"/>
  <c r="Z616" i="28" s="1"/>
  <c r="Z622" i="28" s="1"/>
  <c r="AA611" i="28"/>
  <c r="AA616" i="28" s="1"/>
  <c r="AA622" i="28" s="1"/>
  <c r="AC611" i="28"/>
  <c r="AD611" i="28"/>
  <c r="AE611" i="28"/>
  <c r="T658" i="28"/>
  <c r="H616" i="28"/>
  <c r="H622" i="28" s="1"/>
  <c r="H639" i="28" s="1"/>
  <c r="S661" i="28"/>
  <c r="S605" i="28"/>
  <c r="T668" i="28"/>
  <c r="T672" i="28" s="1"/>
  <c r="T670" i="28"/>
  <c r="E629" i="28"/>
  <c r="F629" i="28"/>
  <c r="G629" i="28"/>
  <c r="H629" i="28"/>
  <c r="I629" i="28"/>
  <c r="I640" i="28" s="1"/>
  <c r="J629" i="28"/>
  <c r="J640" i="28" s="1"/>
  <c r="K629" i="28"/>
  <c r="K640" i="28" s="1"/>
  <c r="L629" i="28"/>
  <c r="L640" i="28" s="1"/>
  <c r="M629" i="28"/>
  <c r="N629" i="28"/>
  <c r="N636" i="28" s="1"/>
  <c r="O629" i="28"/>
  <c r="P629" i="28"/>
  <c r="Q629" i="28"/>
  <c r="Q640" i="28" s="1"/>
  <c r="R629" i="28"/>
  <c r="R636" i="28" s="1"/>
  <c r="Z629" i="28"/>
  <c r="AA629" i="28"/>
  <c r="E637" i="28"/>
  <c r="F637" i="28"/>
  <c r="O637" i="28"/>
  <c r="P637" i="28"/>
  <c r="Z637" i="28"/>
  <c r="AA637" i="28"/>
  <c r="E641" i="28"/>
  <c r="F641" i="28"/>
  <c r="O641" i="28"/>
  <c r="O643" i="28" s="1"/>
  <c r="P641" i="28"/>
  <c r="Z641" i="28"/>
  <c r="Z643" i="28" s="1"/>
  <c r="AA641" i="28"/>
  <c r="E649" i="28"/>
  <c r="F649" i="28"/>
  <c r="G649" i="28"/>
  <c r="H649" i="28"/>
  <c r="H689" i="28" s="1"/>
  <c r="I649" i="28"/>
  <c r="J649" i="28"/>
  <c r="K649" i="28"/>
  <c r="L649" i="28"/>
  <c r="M649" i="28"/>
  <c r="N649" i="28"/>
  <c r="O649" i="28"/>
  <c r="P649" i="28"/>
  <c r="P689" i="28" s="1"/>
  <c r="Q649" i="28"/>
  <c r="R649" i="28"/>
  <c r="Z649" i="28"/>
  <c r="AA649" i="28"/>
  <c r="E650" i="28"/>
  <c r="F650" i="28"/>
  <c r="G650" i="28"/>
  <c r="G690" i="28" s="1"/>
  <c r="I650" i="28"/>
  <c r="J650" i="28"/>
  <c r="K650" i="28"/>
  <c r="M650" i="28"/>
  <c r="M690" i="28" s="1"/>
  <c r="N650" i="28"/>
  <c r="O650" i="28"/>
  <c r="Q650" i="28"/>
  <c r="R650" i="28"/>
  <c r="R690" i="28" s="1"/>
  <c r="Z650" i="28"/>
  <c r="AA650" i="28"/>
  <c r="E655" i="28"/>
  <c r="F655" i="28"/>
  <c r="F695" i="28" s="1"/>
  <c r="G655" i="28"/>
  <c r="H655" i="28"/>
  <c r="I655" i="28"/>
  <c r="I695" i="28" s="1"/>
  <c r="J655" i="28"/>
  <c r="J695" i="28" s="1"/>
  <c r="K655" i="28"/>
  <c r="L655" i="28"/>
  <c r="M655" i="28"/>
  <c r="N655" i="28"/>
  <c r="N695" i="28" s="1"/>
  <c r="O655" i="28"/>
  <c r="P655" i="28"/>
  <c r="Q655" i="28"/>
  <c r="Q695" i="28" s="1"/>
  <c r="R655" i="28"/>
  <c r="R695" i="28" s="1"/>
  <c r="Z655" i="28"/>
  <c r="AA655" i="28"/>
  <c r="E656" i="28"/>
  <c r="F656" i="28"/>
  <c r="F696" i="28" s="1"/>
  <c r="G656" i="28"/>
  <c r="H656" i="28"/>
  <c r="I656" i="28"/>
  <c r="J656" i="28"/>
  <c r="J696" i="28" s="1"/>
  <c r="K656" i="28"/>
  <c r="L656" i="28"/>
  <c r="M656" i="28"/>
  <c r="N656" i="28"/>
  <c r="N696" i="28" s="1"/>
  <c r="O656" i="28"/>
  <c r="P656" i="28"/>
  <c r="Q656" i="28"/>
  <c r="R656" i="28"/>
  <c r="R696" i="28" s="1"/>
  <c r="Z656" i="28"/>
  <c r="AA656" i="28"/>
  <c r="E657" i="28"/>
  <c r="F657" i="28"/>
  <c r="G657" i="28"/>
  <c r="H657" i="28"/>
  <c r="I657" i="28"/>
  <c r="I697" i="28" s="1"/>
  <c r="J657" i="28"/>
  <c r="K657" i="28"/>
  <c r="L657" i="28"/>
  <c r="M657" i="28"/>
  <c r="M697" i="28" s="1"/>
  <c r="N657" i="28"/>
  <c r="O657" i="28"/>
  <c r="P657" i="28"/>
  <c r="Q657" i="28"/>
  <c r="Q697" i="28" s="1"/>
  <c r="R657" i="28"/>
  <c r="Z657" i="28"/>
  <c r="AA657" i="28"/>
  <c r="E658" i="28"/>
  <c r="E698" i="28" s="1"/>
  <c r="F658" i="28"/>
  <c r="G658" i="28"/>
  <c r="H658" i="28"/>
  <c r="I658" i="28"/>
  <c r="J658" i="28"/>
  <c r="K658" i="28"/>
  <c r="L658" i="28"/>
  <c r="M658" i="28"/>
  <c r="M698" i="28" s="1"/>
  <c r="N658" i="28"/>
  <c r="O658" i="28"/>
  <c r="P658" i="28"/>
  <c r="Q658" i="28"/>
  <c r="R658" i="28"/>
  <c r="Z658" i="28"/>
  <c r="AA658" i="28"/>
  <c r="E661" i="28"/>
  <c r="F661" i="28"/>
  <c r="F701" i="28" s="1"/>
  <c r="G661" i="28"/>
  <c r="G701" i="28" s="1"/>
  <c r="H661" i="28"/>
  <c r="I661" i="28"/>
  <c r="J661" i="28"/>
  <c r="K661" i="28"/>
  <c r="L661" i="28"/>
  <c r="M661" i="28"/>
  <c r="N661" i="28"/>
  <c r="N701" i="28" s="1"/>
  <c r="O661" i="28"/>
  <c r="P661" i="28"/>
  <c r="Q661" i="28"/>
  <c r="R661" i="28"/>
  <c r="Z661" i="28"/>
  <c r="AA661" i="28"/>
  <c r="E662" i="28"/>
  <c r="F662" i="28"/>
  <c r="F702" i="28" s="1"/>
  <c r="G662" i="28"/>
  <c r="H662" i="28"/>
  <c r="I662" i="28"/>
  <c r="J662" i="28"/>
  <c r="K662" i="28"/>
  <c r="L662" i="28"/>
  <c r="M662" i="28"/>
  <c r="N662" i="28"/>
  <c r="N702" i="28" s="1"/>
  <c r="O662" i="28"/>
  <c r="P662" i="28"/>
  <c r="Q662" i="28"/>
  <c r="R662" i="28"/>
  <c r="Z662" i="28"/>
  <c r="AA662" i="28"/>
  <c r="E663" i="28"/>
  <c r="F663" i="28"/>
  <c r="G663" i="28"/>
  <c r="H663" i="28"/>
  <c r="I663" i="28"/>
  <c r="J663" i="28"/>
  <c r="K663" i="28"/>
  <c r="L663" i="28"/>
  <c r="M663" i="28"/>
  <c r="N663" i="28"/>
  <c r="O663" i="28"/>
  <c r="P663" i="28"/>
  <c r="Q663" i="28"/>
  <c r="R663" i="28"/>
  <c r="Z663" i="28"/>
  <c r="AA663" i="28"/>
  <c r="E664" i="28"/>
  <c r="F664" i="28"/>
  <c r="F704" i="28" s="1"/>
  <c r="G664" i="28"/>
  <c r="G704" i="28" s="1"/>
  <c r="H664" i="28"/>
  <c r="I664" i="28"/>
  <c r="J664" i="28"/>
  <c r="K664" i="28"/>
  <c r="L664" i="28"/>
  <c r="M664" i="28"/>
  <c r="N664" i="28"/>
  <c r="N704" i="28" s="1"/>
  <c r="O664" i="28"/>
  <c r="O704" i="28" s="1"/>
  <c r="P664" i="28"/>
  <c r="Q664" i="28"/>
  <c r="R664" i="28"/>
  <c r="Z664" i="28"/>
  <c r="AA664" i="28"/>
  <c r="E668" i="28"/>
  <c r="E672" i="28" s="1"/>
  <c r="F668" i="28"/>
  <c r="F672" i="28" s="1"/>
  <c r="G668" i="28"/>
  <c r="G672" i="28" s="1"/>
  <c r="H668" i="28"/>
  <c r="H672" i="28" s="1"/>
  <c r="I668" i="28"/>
  <c r="I672" i="28" s="1"/>
  <c r="J668" i="28"/>
  <c r="J672" i="28" s="1"/>
  <c r="K668" i="28"/>
  <c r="K672" i="28" s="1"/>
  <c r="L668" i="28"/>
  <c r="L672" i="28" s="1"/>
  <c r="M668" i="28"/>
  <c r="M672" i="28" s="1"/>
  <c r="N668" i="28"/>
  <c r="N672" i="28" s="1"/>
  <c r="O668" i="28"/>
  <c r="O672" i="28" s="1"/>
  <c r="P668" i="28"/>
  <c r="P672" i="28" s="1"/>
  <c r="Q668" i="28"/>
  <c r="Q672" i="28" s="1"/>
  <c r="R668" i="28"/>
  <c r="R672" i="28" s="1"/>
  <c r="Z668" i="28"/>
  <c r="Z672" i="28" s="1"/>
  <c r="AA668" i="28"/>
  <c r="AA672" i="28" s="1"/>
  <c r="E669" i="28"/>
  <c r="F669" i="28"/>
  <c r="G669" i="28"/>
  <c r="H669" i="28"/>
  <c r="I669" i="28"/>
  <c r="J669" i="28"/>
  <c r="K669" i="28"/>
  <c r="L669" i="28"/>
  <c r="M669" i="28"/>
  <c r="N669" i="28"/>
  <c r="O669" i="28"/>
  <c r="P669" i="28"/>
  <c r="Q669" i="28"/>
  <c r="R669" i="28"/>
  <c r="Z669" i="28"/>
  <c r="AA669" i="28"/>
  <c r="E670" i="28"/>
  <c r="F670" i="28"/>
  <c r="G670" i="28"/>
  <c r="H670" i="28"/>
  <c r="I670" i="28"/>
  <c r="J670" i="28"/>
  <c r="K670" i="28"/>
  <c r="L670" i="28"/>
  <c r="M670" i="28"/>
  <c r="N670" i="28"/>
  <c r="O670" i="28"/>
  <c r="P670" i="28"/>
  <c r="Q670" i="28"/>
  <c r="R670" i="28"/>
  <c r="Z670" i="28"/>
  <c r="AA670" i="28"/>
  <c r="E671" i="28"/>
  <c r="F671" i="28"/>
  <c r="G671" i="28"/>
  <c r="H671" i="28"/>
  <c r="I671" i="28"/>
  <c r="J671" i="28"/>
  <c r="K671" i="28"/>
  <c r="L671" i="28"/>
  <c r="M671" i="28"/>
  <c r="N671" i="28"/>
  <c r="O671" i="28"/>
  <c r="P671" i="28"/>
  <c r="Q671" i="28"/>
  <c r="R671" i="28"/>
  <c r="Z671" i="28"/>
  <c r="AA671" i="28"/>
  <c r="E677" i="28"/>
  <c r="F677" i="28"/>
  <c r="G677" i="28"/>
  <c r="H677" i="28"/>
  <c r="I677" i="28"/>
  <c r="J677" i="28"/>
  <c r="K677" i="28"/>
  <c r="L677" i="28"/>
  <c r="M677" i="28"/>
  <c r="N677" i="28"/>
  <c r="O677" i="28"/>
  <c r="P677" i="28"/>
  <c r="Q677" i="28"/>
  <c r="R677" i="28"/>
  <c r="T677" i="28"/>
  <c r="Z677" i="28"/>
  <c r="AA677" i="28"/>
  <c r="E697" i="28"/>
  <c r="E708" i="28"/>
  <c r="F708" i="28"/>
  <c r="G708" i="28"/>
  <c r="H708" i="28"/>
  <c r="I708" i="28"/>
  <c r="J708" i="28"/>
  <c r="K708" i="28"/>
  <c r="L708" i="28"/>
  <c r="M708" i="28"/>
  <c r="N708" i="28"/>
  <c r="O708" i="28"/>
  <c r="P708" i="28"/>
  <c r="Q708" i="28"/>
  <c r="Z708" i="28"/>
  <c r="AA708" i="28"/>
  <c r="E709" i="28"/>
  <c r="F709" i="28"/>
  <c r="G709" i="28"/>
  <c r="H709" i="28"/>
  <c r="I709" i="28"/>
  <c r="J709" i="28"/>
  <c r="K709" i="28"/>
  <c r="L709" i="28"/>
  <c r="M709" i="28"/>
  <c r="N709" i="28"/>
  <c r="O709" i="28"/>
  <c r="P709" i="28"/>
  <c r="Q709" i="28"/>
  <c r="R709" i="28"/>
  <c r="Z709" i="28"/>
  <c r="AA709" i="28"/>
  <c r="E710" i="28"/>
  <c r="F710" i="28"/>
  <c r="G710" i="28"/>
  <c r="H710" i="28"/>
  <c r="I710" i="28"/>
  <c r="J710" i="28"/>
  <c r="K710" i="28"/>
  <c r="L710" i="28"/>
  <c r="M710" i="28"/>
  <c r="N710" i="28"/>
  <c r="O710" i="28"/>
  <c r="P710" i="28"/>
  <c r="Q710" i="28"/>
  <c r="R710" i="28"/>
  <c r="Z710" i="28"/>
  <c r="AA710" i="28"/>
  <c r="E711" i="28"/>
  <c r="F711" i="28"/>
  <c r="G711" i="28"/>
  <c r="H711" i="28"/>
  <c r="I711" i="28"/>
  <c r="J711" i="28"/>
  <c r="K711" i="28"/>
  <c r="L711" i="28"/>
  <c r="M711" i="28"/>
  <c r="N711" i="28"/>
  <c r="O711" i="28"/>
  <c r="P711" i="28"/>
  <c r="Q711" i="28"/>
  <c r="R711" i="28"/>
  <c r="Z711" i="28"/>
  <c r="AA711" i="28"/>
  <c r="E5" i="3"/>
  <c r="Z5" i="3"/>
  <c r="F6" i="3"/>
  <c r="G6" i="3" s="1"/>
  <c r="H6" i="3" s="1"/>
  <c r="AA6" i="3"/>
  <c r="AB6" i="3" s="1"/>
  <c r="AK6" i="3"/>
  <c r="AL6" i="3" s="1"/>
  <c r="AM6" i="3" s="1"/>
  <c r="AN6" i="3" s="1"/>
  <c r="AO6" i="3" s="1"/>
  <c r="AP6" i="3" s="1"/>
  <c r="AQ6" i="3" s="1"/>
  <c r="AR6" i="3" s="1"/>
  <c r="AS6" i="3" s="1"/>
  <c r="AT6" i="3" s="1"/>
  <c r="AU6" i="3" s="1"/>
  <c r="AV6" i="3" s="1"/>
  <c r="AW6" i="3" s="1"/>
  <c r="AX6" i="3" s="1"/>
  <c r="AY6" i="3" s="1"/>
  <c r="AZ6" i="3" s="1"/>
  <c r="E13" i="3"/>
  <c r="F13" i="3"/>
  <c r="F25" i="3" s="1"/>
  <c r="F60" i="28" s="1"/>
  <c r="G13" i="3"/>
  <c r="G25" i="3" s="1"/>
  <c r="H13" i="3"/>
  <c r="H25" i="3" s="1"/>
  <c r="I13" i="3"/>
  <c r="I25" i="3" s="1"/>
  <c r="J13" i="3"/>
  <c r="J25" i="3" s="1"/>
  <c r="J60" i="28" s="1"/>
  <c r="K13" i="3"/>
  <c r="K25" i="3" s="1"/>
  <c r="K60" i="28" s="1"/>
  <c r="L13" i="3"/>
  <c r="L25" i="3" s="1"/>
  <c r="M13" i="3"/>
  <c r="M25" i="3" s="1"/>
  <c r="N13" i="3"/>
  <c r="N25" i="3" s="1"/>
  <c r="O13" i="3"/>
  <c r="O25" i="3" s="1"/>
  <c r="P13" i="3"/>
  <c r="P25" i="3" s="1"/>
  <c r="Q13" i="3"/>
  <c r="R13" i="3"/>
  <c r="R25" i="3" s="1"/>
  <c r="R60" i="28" s="1"/>
  <c r="Z13" i="3"/>
  <c r="Z25" i="3" s="1"/>
  <c r="AA13" i="3"/>
  <c r="AA25" i="3" s="1"/>
  <c r="E25" i="3"/>
  <c r="E60" i="28" s="1"/>
  <c r="Z47" i="3"/>
  <c r="AA47" i="3"/>
  <c r="E52" i="3"/>
  <c r="F52" i="3"/>
  <c r="G52" i="3"/>
  <c r="H52" i="3"/>
  <c r="I52" i="3"/>
  <c r="J52" i="3"/>
  <c r="K52" i="3"/>
  <c r="L52" i="3"/>
  <c r="M52" i="3"/>
  <c r="N52" i="3"/>
  <c r="O52" i="3"/>
  <c r="P52" i="3"/>
  <c r="Q52" i="3"/>
  <c r="R52" i="3"/>
  <c r="AA52" i="3"/>
  <c r="E53" i="3"/>
  <c r="F53" i="3"/>
  <c r="G53" i="3"/>
  <c r="H53" i="3"/>
  <c r="I53" i="3"/>
  <c r="J53" i="3"/>
  <c r="K53" i="3"/>
  <c r="L53" i="3"/>
  <c r="M53" i="3"/>
  <c r="N53" i="3"/>
  <c r="O53" i="3"/>
  <c r="P53" i="3"/>
  <c r="Q53" i="3"/>
  <c r="R53" i="3"/>
  <c r="Z53" i="3"/>
  <c r="AA53" i="3"/>
  <c r="E54" i="3"/>
  <c r="F54" i="3"/>
  <c r="G54" i="3"/>
  <c r="H54" i="3"/>
  <c r="I54" i="3"/>
  <c r="J54" i="3"/>
  <c r="K54" i="3"/>
  <c r="L54" i="3"/>
  <c r="M54" i="3"/>
  <c r="N54" i="3"/>
  <c r="O54" i="3"/>
  <c r="P54" i="3"/>
  <c r="Q54" i="3"/>
  <c r="R54" i="3"/>
  <c r="Z54" i="3"/>
  <c r="AA54" i="3"/>
  <c r="E55" i="3"/>
  <c r="E72" i="3" s="1"/>
  <c r="F55" i="3"/>
  <c r="F72" i="3" s="1"/>
  <c r="G55" i="3"/>
  <c r="G72" i="3" s="1"/>
  <c r="H55" i="3"/>
  <c r="H72" i="3" s="1"/>
  <c r="I55" i="3"/>
  <c r="I72" i="3" s="1"/>
  <c r="J55" i="3"/>
  <c r="J72" i="3" s="1"/>
  <c r="K55" i="3"/>
  <c r="K72" i="3" s="1"/>
  <c r="L55" i="3"/>
  <c r="L72" i="3" s="1"/>
  <c r="M55" i="3"/>
  <c r="M72" i="3" s="1"/>
  <c r="N55" i="3"/>
  <c r="N72" i="3" s="1"/>
  <c r="O55" i="3"/>
  <c r="O72" i="3" s="1"/>
  <c r="P55" i="3"/>
  <c r="P72" i="3" s="1"/>
  <c r="Q55" i="3"/>
  <c r="Q72" i="3" s="1"/>
  <c r="R55" i="3"/>
  <c r="R72" i="3" s="1"/>
  <c r="T55" i="3"/>
  <c r="T72" i="3" s="1"/>
  <c r="AA55" i="3"/>
  <c r="AA72" i="3" s="1"/>
  <c r="AG55" i="3"/>
  <c r="AG72" i="3" s="1"/>
  <c r="E56" i="3"/>
  <c r="E73" i="3" s="1"/>
  <c r="F56" i="3"/>
  <c r="F73" i="3" s="1"/>
  <c r="G56" i="3"/>
  <c r="G73" i="3" s="1"/>
  <c r="H56" i="3"/>
  <c r="H73" i="3" s="1"/>
  <c r="I56" i="3"/>
  <c r="I73" i="3" s="1"/>
  <c r="J56" i="3"/>
  <c r="J73" i="3" s="1"/>
  <c r="K56" i="3"/>
  <c r="K73" i="3" s="1"/>
  <c r="L56" i="3"/>
  <c r="L73" i="3" s="1"/>
  <c r="M56" i="3"/>
  <c r="N56" i="3"/>
  <c r="N73" i="3" s="1"/>
  <c r="O56" i="3"/>
  <c r="O73" i="3" s="1"/>
  <c r="P56" i="3"/>
  <c r="P73" i="3" s="1"/>
  <c r="Q56" i="3"/>
  <c r="Q73" i="3" s="1"/>
  <c r="R56" i="3"/>
  <c r="R73" i="3" s="1"/>
  <c r="T56" i="3"/>
  <c r="T73" i="3" s="1"/>
  <c r="Z56" i="3"/>
  <c r="AA56" i="3"/>
  <c r="AA73" i="3" s="1"/>
  <c r="AG56" i="3"/>
  <c r="AG73" i="3" s="1"/>
  <c r="E57" i="3"/>
  <c r="F57" i="3"/>
  <c r="F66" i="3" s="1"/>
  <c r="G57" i="3"/>
  <c r="H57" i="3"/>
  <c r="H74" i="3" s="1"/>
  <c r="I57" i="3"/>
  <c r="I74" i="3" s="1"/>
  <c r="J57" i="3"/>
  <c r="J66" i="3" s="1"/>
  <c r="K57" i="3"/>
  <c r="K66" i="3" s="1"/>
  <c r="L57" i="3"/>
  <c r="L74" i="3" s="1"/>
  <c r="M57" i="3"/>
  <c r="N57" i="3"/>
  <c r="N66" i="3" s="1"/>
  <c r="O57" i="3"/>
  <c r="P57" i="3"/>
  <c r="P66" i="3" s="1"/>
  <c r="Q57" i="3"/>
  <c r="R57" i="3"/>
  <c r="T57" i="3"/>
  <c r="T74" i="3" s="1"/>
  <c r="Z57" i="3"/>
  <c r="AA57" i="3"/>
  <c r="AA74" i="3" s="1"/>
  <c r="AG57" i="3"/>
  <c r="AG74" i="3" s="1"/>
  <c r="E58" i="3"/>
  <c r="E75" i="3" s="1"/>
  <c r="F58" i="3"/>
  <c r="G58" i="3"/>
  <c r="G75" i="3" s="1"/>
  <c r="H58" i="3"/>
  <c r="H75" i="3" s="1"/>
  <c r="I58" i="3"/>
  <c r="I75" i="3" s="1"/>
  <c r="J58" i="3"/>
  <c r="J75" i="3" s="1"/>
  <c r="K58" i="3"/>
  <c r="K75" i="3" s="1"/>
  <c r="L58" i="3"/>
  <c r="L75" i="3" s="1"/>
  <c r="M58" i="3"/>
  <c r="M75" i="3" s="1"/>
  <c r="N58" i="3"/>
  <c r="N75" i="3" s="1"/>
  <c r="O58" i="3"/>
  <c r="O75" i="3" s="1"/>
  <c r="P58" i="3"/>
  <c r="P75" i="3" s="1"/>
  <c r="Q58" i="3"/>
  <c r="Q75" i="3" s="1"/>
  <c r="R58" i="3"/>
  <c r="R75" i="3" s="1"/>
  <c r="T58" i="3"/>
  <c r="T75" i="3" s="1"/>
  <c r="Z58" i="3"/>
  <c r="Z75" i="3" s="1"/>
  <c r="AA58" i="3"/>
  <c r="AA75" i="3" s="1"/>
  <c r="AG58" i="3"/>
  <c r="AG75" i="3" s="1"/>
  <c r="E59" i="3"/>
  <c r="E76" i="3" s="1"/>
  <c r="F59" i="3"/>
  <c r="F76" i="3" s="1"/>
  <c r="G59" i="3"/>
  <c r="G76" i="3" s="1"/>
  <c r="H59" i="3"/>
  <c r="H76" i="3" s="1"/>
  <c r="I59" i="3"/>
  <c r="I76" i="3" s="1"/>
  <c r="J59" i="3"/>
  <c r="J76" i="3" s="1"/>
  <c r="K59" i="3"/>
  <c r="K76" i="3" s="1"/>
  <c r="L59" i="3"/>
  <c r="L76" i="3" s="1"/>
  <c r="M59" i="3"/>
  <c r="M76" i="3" s="1"/>
  <c r="N59" i="3"/>
  <c r="N76" i="3" s="1"/>
  <c r="O59" i="3"/>
  <c r="O76" i="3" s="1"/>
  <c r="P59" i="3"/>
  <c r="P76" i="3" s="1"/>
  <c r="Q59" i="3"/>
  <c r="Q76" i="3" s="1"/>
  <c r="R59" i="3"/>
  <c r="R76" i="3" s="1"/>
  <c r="T59" i="3"/>
  <c r="T76" i="3" s="1"/>
  <c r="Z59" i="3"/>
  <c r="Z76" i="3" s="1"/>
  <c r="AA59" i="3"/>
  <c r="AA76" i="3" s="1"/>
  <c r="AG59" i="3"/>
  <c r="AG76" i="3" s="1"/>
  <c r="E60" i="3"/>
  <c r="E77" i="3" s="1"/>
  <c r="F60" i="3"/>
  <c r="F77" i="3" s="1"/>
  <c r="G60" i="3"/>
  <c r="G77" i="3" s="1"/>
  <c r="H60" i="3"/>
  <c r="H77" i="3" s="1"/>
  <c r="I60" i="3"/>
  <c r="I77" i="3" s="1"/>
  <c r="J60" i="3"/>
  <c r="J77" i="3" s="1"/>
  <c r="K60" i="3"/>
  <c r="K77" i="3" s="1"/>
  <c r="L60" i="3"/>
  <c r="L77" i="3" s="1"/>
  <c r="M60" i="3"/>
  <c r="M77" i="3" s="1"/>
  <c r="N60" i="3"/>
  <c r="N77" i="3" s="1"/>
  <c r="O60" i="3"/>
  <c r="O77" i="3" s="1"/>
  <c r="P60" i="3"/>
  <c r="P77" i="3" s="1"/>
  <c r="Q60" i="3"/>
  <c r="Q77" i="3" s="1"/>
  <c r="R60" i="3"/>
  <c r="R77" i="3" s="1"/>
  <c r="T60" i="3"/>
  <c r="T77" i="3" s="1"/>
  <c r="Z60" i="3"/>
  <c r="Z77" i="3" s="1"/>
  <c r="AA60" i="3"/>
  <c r="AA77" i="3" s="1"/>
  <c r="AG60" i="3"/>
  <c r="AG77" i="3" s="1"/>
  <c r="E61" i="3"/>
  <c r="E78" i="3" s="1"/>
  <c r="F61" i="3"/>
  <c r="F78" i="3" s="1"/>
  <c r="G61" i="3"/>
  <c r="G78" i="3" s="1"/>
  <c r="H61" i="3"/>
  <c r="H78" i="3" s="1"/>
  <c r="I61" i="3"/>
  <c r="I78" i="3" s="1"/>
  <c r="J61" i="3"/>
  <c r="J78" i="3" s="1"/>
  <c r="K61" i="3"/>
  <c r="K78" i="3" s="1"/>
  <c r="L61" i="3"/>
  <c r="L78" i="3" s="1"/>
  <c r="M61" i="3"/>
  <c r="M78" i="3" s="1"/>
  <c r="N61" i="3"/>
  <c r="N78" i="3" s="1"/>
  <c r="O61" i="3"/>
  <c r="O78" i="3" s="1"/>
  <c r="P61" i="3"/>
  <c r="P78" i="3" s="1"/>
  <c r="Q61" i="3"/>
  <c r="Q78" i="3" s="1"/>
  <c r="R61" i="3"/>
  <c r="R78" i="3" s="1"/>
  <c r="T61" i="3"/>
  <c r="T78" i="3" s="1"/>
  <c r="Z61" i="3"/>
  <c r="Z78" i="3" s="1"/>
  <c r="AA61" i="3"/>
  <c r="AA78" i="3" s="1"/>
  <c r="AG61" i="3"/>
  <c r="AG78" i="3" s="1"/>
  <c r="E62" i="3"/>
  <c r="E65" i="3" s="1"/>
  <c r="F62" i="3"/>
  <c r="F65" i="3" s="1"/>
  <c r="G62" i="3"/>
  <c r="G65" i="3" s="1"/>
  <c r="H62" i="3"/>
  <c r="H65" i="3" s="1"/>
  <c r="I62" i="3"/>
  <c r="I65" i="3" s="1"/>
  <c r="J62" i="3"/>
  <c r="J65" i="3" s="1"/>
  <c r="K62" i="3"/>
  <c r="K65" i="3" s="1"/>
  <c r="L62" i="3"/>
  <c r="L65" i="3" s="1"/>
  <c r="M62" i="3"/>
  <c r="M65" i="3" s="1"/>
  <c r="N62" i="3"/>
  <c r="N65" i="3" s="1"/>
  <c r="O62" i="3"/>
  <c r="O65" i="3" s="1"/>
  <c r="P62" i="3"/>
  <c r="P65" i="3" s="1"/>
  <c r="Q62" i="3"/>
  <c r="Q65" i="3" s="1"/>
  <c r="Q107" i="28" s="1"/>
  <c r="R62" i="3"/>
  <c r="R65" i="3" s="1"/>
  <c r="R107" i="28" s="1"/>
  <c r="R109" i="28" s="1"/>
  <c r="Z62" i="3"/>
  <c r="Z65" i="3" s="1"/>
  <c r="AA62" i="3"/>
  <c r="AA65" i="3" s="1"/>
  <c r="E63" i="3"/>
  <c r="F63" i="3"/>
  <c r="G63" i="3"/>
  <c r="H63" i="3"/>
  <c r="I63" i="3"/>
  <c r="J63" i="3"/>
  <c r="K63" i="3"/>
  <c r="L63" i="3"/>
  <c r="M63" i="3"/>
  <c r="N63" i="3"/>
  <c r="O63" i="3"/>
  <c r="P63" i="3"/>
  <c r="Q63" i="3"/>
  <c r="R63" i="3"/>
  <c r="AA63" i="3"/>
  <c r="Z72" i="3"/>
  <c r="F75" i="3"/>
  <c r="E79" i="3"/>
  <c r="F79" i="3"/>
  <c r="G79" i="3"/>
  <c r="H79" i="3"/>
  <c r="I79" i="3"/>
  <c r="J79" i="3"/>
  <c r="K79" i="3"/>
  <c r="L79" i="3"/>
  <c r="M79" i="3"/>
  <c r="N79" i="3"/>
  <c r="O79" i="3"/>
  <c r="P79" i="3"/>
  <c r="Q79" i="3"/>
  <c r="Z79" i="3"/>
  <c r="AA79" i="3"/>
  <c r="AG79" i="3"/>
  <c r="Z91" i="3"/>
  <c r="AA91" i="3"/>
  <c r="E98" i="3"/>
  <c r="F98" i="3"/>
  <c r="G98" i="3"/>
  <c r="H98" i="3"/>
  <c r="H181" i="3" s="1"/>
  <c r="I98" i="3"/>
  <c r="I181" i="3" s="1"/>
  <c r="J98" i="3"/>
  <c r="J181" i="3" s="1"/>
  <c r="K98" i="3"/>
  <c r="K181" i="3" s="1"/>
  <c r="L98" i="3"/>
  <c r="L181" i="3" s="1"/>
  <c r="M98" i="3"/>
  <c r="N98" i="3"/>
  <c r="N29" i="14" s="1"/>
  <c r="O98" i="3"/>
  <c r="O29" i="14" s="1"/>
  <c r="P98" i="3"/>
  <c r="P29" i="14" s="1"/>
  <c r="Q98" i="3"/>
  <c r="Q29" i="14" s="1"/>
  <c r="R98" i="3"/>
  <c r="R29" i="14" s="1"/>
  <c r="Z98" i="3"/>
  <c r="AA98" i="3"/>
  <c r="E102" i="3"/>
  <c r="F102" i="3"/>
  <c r="G102" i="3"/>
  <c r="H102" i="3"/>
  <c r="H108" i="3" s="1"/>
  <c r="I102" i="3"/>
  <c r="I182" i="3" s="1"/>
  <c r="J102" i="3"/>
  <c r="J182" i="3" s="1"/>
  <c r="K102" i="3"/>
  <c r="K182" i="3" s="1"/>
  <c r="L102" i="3"/>
  <c r="L182" i="3" s="1"/>
  <c r="M102" i="3"/>
  <c r="N102" i="3"/>
  <c r="N30" i="14" s="1"/>
  <c r="O102" i="3"/>
  <c r="O30" i="14" s="1"/>
  <c r="P102" i="3"/>
  <c r="P30" i="14" s="1"/>
  <c r="Q102" i="3"/>
  <c r="Q30" i="14" s="1"/>
  <c r="R102" i="3"/>
  <c r="R30" i="14" s="1"/>
  <c r="Z102" i="3"/>
  <c r="Z182" i="3" s="1"/>
  <c r="AA102" i="3"/>
  <c r="E110" i="3"/>
  <c r="F110" i="3"/>
  <c r="G110" i="3"/>
  <c r="H110" i="3"/>
  <c r="I110" i="3"/>
  <c r="J110" i="3"/>
  <c r="K110" i="3"/>
  <c r="L110" i="3"/>
  <c r="M110" i="3"/>
  <c r="N110" i="3"/>
  <c r="O110" i="3"/>
  <c r="P110" i="3"/>
  <c r="Q110" i="3"/>
  <c r="R110" i="3"/>
  <c r="W110" i="3" s="1"/>
  <c r="X110" i="3" s="1"/>
  <c r="Z110" i="3"/>
  <c r="AA110" i="3"/>
  <c r="E114" i="3"/>
  <c r="F114" i="3"/>
  <c r="G114" i="3"/>
  <c r="H114" i="3"/>
  <c r="I114" i="3"/>
  <c r="J114" i="3"/>
  <c r="K114" i="3"/>
  <c r="L114" i="3"/>
  <c r="M114" i="3"/>
  <c r="N114" i="3"/>
  <c r="O114" i="3"/>
  <c r="P114" i="3"/>
  <c r="Q114" i="3"/>
  <c r="R114" i="3"/>
  <c r="Z114" i="3"/>
  <c r="AA114" i="3"/>
  <c r="E123" i="3"/>
  <c r="E128" i="3" s="1"/>
  <c r="F123" i="3"/>
  <c r="F128" i="3" s="1"/>
  <c r="G123" i="3"/>
  <c r="G128" i="3" s="1"/>
  <c r="H123" i="3"/>
  <c r="H128" i="3" s="1"/>
  <c r="I123" i="3"/>
  <c r="I128" i="3" s="1"/>
  <c r="J123" i="3"/>
  <c r="J128" i="3" s="1"/>
  <c r="K123" i="3"/>
  <c r="K128" i="3" s="1"/>
  <c r="L123" i="3"/>
  <c r="L128" i="3" s="1"/>
  <c r="M123" i="3"/>
  <c r="M128" i="3" s="1"/>
  <c r="N123" i="3"/>
  <c r="N128" i="3" s="1"/>
  <c r="O123" i="3"/>
  <c r="O128" i="3" s="1"/>
  <c r="P123" i="3"/>
  <c r="P128" i="3" s="1"/>
  <c r="Q123" i="3"/>
  <c r="Q128" i="3" s="1"/>
  <c r="R123" i="3"/>
  <c r="R128" i="3" s="1"/>
  <c r="Z123" i="3"/>
  <c r="Z128" i="3" s="1"/>
  <c r="AA123" i="3"/>
  <c r="AA128" i="3" s="1"/>
  <c r="W126" i="3"/>
  <c r="X126" i="3" s="1"/>
  <c r="E130" i="3"/>
  <c r="F130" i="3"/>
  <c r="G130" i="3"/>
  <c r="H130" i="3"/>
  <c r="I130" i="3"/>
  <c r="J130" i="3"/>
  <c r="K130" i="3"/>
  <c r="L130" i="3"/>
  <c r="M130" i="3"/>
  <c r="N130" i="3"/>
  <c r="O130" i="3"/>
  <c r="P130" i="3"/>
  <c r="Q130" i="3"/>
  <c r="R130" i="3"/>
  <c r="Z130" i="3"/>
  <c r="AA130" i="3"/>
  <c r="E133" i="3"/>
  <c r="F133" i="3"/>
  <c r="G133" i="3"/>
  <c r="H133" i="3"/>
  <c r="I133" i="3"/>
  <c r="J133" i="3"/>
  <c r="K133" i="3"/>
  <c r="L133" i="3"/>
  <c r="M133" i="3"/>
  <c r="N133" i="3"/>
  <c r="O133" i="3"/>
  <c r="P133" i="3"/>
  <c r="Q133" i="3"/>
  <c r="R133" i="3"/>
  <c r="W133" i="3" s="1"/>
  <c r="X133" i="3" s="1"/>
  <c r="Z133" i="3"/>
  <c r="AA133" i="3"/>
  <c r="E136" i="3"/>
  <c r="E179" i="3" s="1"/>
  <c r="F136" i="3"/>
  <c r="F179" i="3" s="1"/>
  <c r="G136" i="3"/>
  <c r="H136" i="3"/>
  <c r="H179" i="3" s="1"/>
  <c r="I136" i="3"/>
  <c r="I179" i="3" s="1"/>
  <c r="J136" i="3"/>
  <c r="J179" i="3" s="1"/>
  <c r="K136" i="3"/>
  <c r="K179" i="3" s="1"/>
  <c r="L136" i="3"/>
  <c r="L179" i="3" s="1"/>
  <c r="M136" i="3"/>
  <c r="M179" i="3" s="1"/>
  <c r="N136" i="3"/>
  <c r="N179" i="3" s="1"/>
  <c r="O136" i="3"/>
  <c r="O179" i="3" s="1"/>
  <c r="P136" i="3"/>
  <c r="P179" i="3" s="1"/>
  <c r="Q136" i="3"/>
  <c r="Q179" i="3" s="1"/>
  <c r="R136" i="3"/>
  <c r="R179" i="3" s="1"/>
  <c r="Z136" i="3"/>
  <c r="Z179" i="3" s="1"/>
  <c r="AA136" i="3"/>
  <c r="AA179" i="3" s="1"/>
  <c r="E139" i="3"/>
  <c r="F139" i="3"/>
  <c r="G139" i="3"/>
  <c r="H139" i="3"/>
  <c r="I139" i="3"/>
  <c r="J139" i="3"/>
  <c r="K139" i="3"/>
  <c r="L139" i="3"/>
  <c r="M139" i="3"/>
  <c r="N139" i="3"/>
  <c r="O139" i="3"/>
  <c r="P139" i="3"/>
  <c r="Q139" i="3"/>
  <c r="R139" i="3"/>
  <c r="W139" i="3" s="1"/>
  <c r="X139" i="3" s="1"/>
  <c r="Z139" i="3"/>
  <c r="AA139" i="3"/>
  <c r="M142" i="3"/>
  <c r="N142" i="3"/>
  <c r="N23" i="14" s="1"/>
  <c r="Z142" i="3"/>
  <c r="W145" i="3"/>
  <c r="X145" i="3" s="1"/>
  <c r="E151" i="3"/>
  <c r="F151" i="3"/>
  <c r="G151" i="3"/>
  <c r="Z151" i="3"/>
  <c r="E166" i="3"/>
  <c r="F166" i="3"/>
  <c r="G166" i="3"/>
  <c r="H166" i="3"/>
  <c r="I166" i="3"/>
  <c r="J166" i="3"/>
  <c r="K166" i="3"/>
  <c r="L166" i="3"/>
  <c r="M166" i="3"/>
  <c r="N166" i="3"/>
  <c r="O166" i="3"/>
  <c r="P166" i="3"/>
  <c r="Q166" i="3"/>
  <c r="R166" i="3"/>
  <c r="Z166" i="3"/>
  <c r="AA166" i="3"/>
  <c r="F170" i="3"/>
  <c r="I170" i="3"/>
  <c r="J170" i="3"/>
  <c r="M170" i="3"/>
  <c r="Q170" i="3"/>
  <c r="Z170" i="3"/>
  <c r="E177" i="3"/>
  <c r="F177" i="3"/>
  <c r="G177" i="3"/>
  <c r="H177" i="3"/>
  <c r="I177" i="3"/>
  <c r="J177" i="3"/>
  <c r="K177" i="3"/>
  <c r="L177" i="3"/>
  <c r="M177" i="3"/>
  <c r="N177" i="3"/>
  <c r="O177" i="3"/>
  <c r="P177" i="3"/>
  <c r="Q177" i="3"/>
  <c r="R177" i="3"/>
  <c r="Z177" i="3"/>
  <c r="AA177" i="3"/>
  <c r="E178" i="3"/>
  <c r="F178" i="3"/>
  <c r="G178" i="3"/>
  <c r="H178" i="3"/>
  <c r="I178" i="3"/>
  <c r="J178" i="3"/>
  <c r="K178" i="3"/>
  <c r="L178" i="3"/>
  <c r="M178" i="3"/>
  <c r="N178" i="3"/>
  <c r="O178" i="3"/>
  <c r="P178" i="3"/>
  <c r="Q178" i="3"/>
  <c r="R178" i="3"/>
  <c r="Z178" i="3"/>
  <c r="AA178" i="3"/>
  <c r="H183" i="3"/>
  <c r="I183" i="3"/>
  <c r="J183" i="3"/>
  <c r="K183" i="3"/>
  <c r="L183" i="3"/>
  <c r="M183" i="3"/>
  <c r="N183" i="3"/>
  <c r="O183" i="3"/>
  <c r="P183" i="3"/>
  <c r="Q183" i="3"/>
  <c r="R183" i="3"/>
  <c r="AG184" i="3"/>
  <c r="E189" i="3"/>
  <c r="F189" i="3"/>
  <c r="G189" i="3"/>
  <c r="H189" i="3"/>
  <c r="I189" i="3"/>
  <c r="J189" i="3"/>
  <c r="K189" i="3"/>
  <c r="L189" i="3"/>
  <c r="M189" i="3"/>
  <c r="O189" i="3"/>
  <c r="P189" i="3"/>
  <c r="R189" i="3"/>
  <c r="E190" i="3"/>
  <c r="F190" i="3"/>
  <c r="F23" i="28" s="1"/>
  <c r="G190" i="3"/>
  <c r="H190" i="3"/>
  <c r="H23" i="28" s="1"/>
  <c r="I190" i="3"/>
  <c r="I23" i="28" s="1"/>
  <c r="J190" i="3"/>
  <c r="J23" i="28" s="1"/>
  <c r="K190" i="3"/>
  <c r="L190" i="3"/>
  <c r="M190" i="3"/>
  <c r="O190" i="3"/>
  <c r="P190" i="3"/>
  <c r="Q23" i="28"/>
  <c r="R190" i="3"/>
  <c r="E191" i="3"/>
  <c r="F191" i="3"/>
  <c r="G191" i="3"/>
  <c r="H191" i="3"/>
  <c r="I191" i="3"/>
  <c r="J191" i="3"/>
  <c r="K191" i="3"/>
  <c r="L191" i="3"/>
  <c r="M191" i="3"/>
  <c r="O191" i="3"/>
  <c r="R191" i="3"/>
  <c r="AU191" i="3"/>
  <c r="P191" i="3" s="1"/>
  <c r="Z192" i="3"/>
  <c r="AA192" i="3"/>
  <c r="AJ192" i="3"/>
  <c r="AK192" i="3"/>
  <c r="AL192" i="3"/>
  <c r="AM192" i="3"/>
  <c r="AN192" i="3"/>
  <c r="AO192" i="3"/>
  <c r="AP192" i="3"/>
  <c r="AQ192" i="3"/>
  <c r="AR192" i="3"/>
  <c r="AS192" i="3"/>
  <c r="AT192" i="3"/>
  <c r="AU192" i="3"/>
  <c r="AV192" i="3"/>
  <c r="AW192" i="3"/>
  <c r="E193" i="3"/>
  <c r="F193" i="3"/>
  <c r="G193" i="3"/>
  <c r="H193" i="3"/>
  <c r="I193" i="3"/>
  <c r="J193" i="3"/>
  <c r="K193" i="3"/>
  <c r="L193" i="3"/>
  <c r="M193" i="3"/>
  <c r="O193" i="3"/>
  <c r="P193" i="3"/>
  <c r="R193" i="3"/>
  <c r="E194" i="3"/>
  <c r="F194" i="3"/>
  <c r="G194" i="3"/>
  <c r="H194" i="3"/>
  <c r="I194" i="3"/>
  <c r="J194" i="3"/>
  <c r="K194" i="3"/>
  <c r="L194" i="3"/>
  <c r="M194" i="3"/>
  <c r="O194" i="3"/>
  <c r="P194" i="3"/>
  <c r="R194" i="3"/>
  <c r="E195" i="3"/>
  <c r="F195" i="3"/>
  <c r="G195" i="3"/>
  <c r="H195" i="3"/>
  <c r="I195" i="3"/>
  <c r="J195" i="3"/>
  <c r="K195" i="3"/>
  <c r="L195" i="3"/>
  <c r="M195" i="3"/>
  <c r="O195" i="3"/>
  <c r="P195" i="3"/>
  <c r="R195" i="3"/>
  <c r="E196" i="3"/>
  <c r="F196" i="3"/>
  <c r="G196" i="3"/>
  <c r="H196" i="3"/>
  <c r="I196" i="3"/>
  <c r="J196" i="3"/>
  <c r="K196" i="3"/>
  <c r="L196" i="3"/>
  <c r="M196" i="3"/>
  <c r="O196" i="3"/>
  <c r="P196" i="3"/>
  <c r="R196" i="3"/>
  <c r="E197" i="3"/>
  <c r="F197" i="3"/>
  <c r="G197" i="3"/>
  <c r="H197" i="3"/>
  <c r="I197" i="3"/>
  <c r="J197" i="3"/>
  <c r="K197" i="3"/>
  <c r="L197" i="3"/>
  <c r="M197" i="3"/>
  <c r="O197" i="3"/>
  <c r="P197" i="3"/>
  <c r="R197" i="3"/>
  <c r="E198" i="3"/>
  <c r="F198" i="3"/>
  <c r="G198" i="3"/>
  <c r="H198" i="3"/>
  <c r="I198" i="3"/>
  <c r="J198" i="3"/>
  <c r="K198" i="3"/>
  <c r="L198" i="3"/>
  <c r="M198" i="3"/>
  <c r="O198" i="3"/>
  <c r="P198" i="3"/>
  <c r="R198" i="3"/>
  <c r="E199" i="3"/>
  <c r="F199" i="3"/>
  <c r="G199" i="3"/>
  <c r="H199" i="3"/>
  <c r="I199" i="3"/>
  <c r="J199" i="3"/>
  <c r="K199" i="3"/>
  <c r="L199" i="3"/>
  <c r="M199" i="3"/>
  <c r="O199" i="3"/>
  <c r="P199" i="3"/>
  <c r="R199" i="3"/>
  <c r="E200" i="3"/>
  <c r="F200" i="3"/>
  <c r="G200" i="3"/>
  <c r="H200" i="3"/>
  <c r="I200" i="3"/>
  <c r="J200" i="3"/>
  <c r="K200" i="3"/>
  <c r="L200" i="3"/>
  <c r="M200" i="3"/>
  <c r="O200" i="3"/>
  <c r="P200" i="3"/>
  <c r="R200" i="3"/>
  <c r="E201" i="3"/>
  <c r="F201" i="3"/>
  <c r="G201" i="3"/>
  <c r="H201" i="3"/>
  <c r="I201" i="3"/>
  <c r="J201" i="3"/>
  <c r="K201" i="3"/>
  <c r="L201" i="3"/>
  <c r="M201" i="3"/>
  <c r="O201" i="3"/>
  <c r="P201" i="3"/>
  <c r="R201" i="3"/>
  <c r="E202" i="3"/>
  <c r="F202" i="3"/>
  <c r="G202" i="3"/>
  <c r="H202" i="3"/>
  <c r="I202" i="3"/>
  <c r="J202" i="3"/>
  <c r="K202" i="3"/>
  <c r="L202" i="3"/>
  <c r="M202" i="3"/>
  <c r="O202" i="3"/>
  <c r="P202" i="3"/>
  <c r="R202" i="3"/>
  <c r="Z203" i="3"/>
  <c r="AA203" i="3"/>
  <c r="AJ203" i="3"/>
  <c r="AK203" i="3"/>
  <c r="AL203" i="3"/>
  <c r="AM203" i="3"/>
  <c r="AN203" i="3"/>
  <c r="AO203" i="3"/>
  <c r="AP203" i="3"/>
  <c r="AQ203" i="3"/>
  <c r="AR203" i="3"/>
  <c r="AS203" i="3"/>
  <c r="AT203" i="3"/>
  <c r="AU203" i="3"/>
  <c r="AV203" i="3"/>
  <c r="AW203" i="3"/>
  <c r="E204" i="3"/>
  <c r="F204" i="3"/>
  <c r="G204" i="3"/>
  <c r="H204" i="3"/>
  <c r="I204" i="3"/>
  <c r="J204" i="3"/>
  <c r="K204" i="3"/>
  <c r="L204" i="3"/>
  <c r="M204" i="3"/>
  <c r="O204" i="3"/>
  <c r="P204" i="3"/>
  <c r="R204" i="3"/>
  <c r="E205" i="3"/>
  <c r="F205" i="3"/>
  <c r="G205" i="3"/>
  <c r="H205" i="3"/>
  <c r="I205" i="3"/>
  <c r="J205" i="3"/>
  <c r="K205" i="3"/>
  <c r="L205" i="3"/>
  <c r="M205" i="3"/>
  <c r="O205" i="3"/>
  <c r="P205" i="3"/>
  <c r="R205" i="3"/>
  <c r="E206" i="3"/>
  <c r="F206" i="3"/>
  <c r="G206" i="3"/>
  <c r="H206" i="3"/>
  <c r="I206" i="3"/>
  <c r="J206" i="3"/>
  <c r="K206" i="3"/>
  <c r="L206" i="3"/>
  <c r="M206" i="3"/>
  <c r="O206" i="3"/>
  <c r="P206" i="3"/>
  <c r="R206" i="3"/>
  <c r="E207" i="3"/>
  <c r="F207" i="3"/>
  <c r="G207" i="3"/>
  <c r="H207" i="3"/>
  <c r="I207" i="3"/>
  <c r="J207" i="3"/>
  <c r="K207" i="3"/>
  <c r="L207" i="3"/>
  <c r="M207" i="3"/>
  <c r="O207" i="3"/>
  <c r="P207" i="3"/>
  <c r="R207" i="3"/>
  <c r="E208" i="3"/>
  <c r="F208" i="3"/>
  <c r="G208" i="3"/>
  <c r="H208" i="3"/>
  <c r="I208" i="3"/>
  <c r="J208" i="3"/>
  <c r="K208" i="3"/>
  <c r="L208" i="3"/>
  <c r="M208" i="3"/>
  <c r="O208" i="3"/>
  <c r="P208" i="3"/>
  <c r="R208" i="3"/>
  <c r="E209" i="3"/>
  <c r="F209" i="3"/>
  <c r="G209" i="3"/>
  <c r="H209" i="3"/>
  <c r="I209" i="3"/>
  <c r="J209" i="3"/>
  <c r="K209" i="3"/>
  <c r="L209" i="3"/>
  <c r="M209" i="3"/>
  <c r="O209" i="3"/>
  <c r="P209" i="3"/>
  <c r="R209" i="3"/>
  <c r="E210" i="3"/>
  <c r="F210" i="3"/>
  <c r="G210" i="3"/>
  <c r="H210" i="3"/>
  <c r="I210" i="3"/>
  <c r="J210" i="3"/>
  <c r="K210" i="3"/>
  <c r="L210" i="3"/>
  <c r="M210" i="3"/>
  <c r="O210" i="3"/>
  <c r="P210" i="3"/>
  <c r="R210" i="3"/>
  <c r="E213" i="3"/>
  <c r="F213" i="3"/>
  <c r="F91" i="3" s="1"/>
  <c r="G213" i="3"/>
  <c r="G91" i="3" s="1"/>
  <c r="H213" i="3"/>
  <c r="H91" i="3" s="1"/>
  <c r="I213" i="3"/>
  <c r="I91" i="3" s="1"/>
  <c r="J213" i="3"/>
  <c r="J91" i="3" s="1"/>
  <c r="K213" i="3"/>
  <c r="L213" i="3"/>
  <c r="L91" i="3" s="1"/>
  <c r="M213" i="3"/>
  <c r="N17" i="14"/>
  <c r="O213" i="3"/>
  <c r="O17" i="14" s="1"/>
  <c r="P213" i="3"/>
  <c r="P17" i="14" s="1"/>
  <c r="R213" i="3"/>
  <c r="R17" i="14" s="1"/>
  <c r="AA214" i="3"/>
  <c r="AA220" i="3" s="1"/>
  <c r="AG214" i="3"/>
  <c r="AJ214" i="3"/>
  <c r="AJ220" i="3" s="1"/>
  <c r="AK214" i="3"/>
  <c r="AK220" i="3" s="1"/>
  <c r="AN214" i="3"/>
  <c r="AN220" i="3" s="1"/>
  <c r="AO214" i="3"/>
  <c r="AO220" i="3" s="1"/>
  <c r="AP214" i="3"/>
  <c r="AP220" i="3" s="1"/>
  <c r="AQ214" i="3"/>
  <c r="AQ220" i="3" s="1"/>
  <c r="AR214" i="3"/>
  <c r="AR220" i="3" s="1"/>
  <c r="AS214" i="3"/>
  <c r="AS220" i="3" s="1"/>
  <c r="AT214" i="3"/>
  <c r="AT220" i="3" s="1"/>
  <c r="AU214" i="3"/>
  <c r="AU220" i="3" s="1"/>
  <c r="AV214" i="3"/>
  <c r="AV220" i="3" s="1"/>
  <c r="AW214" i="3"/>
  <c r="AW220" i="3" s="1"/>
  <c r="E215" i="3"/>
  <c r="F215" i="3"/>
  <c r="G215" i="3"/>
  <c r="H215" i="3"/>
  <c r="I215" i="3"/>
  <c r="J215" i="3"/>
  <c r="K215" i="3"/>
  <c r="L215" i="3"/>
  <c r="M215" i="3"/>
  <c r="O215" i="3"/>
  <c r="P215" i="3"/>
  <c r="R215" i="3"/>
  <c r="E216" i="3"/>
  <c r="F216" i="3"/>
  <c r="G216" i="3"/>
  <c r="H216" i="3"/>
  <c r="I216" i="3"/>
  <c r="J216" i="3"/>
  <c r="K216" i="3"/>
  <c r="L216" i="3"/>
  <c r="M216" i="3"/>
  <c r="O216" i="3"/>
  <c r="P216" i="3"/>
  <c r="R216" i="3"/>
  <c r="E217" i="3"/>
  <c r="F217" i="3"/>
  <c r="I217" i="3"/>
  <c r="J217" i="3"/>
  <c r="K217" i="3"/>
  <c r="L217" i="3"/>
  <c r="M217" i="3"/>
  <c r="O217" i="3"/>
  <c r="P217" i="3"/>
  <c r="R217" i="3"/>
  <c r="Z217" i="3"/>
  <c r="Z214" i="3" s="1"/>
  <c r="Z220" i="3" s="1"/>
  <c r="AL217" i="3"/>
  <c r="AL214" i="3" s="1"/>
  <c r="AL220" i="3" s="1"/>
  <c r="AM217" i="3"/>
  <c r="AM214" i="3" s="1"/>
  <c r="AM220" i="3" s="1"/>
  <c r="E218" i="3"/>
  <c r="F218" i="3"/>
  <c r="G218" i="3"/>
  <c r="H218" i="3"/>
  <c r="I218" i="3"/>
  <c r="J218" i="3"/>
  <c r="K218" i="3"/>
  <c r="L218" i="3"/>
  <c r="M218" i="3"/>
  <c r="O218" i="3"/>
  <c r="P218" i="3"/>
  <c r="R218" i="3"/>
  <c r="E219" i="3"/>
  <c r="F219" i="3"/>
  <c r="G219" i="3"/>
  <c r="H219" i="3"/>
  <c r="I219" i="3"/>
  <c r="J219" i="3"/>
  <c r="K219" i="3"/>
  <c r="L219" i="3"/>
  <c r="M219" i="3"/>
  <c r="O219" i="3"/>
  <c r="P219" i="3"/>
  <c r="R219" i="3"/>
  <c r="E222" i="3"/>
  <c r="F222" i="3"/>
  <c r="F47" i="3" s="1"/>
  <c r="G222" i="3"/>
  <c r="G47" i="3" s="1"/>
  <c r="H222" i="3"/>
  <c r="H47" i="3" s="1"/>
  <c r="I222" i="3"/>
  <c r="I47" i="3" s="1"/>
  <c r="J222" i="3"/>
  <c r="J47" i="3" s="1"/>
  <c r="K222" i="3"/>
  <c r="K47" i="3" s="1"/>
  <c r="L222" i="3"/>
  <c r="L47" i="3" s="1"/>
  <c r="M222" i="3"/>
  <c r="N18" i="14"/>
  <c r="O222" i="3"/>
  <c r="O18" i="14" s="1"/>
  <c r="P222" i="3"/>
  <c r="P18" i="14" s="1"/>
  <c r="R222" i="3"/>
  <c r="R18" i="14" s="1"/>
  <c r="E223" i="3"/>
  <c r="F223" i="3"/>
  <c r="G223" i="3"/>
  <c r="H223" i="3"/>
  <c r="I223" i="3"/>
  <c r="J223" i="3"/>
  <c r="K223" i="3"/>
  <c r="L223" i="3"/>
  <c r="M223" i="3"/>
  <c r="O223" i="3"/>
  <c r="P223" i="3"/>
  <c r="R223" i="3"/>
  <c r="E224" i="3"/>
  <c r="F224" i="3"/>
  <c r="G224" i="3"/>
  <c r="H224" i="3"/>
  <c r="I224" i="3"/>
  <c r="J224" i="3"/>
  <c r="K224" i="3"/>
  <c r="L224" i="3"/>
  <c r="M224" i="3"/>
  <c r="O224" i="3"/>
  <c r="P224" i="3"/>
  <c r="R224" i="3"/>
  <c r="E225" i="3"/>
  <c r="F225" i="3"/>
  <c r="G225" i="3"/>
  <c r="H225" i="3"/>
  <c r="I225" i="3"/>
  <c r="J225" i="3"/>
  <c r="K225" i="3"/>
  <c r="L225" i="3"/>
  <c r="M225" i="3"/>
  <c r="N20" i="14"/>
  <c r="O225" i="3"/>
  <c r="O20" i="14" s="1"/>
  <c r="P225" i="3"/>
  <c r="P20" i="14" s="1"/>
  <c r="R225" i="3"/>
  <c r="R20" i="14" s="1"/>
  <c r="E226" i="3"/>
  <c r="F226" i="3"/>
  <c r="G226" i="3"/>
  <c r="H226" i="3"/>
  <c r="I226" i="3"/>
  <c r="J226" i="3"/>
  <c r="K226" i="3"/>
  <c r="L226" i="3"/>
  <c r="M226" i="3"/>
  <c r="N19" i="14"/>
  <c r="O226" i="3"/>
  <c r="O19" i="14" s="1"/>
  <c r="P226" i="3"/>
  <c r="P19" i="14" s="1"/>
  <c r="R226" i="3"/>
  <c r="R19" i="14" s="1"/>
  <c r="Z227" i="3"/>
  <c r="Z231" i="3" s="1"/>
  <c r="AA227" i="3"/>
  <c r="AA231" i="3" s="1"/>
  <c r="AG227" i="3"/>
  <c r="AJ227" i="3"/>
  <c r="AJ231" i="3" s="1"/>
  <c r="AK227" i="3"/>
  <c r="AK231" i="3" s="1"/>
  <c r="AL227" i="3"/>
  <c r="AL231" i="3" s="1"/>
  <c r="AM227" i="3"/>
  <c r="AM231" i="3" s="1"/>
  <c r="AN227" i="3"/>
  <c r="AN231" i="3" s="1"/>
  <c r="AO227" i="3"/>
  <c r="AO231" i="3" s="1"/>
  <c r="AP227" i="3"/>
  <c r="AP231" i="3" s="1"/>
  <c r="AQ227" i="3"/>
  <c r="AQ231" i="3" s="1"/>
  <c r="AR227" i="3"/>
  <c r="AR231" i="3" s="1"/>
  <c r="AS227" i="3"/>
  <c r="AS231" i="3" s="1"/>
  <c r="AT227" i="3"/>
  <c r="AT231" i="3" s="1"/>
  <c r="AU227" i="3"/>
  <c r="AU231" i="3" s="1"/>
  <c r="AV227" i="3"/>
  <c r="AV231" i="3" s="1"/>
  <c r="AW227" i="3"/>
  <c r="AW231" i="3" s="1"/>
  <c r="E228" i="3"/>
  <c r="F228" i="3"/>
  <c r="G228" i="3"/>
  <c r="H228" i="3"/>
  <c r="I228" i="3"/>
  <c r="J228" i="3"/>
  <c r="K228" i="3"/>
  <c r="L228" i="3"/>
  <c r="M228" i="3"/>
  <c r="O228" i="3"/>
  <c r="P228" i="3"/>
  <c r="R228" i="3"/>
  <c r="E229" i="3"/>
  <c r="F229" i="3"/>
  <c r="G229" i="3"/>
  <c r="H229" i="3"/>
  <c r="I229" i="3"/>
  <c r="J229" i="3"/>
  <c r="K229" i="3"/>
  <c r="L229" i="3"/>
  <c r="M229" i="3"/>
  <c r="O229" i="3"/>
  <c r="P229" i="3"/>
  <c r="R229" i="3"/>
  <c r="E230" i="3"/>
  <c r="F230" i="3"/>
  <c r="G230" i="3"/>
  <c r="H230" i="3"/>
  <c r="I230" i="3"/>
  <c r="J230" i="3"/>
  <c r="K230" i="3"/>
  <c r="L230" i="3"/>
  <c r="M230" i="3"/>
  <c r="O230" i="3"/>
  <c r="P230" i="3"/>
  <c r="R230" i="3"/>
  <c r="E233" i="3"/>
  <c r="F233" i="3"/>
  <c r="G233" i="3"/>
  <c r="H233" i="3"/>
  <c r="I233" i="3"/>
  <c r="J233" i="3"/>
  <c r="K233" i="3"/>
  <c r="L233" i="3"/>
  <c r="M233" i="3"/>
  <c r="O233" i="3"/>
  <c r="P233" i="3"/>
  <c r="R233" i="3"/>
  <c r="AK236" i="3"/>
  <c r="AL236" i="3" s="1"/>
  <c r="AM236" i="3" s="1"/>
  <c r="E246" i="3"/>
  <c r="E148" i="3" s="1"/>
  <c r="Z246" i="3"/>
  <c r="Z148" i="3" s="1"/>
  <c r="E260" i="3"/>
  <c r="E149" i="3" s="1"/>
  <c r="Z260" i="3"/>
  <c r="Z149" i="3" s="1"/>
  <c r="E274" i="3"/>
  <c r="E150" i="3" s="1"/>
  <c r="Z274" i="3"/>
  <c r="Z150" i="3" s="1"/>
  <c r="E277" i="3"/>
  <c r="F277" i="3"/>
  <c r="G277" i="3"/>
  <c r="H277" i="3"/>
  <c r="S281" i="3"/>
  <c r="Q283" i="3"/>
  <c r="AA283" i="3"/>
  <c r="E290" i="3"/>
  <c r="E152" i="3" s="1"/>
  <c r="Z290" i="3"/>
  <c r="Z152" i="3" s="1"/>
  <c r="E298" i="3"/>
  <c r="E153" i="3" s="1"/>
  <c r="Z298" i="3"/>
  <c r="Z153" i="3" s="1"/>
  <c r="A2" i="14"/>
  <c r="K26" i="14"/>
  <c r="K31" i="14"/>
  <c r="K34" i="14"/>
  <c r="AA701" i="28" l="1"/>
  <c r="AA697" i="28"/>
  <c r="F366" i="28"/>
  <c r="M704" i="28"/>
  <c r="F590" i="28"/>
  <c r="F278" i="28"/>
  <c r="M703" i="28"/>
  <c r="M168" i="3" s="1"/>
  <c r="M169" i="3" s="1"/>
  <c r="M589" i="28"/>
  <c r="M652" i="28" s="1"/>
  <c r="F502" i="28"/>
  <c r="M365" i="28"/>
  <c r="M277" i="28"/>
  <c r="AA191" i="28"/>
  <c r="N689" i="28"/>
  <c r="F689" i="28"/>
  <c r="AA591" i="28"/>
  <c r="AA503" i="28"/>
  <c r="AA367" i="28"/>
  <c r="O690" i="28"/>
  <c r="E690" i="28"/>
  <c r="M501" i="28"/>
  <c r="Z364" i="28"/>
  <c r="Z276" i="28"/>
  <c r="E704" i="28"/>
  <c r="J591" i="28"/>
  <c r="Z588" i="28"/>
  <c r="J503" i="28"/>
  <c r="J367" i="28"/>
  <c r="Q324" i="28"/>
  <c r="AH600" i="28"/>
  <c r="AG22" i="28"/>
  <c r="H698" i="28"/>
  <c r="I324" i="28"/>
  <c r="I325" i="28" s="1"/>
  <c r="Q32" i="14"/>
  <c r="O32" i="14"/>
  <c r="R32" i="14"/>
  <c r="P32" i="14"/>
  <c r="O60" i="28"/>
  <c r="V344" i="28"/>
  <c r="W344" i="28" s="1"/>
  <c r="X344" i="28" s="1"/>
  <c r="E643" i="28"/>
  <c r="E589" i="28"/>
  <c r="F67" i="28"/>
  <c r="Q84" i="28"/>
  <c r="O56" i="28"/>
  <c r="O7" i="14"/>
  <c r="W568" i="28"/>
  <c r="X568" i="28" s="1"/>
  <c r="Q703" i="28"/>
  <c r="Q168" i="3" s="1"/>
  <c r="Q169" i="3" s="1"/>
  <c r="I703" i="28"/>
  <c r="I168" i="3" s="1"/>
  <c r="I169" i="3" s="1"/>
  <c r="Q702" i="28"/>
  <c r="I702" i="28"/>
  <c r="W257" i="28"/>
  <c r="X257" i="28" s="1"/>
  <c r="N56" i="28"/>
  <c r="N7" i="14"/>
  <c r="N36" i="14" s="1"/>
  <c r="R37" i="14" s="1"/>
  <c r="Z502" i="28"/>
  <c r="AF398" i="28"/>
  <c r="H704" i="28"/>
  <c r="P703" i="28"/>
  <c r="P168" i="3" s="1"/>
  <c r="P169" i="3" s="1"/>
  <c r="P172" i="3" s="1"/>
  <c r="H703" i="28"/>
  <c r="H168" i="3" s="1"/>
  <c r="P695" i="28"/>
  <c r="I590" i="28"/>
  <c r="W571" i="28"/>
  <c r="X571" i="28" s="1"/>
  <c r="I502" i="28"/>
  <c r="F79" i="28"/>
  <c r="N75" i="28"/>
  <c r="F75" i="28"/>
  <c r="F74" i="28"/>
  <c r="AG139" i="28"/>
  <c r="AH139" i="28" s="1"/>
  <c r="R15" i="28"/>
  <c r="R49" i="28" s="1"/>
  <c r="R45" i="28"/>
  <c r="Z590" i="28"/>
  <c r="K588" i="28"/>
  <c r="W570" i="28"/>
  <c r="X570" i="28" s="1"/>
  <c r="M503" i="28"/>
  <c r="F84" i="28"/>
  <c r="F81" i="28"/>
  <c r="AG138" i="28"/>
  <c r="AH138" i="28" s="1"/>
  <c r="Q56" i="28"/>
  <c r="Q7" i="14"/>
  <c r="M591" i="28"/>
  <c r="O589" i="28"/>
  <c r="AG341" i="28"/>
  <c r="AH341" i="28" s="1"/>
  <c r="AG141" i="28"/>
  <c r="AH141" i="28" s="1"/>
  <c r="F89" i="28"/>
  <c r="F88" i="28"/>
  <c r="AA56" i="28"/>
  <c r="F7" i="14"/>
  <c r="V345" i="28"/>
  <c r="W345" i="28" s="1"/>
  <c r="X345" i="28" s="1"/>
  <c r="R81" i="28"/>
  <c r="J689" i="28"/>
  <c r="AG340" i="28"/>
  <c r="AH340" i="28" s="1"/>
  <c r="AG140" i="28"/>
  <c r="AH140" i="28" s="1"/>
  <c r="R67" i="28"/>
  <c r="M60" i="28"/>
  <c r="I60" i="28"/>
  <c r="W475" i="28"/>
  <c r="X475" i="28" s="1"/>
  <c r="W474" i="28"/>
  <c r="X474" i="28" s="1"/>
  <c r="W253" i="28"/>
  <c r="X253" i="28" s="1"/>
  <c r="W252" i="28"/>
  <c r="X252" i="28" s="1"/>
  <c r="W250" i="28"/>
  <c r="X250" i="28" s="1"/>
  <c r="W164" i="28"/>
  <c r="X164" i="28" s="1"/>
  <c r="W165" i="28"/>
  <c r="X165" i="28" s="1"/>
  <c r="P182" i="3"/>
  <c r="P181" i="3"/>
  <c r="M91" i="3"/>
  <c r="O182" i="3"/>
  <c r="O181" i="3"/>
  <c r="N108" i="3"/>
  <c r="M108" i="3"/>
  <c r="M181" i="3"/>
  <c r="N47" i="3"/>
  <c r="AA182" i="3"/>
  <c r="F30" i="14"/>
  <c r="AA181" i="3"/>
  <c r="F29" i="14"/>
  <c r="N91" i="3"/>
  <c r="O47" i="3"/>
  <c r="M47" i="3"/>
  <c r="Q91" i="3"/>
  <c r="R182" i="3"/>
  <c r="R181" i="3"/>
  <c r="R184" i="3" s="1"/>
  <c r="Q182" i="3"/>
  <c r="Q15" i="28"/>
  <c r="I15" i="28"/>
  <c r="I49" i="28" s="1"/>
  <c r="R56" i="28"/>
  <c r="M15" i="28"/>
  <c r="M49" i="28" s="1"/>
  <c r="E15" i="28"/>
  <c r="E49" i="28" s="1"/>
  <c r="G60" i="28"/>
  <c r="M81" i="28"/>
  <c r="W105" i="3"/>
  <c r="X105" i="3" s="1"/>
  <c r="AB5" i="3"/>
  <c r="M51" i="28"/>
  <c r="E51" i="28"/>
  <c r="M50" i="28"/>
  <c r="E50" i="28"/>
  <c r="W144" i="3"/>
  <c r="X144" i="3" s="1"/>
  <c r="R66" i="3"/>
  <c r="R98" i="28" s="1"/>
  <c r="R100" i="28" s="1"/>
  <c r="R74" i="3"/>
  <c r="Q109" i="28"/>
  <c r="Q19" i="28" s="1"/>
  <c r="M84" i="28"/>
  <c r="W143" i="3"/>
  <c r="X143" i="3" s="1"/>
  <c r="W118" i="3"/>
  <c r="X118" i="3" s="1"/>
  <c r="W117" i="3"/>
  <c r="X117" i="3" s="1"/>
  <c r="V45" i="3"/>
  <c r="W45" i="3" s="1"/>
  <c r="X45" i="3" s="1"/>
  <c r="Q51" i="28"/>
  <c r="I51" i="28"/>
  <c r="Q74" i="28"/>
  <c r="I50" i="28"/>
  <c r="W125" i="3"/>
  <c r="X125" i="3" s="1"/>
  <c r="W116" i="3"/>
  <c r="X116" i="3" s="1"/>
  <c r="V44" i="3"/>
  <c r="W44" i="3" s="1"/>
  <c r="X44" i="3" s="1"/>
  <c r="Q81" i="28"/>
  <c r="V177" i="3"/>
  <c r="W177" i="3" s="1"/>
  <c r="X177" i="3" s="1"/>
  <c r="Q89" i="28"/>
  <c r="Q88" i="28"/>
  <c r="W97" i="3"/>
  <c r="X97" i="3" s="1"/>
  <c r="W127" i="3"/>
  <c r="X127" i="3" s="1"/>
  <c r="W107" i="3"/>
  <c r="X107" i="3" s="1"/>
  <c r="Q79" i="28"/>
  <c r="Q25" i="3"/>
  <c r="R631" i="28"/>
  <c r="H695" i="28"/>
  <c r="O325" i="28"/>
  <c r="O703" i="28"/>
  <c r="O168" i="3" s="1"/>
  <c r="O701" i="28"/>
  <c r="N698" i="28"/>
  <c r="F698" i="28"/>
  <c r="G697" i="28"/>
  <c r="P696" i="28"/>
  <c r="H696" i="28"/>
  <c r="O328" i="28"/>
  <c r="G703" i="28"/>
  <c r="G168" i="3" s="1"/>
  <c r="G169" i="3" s="1"/>
  <c r="G172" i="3" s="1"/>
  <c r="O702" i="28"/>
  <c r="G702" i="28"/>
  <c r="M191" i="28"/>
  <c r="J702" i="28"/>
  <c r="O698" i="28"/>
  <c r="G698" i="28"/>
  <c r="P697" i="28"/>
  <c r="H697" i="28"/>
  <c r="Q696" i="28"/>
  <c r="I696" i="28"/>
  <c r="AA548" i="28"/>
  <c r="Z704" i="28"/>
  <c r="K589" i="28"/>
  <c r="G588" i="28"/>
  <c r="I367" i="28"/>
  <c r="G500" i="28"/>
  <c r="K365" i="28"/>
  <c r="G276" i="28"/>
  <c r="R702" i="28"/>
  <c r="Q690" i="28"/>
  <c r="O689" i="28"/>
  <c r="G689" i="28"/>
  <c r="K501" i="28"/>
  <c r="O366" i="28"/>
  <c r="Z503" i="28"/>
  <c r="O502" i="28"/>
  <c r="Z279" i="28"/>
  <c r="P701" i="28"/>
  <c r="H701" i="28"/>
  <c r="N690" i="28"/>
  <c r="AA690" i="28"/>
  <c r="R689" i="28"/>
  <c r="K277" i="28"/>
  <c r="O590" i="28"/>
  <c r="S668" i="28"/>
  <c r="S672" i="28" s="1"/>
  <c r="S658" i="28"/>
  <c r="T655" i="28"/>
  <c r="I591" i="28"/>
  <c r="E590" i="28"/>
  <c r="L702" i="28"/>
  <c r="L701" i="28"/>
  <c r="E695" i="28"/>
  <c r="T444" i="28"/>
  <c r="Z367" i="28"/>
  <c r="E366" i="28"/>
  <c r="AD606" i="28"/>
  <c r="M606" i="28"/>
  <c r="M590" i="28"/>
  <c r="Q503" i="28"/>
  <c r="Q436" i="28"/>
  <c r="Q441" i="28" s="1"/>
  <c r="I365" i="28"/>
  <c r="AA698" i="28"/>
  <c r="J690" i="28"/>
  <c r="E588" i="28"/>
  <c r="M502" i="28"/>
  <c r="K436" i="28"/>
  <c r="K698" i="28"/>
  <c r="L697" i="28"/>
  <c r="M696" i="28"/>
  <c r="E696" i="28"/>
  <c r="F591" i="28"/>
  <c r="I501" i="28"/>
  <c r="I504" i="28" s="1"/>
  <c r="I506" i="28" s="1"/>
  <c r="AA65" i="28"/>
  <c r="I84" i="28"/>
  <c r="I81" i="28"/>
  <c r="Z79" i="28"/>
  <c r="I79" i="28"/>
  <c r="I636" i="28"/>
  <c r="E500" i="28"/>
  <c r="E504" i="28" s="1"/>
  <c r="E506" i="28" s="1"/>
  <c r="E155" i="28" s="1"/>
  <c r="I277" i="28"/>
  <c r="I89" i="28"/>
  <c r="I88" i="28"/>
  <c r="K704" i="28"/>
  <c r="M695" i="28"/>
  <c r="Z589" i="28"/>
  <c r="O588" i="28"/>
  <c r="O592" i="28" s="1"/>
  <c r="O594" i="28" s="1"/>
  <c r="O595" i="28" s="1"/>
  <c r="F503" i="28"/>
  <c r="Z365" i="28"/>
  <c r="S677" i="28"/>
  <c r="L703" i="28"/>
  <c r="L168" i="3" s="1"/>
  <c r="L169" i="3" s="1"/>
  <c r="L172" i="3" s="1"/>
  <c r="Q654" i="28"/>
  <c r="Q659" i="28" s="1"/>
  <c r="Q591" i="28"/>
  <c r="Z67" i="28"/>
  <c r="Z703" i="28"/>
  <c r="Z168" i="3" s="1"/>
  <c r="Z169" i="3" s="1"/>
  <c r="Z172" i="3" s="1"/>
  <c r="Z501" i="28"/>
  <c r="O500" i="28"/>
  <c r="O504" i="28" s="1"/>
  <c r="O506" i="28" s="1"/>
  <c r="T443" i="28"/>
  <c r="O382" i="28"/>
  <c r="E382" i="28"/>
  <c r="S663" i="28"/>
  <c r="S703" i="28" s="1"/>
  <c r="S168" i="3" s="1"/>
  <c r="S169" i="3" s="1"/>
  <c r="S172" i="3" s="1"/>
  <c r="Z702" i="28"/>
  <c r="Z701" i="28"/>
  <c r="Z698" i="28"/>
  <c r="AA696" i="28"/>
  <c r="L696" i="28"/>
  <c r="Z294" i="28"/>
  <c r="G518" i="28"/>
  <c r="T711" i="28"/>
  <c r="J518" i="28"/>
  <c r="T205" i="28"/>
  <c r="M548" i="28"/>
  <c r="M294" i="28"/>
  <c r="E240" i="28"/>
  <c r="T66" i="3"/>
  <c r="Q635" i="28"/>
  <c r="Q622" i="28"/>
  <c r="Q632" i="28" s="1"/>
  <c r="S299" i="28"/>
  <c r="O684" i="28"/>
  <c r="R654" i="28"/>
  <c r="R659" i="28" s="1"/>
  <c r="S656" i="28"/>
  <c r="J589" i="28"/>
  <c r="AA501" i="28"/>
  <c r="F500" i="28"/>
  <c r="V481" i="28"/>
  <c r="G367" i="28"/>
  <c r="S293" i="28"/>
  <c r="S22" i="28"/>
  <c r="S170" i="3" s="1"/>
  <c r="N278" i="28"/>
  <c r="G56" i="28"/>
  <c r="K702" i="28"/>
  <c r="G654" i="28"/>
  <c r="N502" i="28"/>
  <c r="Q500" i="28"/>
  <c r="Q704" i="28"/>
  <c r="I698" i="28"/>
  <c r="Q364" i="28"/>
  <c r="M240" i="28"/>
  <c r="Q45" i="28"/>
  <c r="R89" i="28"/>
  <c r="R88" i="28"/>
  <c r="K701" i="28"/>
  <c r="AA589" i="28"/>
  <c r="F588" i="28"/>
  <c r="G382" i="28"/>
  <c r="N366" i="28"/>
  <c r="F319" i="28"/>
  <c r="S451" i="28"/>
  <c r="F240" i="28"/>
  <c r="G79" i="28"/>
  <c r="R203" i="28"/>
  <c r="R206" i="28"/>
  <c r="AA643" i="28"/>
  <c r="F552" i="28"/>
  <c r="U523" i="28"/>
  <c r="G503" i="28"/>
  <c r="R450" i="28"/>
  <c r="J294" i="28"/>
  <c r="G84" i="28"/>
  <c r="G81" i="28"/>
  <c r="N590" i="28"/>
  <c r="Q588" i="28"/>
  <c r="J501" i="28"/>
  <c r="J365" i="28"/>
  <c r="S452" i="28"/>
  <c r="AA189" i="28"/>
  <c r="AA192" i="28" s="1"/>
  <c r="AA194" i="28" s="1"/>
  <c r="I45" i="28"/>
  <c r="G89" i="28"/>
  <c r="G88" i="28"/>
  <c r="H27" i="15"/>
  <c r="I27" i="15" s="1"/>
  <c r="J698" i="28"/>
  <c r="Z697" i="28"/>
  <c r="K697" i="28"/>
  <c r="M543" i="28"/>
  <c r="F364" i="28"/>
  <c r="F276" i="28"/>
  <c r="F280" i="28" s="1"/>
  <c r="F282" i="28" s="1"/>
  <c r="Q73" i="28"/>
  <c r="F45" i="28"/>
  <c r="H324" i="28"/>
  <c r="G606" i="28"/>
  <c r="H31" i="15"/>
  <c r="G591" i="28"/>
  <c r="M320" i="28"/>
  <c r="N206" i="28"/>
  <c r="J189" i="28"/>
  <c r="N12" i="15"/>
  <c r="O12" i="15" s="1"/>
  <c r="V162" i="28"/>
  <c r="R75" i="28"/>
  <c r="H21" i="15"/>
  <c r="I21" i="15" s="1"/>
  <c r="T18" i="15"/>
  <c r="U18" i="15" s="1"/>
  <c r="T12" i="15"/>
  <c r="U12" i="15" s="1"/>
  <c r="N18" i="15"/>
  <c r="O18" i="15" s="1"/>
  <c r="F18" i="15"/>
  <c r="F12" i="15"/>
  <c r="K29" i="14"/>
  <c r="K30" i="14"/>
  <c r="AT211" i="3"/>
  <c r="AT235" i="3" s="1"/>
  <c r="N74" i="3"/>
  <c r="AA66" i="3"/>
  <c r="F74" i="3"/>
  <c r="Q75" i="28"/>
  <c r="H66" i="3"/>
  <c r="H26" i="28" s="1"/>
  <c r="F50" i="28"/>
  <c r="AU211" i="3"/>
  <c r="AU235" i="3" s="1"/>
  <c r="F24" i="14"/>
  <c r="E33" i="3"/>
  <c r="E36" i="3" s="1"/>
  <c r="E51" i="3" s="1"/>
  <c r="M75" i="28"/>
  <c r="F108" i="3"/>
  <c r="F119" i="3" s="1"/>
  <c r="M74" i="28"/>
  <c r="P108" i="3"/>
  <c r="P119" i="3" s="1"/>
  <c r="P27" i="14" s="1"/>
  <c r="AV211" i="3"/>
  <c r="AV235" i="3" s="1"/>
  <c r="N181" i="3"/>
  <c r="I66" i="3"/>
  <c r="I26" i="28" s="1"/>
  <c r="H227" i="3"/>
  <c r="H231" i="3" s="1"/>
  <c r="N182" i="3"/>
  <c r="AA211" i="3"/>
  <c r="H182" i="3"/>
  <c r="H184" i="3" s="1"/>
  <c r="K74" i="3"/>
  <c r="L146" i="3"/>
  <c r="AJ211" i="3"/>
  <c r="AJ235" i="3" s="1"/>
  <c r="AJ237" i="3" s="1"/>
  <c r="G122" i="28"/>
  <c r="G35" i="28" s="1"/>
  <c r="G92" i="28" s="1"/>
  <c r="J74" i="3"/>
  <c r="I227" i="3"/>
  <c r="I231" i="3" s="1"/>
  <c r="E169" i="3"/>
  <c r="M182" i="3"/>
  <c r="M184" i="3" s="1"/>
  <c r="O146" i="3"/>
  <c r="P74" i="3"/>
  <c r="AR211" i="3"/>
  <c r="AR235" i="3" s="1"/>
  <c r="L66" i="3"/>
  <c r="L26" i="28" s="1"/>
  <c r="G33" i="3"/>
  <c r="G36" i="3" s="1"/>
  <c r="G39" i="3" s="1"/>
  <c r="F263" i="3"/>
  <c r="F274" i="3" s="1"/>
  <c r="F150" i="3" s="1"/>
  <c r="K214" i="3"/>
  <c r="K220" i="3" s="1"/>
  <c r="R108" i="3"/>
  <c r="R119" i="3" s="1"/>
  <c r="R27" i="14" s="1"/>
  <c r="O192" i="3"/>
  <c r="AN211" i="3"/>
  <c r="AN235" i="3" s="1"/>
  <c r="Z211" i="3"/>
  <c r="O184" i="3"/>
  <c r="Q108" i="3"/>
  <c r="Q119" i="3" s="1"/>
  <c r="Q27" i="14" s="1"/>
  <c r="I184" i="3"/>
  <c r="I33" i="3"/>
  <c r="I36" i="3" s="1"/>
  <c r="I74" i="28"/>
  <c r="R227" i="3"/>
  <c r="R231" i="3" s="1"/>
  <c r="J227" i="3"/>
  <c r="J231" i="3" s="1"/>
  <c r="E203" i="3"/>
  <c r="AA293" i="3"/>
  <c r="AA298" i="3" s="1"/>
  <c r="AB293" i="3" s="1"/>
  <c r="AB298" i="3" s="1"/>
  <c r="AC293" i="3" s="1"/>
  <c r="AC298" i="3" s="1"/>
  <c r="AD293" i="3" s="1"/>
  <c r="AD298" i="3" s="1"/>
  <c r="AE293" i="3" s="1"/>
  <c r="AE298" i="3" s="1"/>
  <c r="AK211" i="3"/>
  <c r="AK235" i="3" s="1"/>
  <c r="AK237" i="3" s="1"/>
  <c r="L184" i="3"/>
  <c r="AA244" i="3"/>
  <c r="AA246" i="3" s="1"/>
  <c r="AA148" i="3" s="1"/>
  <c r="G227" i="3"/>
  <c r="G231" i="3" s="1"/>
  <c r="K19" i="14"/>
  <c r="G203" i="3"/>
  <c r="M119" i="3"/>
  <c r="Q50" i="28"/>
  <c r="F227" i="3"/>
  <c r="F231" i="3" s="1"/>
  <c r="AA108" i="3"/>
  <c r="AA119" i="3" s="1"/>
  <c r="F27" i="14" s="1"/>
  <c r="L108" i="3"/>
  <c r="L119" i="3" s="1"/>
  <c r="N24" i="14"/>
  <c r="K184" i="3"/>
  <c r="Q146" i="3"/>
  <c r="G5" i="3"/>
  <c r="O33" i="3"/>
  <c r="O36" i="3" s="1"/>
  <c r="O51" i="3" s="1"/>
  <c r="Z60" i="28"/>
  <c r="Z33" i="3"/>
  <c r="Z36" i="3" s="1"/>
  <c r="Z39" i="3" s="1"/>
  <c r="R33" i="3"/>
  <c r="R36" i="3" s="1"/>
  <c r="L227" i="3"/>
  <c r="L231" i="3" s="1"/>
  <c r="H203" i="3"/>
  <c r="P203" i="3"/>
  <c r="R43" i="14"/>
  <c r="F293" i="3"/>
  <c r="F298" i="3" s="1"/>
  <c r="F153" i="3" s="1"/>
  <c r="K227" i="3"/>
  <c r="K231" i="3" s="1"/>
  <c r="O203" i="3"/>
  <c r="AW211" i="3"/>
  <c r="AW235" i="3" s="1"/>
  <c r="AO211" i="3"/>
  <c r="AO235" i="3" s="1"/>
  <c r="M146" i="3"/>
  <c r="E146" i="3"/>
  <c r="I108" i="3"/>
  <c r="I119" i="3" s="1"/>
  <c r="J214" i="3"/>
  <c r="J220" i="3" s="1"/>
  <c r="M203" i="3"/>
  <c r="J192" i="3"/>
  <c r="AM211" i="3"/>
  <c r="AM235" i="3" s="1"/>
  <c r="AM237" i="3" s="1"/>
  <c r="Q181" i="3"/>
  <c r="Q184" i="3" s="1"/>
  <c r="H146" i="3"/>
  <c r="F249" i="3"/>
  <c r="F260" i="3" s="1"/>
  <c r="P227" i="3"/>
  <c r="P231" i="3" s="1"/>
  <c r="M214" i="3"/>
  <c r="M220" i="3" s="1"/>
  <c r="L203" i="3"/>
  <c r="AL211" i="3"/>
  <c r="AL235" i="3" s="1"/>
  <c r="AL237" i="3" s="1"/>
  <c r="I146" i="3"/>
  <c r="O108" i="3"/>
  <c r="O119" i="3" s="1"/>
  <c r="O27" i="14" s="1"/>
  <c r="G108" i="3"/>
  <c r="G119" i="3" s="1"/>
  <c r="E91" i="3"/>
  <c r="K122" i="28"/>
  <c r="K35" i="28" s="1"/>
  <c r="O227" i="3"/>
  <c r="O231" i="3" s="1"/>
  <c r="I214" i="3"/>
  <c r="I220" i="3" s="1"/>
  <c r="L214" i="3"/>
  <c r="L220" i="3" s="1"/>
  <c r="R214" i="3"/>
  <c r="R220" i="3" s="1"/>
  <c r="R192" i="3"/>
  <c r="H192" i="3"/>
  <c r="N119" i="3"/>
  <c r="N27" i="14" s="1"/>
  <c r="AA5" i="3"/>
  <c r="J203" i="3"/>
  <c r="G192" i="3"/>
  <c r="E108" i="3"/>
  <c r="E119" i="3" s="1"/>
  <c r="Q64" i="3"/>
  <c r="Z146" i="3"/>
  <c r="K24" i="14"/>
  <c r="K23" i="14"/>
  <c r="AA263" i="3"/>
  <c r="AA274" i="3" s="1"/>
  <c r="AA150" i="3" s="1"/>
  <c r="P214" i="3"/>
  <c r="P220" i="3" s="1"/>
  <c r="I203" i="3"/>
  <c r="P192" i="3"/>
  <c r="AQ211" i="3"/>
  <c r="AQ235" i="3" s="1"/>
  <c r="I64" i="3"/>
  <c r="I103" i="28" s="1"/>
  <c r="AS211" i="3"/>
  <c r="AS235" i="3" s="1"/>
  <c r="AP211" i="3"/>
  <c r="AP235" i="3" s="1"/>
  <c r="K146" i="3"/>
  <c r="K108" i="3"/>
  <c r="K119" i="3" s="1"/>
  <c r="M33" i="3"/>
  <c r="M36" i="3" s="1"/>
  <c r="F5" i="3"/>
  <c r="H169" i="3"/>
  <c r="H172" i="3" s="1"/>
  <c r="I552" i="28"/>
  <c r="N518" i="28"/>
  <c r="R704" i="28"/>
  <c r="J704" i="28"/>
  <c r="K703" i="28"/>
  <c r="K168" i="3" s="1"/>
  <c r="K169" i="3" s="1"/>
  <c r="K172" i="3" s="1"/>
  <c r="AA436" i="28"/>
  <c r="AA441" i="28" s="1"/>
  <c r="Q367" i="28"/>
  <c r="I294" i="28"/>
  <c r="N122" i="28"/>
  <c r="N35" i="28" s="1"/>
  <c r="N16" i="14" s="1"/>
  <c r="K680" i="28"/>
  <c r="R701" i="28"/>
  <c r="J701" i="28"/>
  <c r="L636" i="28"/>
  <c r="I518" i="28"/>
  <c r="M500" i="28"/>
  <c r="S444" i="28"/>
  <c r="E416" i="28"/>
  <c r="M366" i="28"/>
  <c r="E364" i="28"/>
  <c r="T437" i="28"/>
  <c r="E276" i="28"/>
  <c r="G191" i="28"/>
  <c r="G192" i="28" s="1"/>
  <c r="G194" i="28" s="1"/>
  <c r="E606" i="28"/>
  <c r="F277" i="28"/>
  <c r="F191" i="28"/>
  <c r="F192" i="28" s="1"/>
  <c r="F194" i="28" s="1"/>
  <c r="F223" i="28" s="1"/>
  <c r="G73" i="28"/>
  <c r="K81" i="28"/>
  <c r="K79" i="28"/>
  <c r="S649" i="28"/>
  <c r="T661" i="28"/>
  <c r="N534" i="28"/>
  <c r="N544" i="28" s="1"/>
  <c r="T439" i="28"/>
  <c r="F122" i="28"/>
  <c r="F35" i="28" s="1"/>
  <c r="F92" i="28" s="1"/>
  <c r="F73" i="28"/>
  <c r="I704" i="28"/>
  <c r="Q698" i="28"/>
  <c r="Z690" i="28"/>
  <c r="I690" i="28"/>
  <c r="O654" i="28"/>
  <c r="O659" i="28" s="1"/>
  <c r="E632" i="28"/>
  <c r="AA590" i="28"/>
  <c r="Q548" i="28"/>
  <c r="T710" i="28"/>
  <c r="O696" i="28"/>
  <c r="G696" i="28"/>
  <c r="O695" i="28"/>
  <c r="G695" i="28"/>
  <c r="F367" i="28"/>
  <c r="O364" i="28"/>
  <c r="AA294" i="28"/>
  <c r="AA278" i="28"/>
  <c r="Q276" i="28"/>
  <c r="K84" i="28"/>
  <c r="K65" i="28"/>
  <c r="N51" i="28"/>
  <c r="T656" i="28"/>
  <c r="Z695" i="28"/>
  <c r="Q689" i="28"/>
  <c r="I689" i="28"/>
  <c r="T663" i="28"/>
  <c r="T703" i="28" s="1"/>
  <c r="T168" i="3" s="1"/>
  <c r="T169" i="3" s="1"/>
  <c r="T172" i="3" s="1"/>
  <c r="N548" i="28"/>
  <c r="N549" i="28" s="1"/>
  <c r="K454" i="28"/>
  <c r="K466" i="28" s="1"/>
  <c r="M702" i="28"/>
  <c r="E701" i="28"/>
  <c r="E206" i="28"/>
  <c r="P116" i="28"/>
  <c r="P30" i="28" s="1"/>
  <c r="P15" i="14" s="1"/>
  <c r="O116" i="28"/>
  <c r="O30" i="28" s="1"/>
  <c r="O15" i="14" s="1"/>
  <c r="R703" i="28"/>
  <c r="R168" i="3" s="1"/>
  <c r="R169" i="3" s="1"/>
  <c r="R172" i="3" s="1"/>
  <c r="J703" i="28"/>
  <c r="J168" i="3" s="1"/>
  <c r="J169" i="3" s="1"/>
  <c r="J172" i="3" s="1"/>
  <c r="K695" i="28"/>
  <c r="T680" i="28"/>
  <c r="AA366" i="28"/>
  <c r="P328" i="28"/>
  <c r="L45" i="28"/>
  <c r="K235" i="28"/>
  <c r="K237" i="28" s="1"/>
  <c r="K222" i="28"/>
  <c r="K232" i="28" s="1"/>
  <c r="G622" i="28"/>
  <c r="G639" i="28" s="1"/>
  <c r="G635" i="28"/>
  <c r="E712" i="28"/>
  <c r="L698" i="28"/>
  <c r="N697" i="28"/>
  <c r="T649" i="28"/>
  <c r="T671" i="28"/>
  <c r="J590" i="28"/>
  <c r="S578" i="28"/>
  <c r="R518" i="28"/>
  <c r="N503" i="28"/>
  <c r="R436" i="28"/>
  <c r="G436" i="28"/>
  <c r="G694" i="28" s="1"/>
  <c r="Q325" i="28"/>
  <c r="Q294" i="28"/>
  <c r="F294" i="28"/>
  <c r="T453" i="28"/>
  <c r="S211" i="28"/>
  <c r="O190" i="28"/>
  <c r="G116" i="28"/>
  <c r="G30" i="28" s="1"/>
  <c r="G87" i="28" s="1"/>
  <c r="F72" i="28"/>
  <c r="F51" i="28"/>
  <c r="AA45" i="28"/>
  <c r="M89" i="28"/>
  <c r="M88" i="28"/>
  <c r="AA81" i="28"/>
  <c r="M79" i="28"/>
  <c r="N15" i="28"/>
  <c r="N49" i="28" s="1"/>
  <c r="K636" i="28"/>
  <c r="N591" i="28"/>
  <c r="F518" i="28"/>
  <c r="Q454" i="28"/>
  <c r="Q462" i="28" s="1"/>
  <c r="G294" i="28"/>
  <c r="Q279" i="28"/>
  <c r="N236" i="28"/>
  <c r="S438" i="28"/>
  <c r="F206" i="28"/>
  <c r="Q35" i="28"/>
  <c r="Q16" i="14" s="1"/>
  <c r="M122" i="28"/>
  <c r="M35" i="28" s="1"/>
  <c r="AA104" i="28"/>
  <c r="AA14" i="28" s="1"/>
  <c r="F9" i="14" s="1"/>
  <c r="Q65" i="28"/>
  <c r="I73" i="28"/>
  <c r="K170" i="3"/>
  <c r="AA702" i="28"/>
  <c r="E702" i="28"/>
  <c r="J636" i="28"/>
  <c r="AA632" i="28"/>
  <c r="M518" i="28"/>
  <c r="E518" i="28"/>
  <c r="F501" i="28"/>
  <c r="H454" i="28"/>
  <c r="H462" i="28" s="1"/>
  <c r="Z689" i="28"/>
  <c r="K689" i="28"/>
  <c r="N367" i="28"/>
  <c r="M327" i="28"/>
  <c r="K319" i="28"/>
  <c r="Q277" i="28"/>
  <c r="N191" i="28"/>
  <c r="N192" i="28" s="1"/>
  <c r="N194" i="28" s="1"/>
  <c r="P122" i="28"/>
  <c r="P35" i="28" s="1"/>
  <c r="P16" i="14" s="1"/>
  <c r="L122" i="28"/>
  <c r="L35" i="28" s="1"/>
  <c r="J88" i="28"/>
  <c r="O712" i="28"/>
  <c r="G712" i="28"/>
  <c r="Q712" i="28"/>
  <c r="F606" i="28"/>
  <c r="S669" i="28"/>
  <c r="Q501" i="28"/>
  <c r="L695" i="28"/>
  <c r="F365" i="28"/>
  <c r="M364" i="28"/>
  <c r="G319" i="28"/>
  <c r="J278" i="28"/>
  <c r="E190" i="28"/>
  <c r="K116" i="28"/>
  <c r="K30" i="28" s="1"/>
  <c r="J89" i="28"/>
  <c r="R73" i="28"/>
  <c r="J65" i="28"/>
  <c r="T662" i="28"/>
  <c r="M701" i="28"/>
  <c r="M588" i="28"/>
  <c r="Q701" i="28"/>
  <c r="I701" i="28"/>
  <c r="P698" i="28"/>
  <c r="K696" i="28"/>
  <c r="M276" i="28"/>
  <c r="M280" i="28" s="1"/>
  <c r="M282" i="28" s="1"/>
  <c r="M153" i="28" s="1"/>
  <c r="Z206" i="28"/>
  <c r="AA712" i="28"/>
  <c r="R680" i="28"/>
  <c r="F589" i="28"/>
  <c r="F654" i="28"/>
  <c r="F659" i="28" s="1"/>
  <c r="F679" i="28" s="1"/>
  <c r="J502" i="28"/>
  <c r="N703" i="28"/>
  <c r="N168" i="3" s="1"/>
  <c r="N169" i="3" s="1"/>
  <c r="N172" i="3" s="1"/>
  <c r="F703" i="28"/>
  <c r="F168" i="3" s="1"/>
  <c r="F169" i="3" s="1"/>
  <c r="F172" i="3" s="1"/>
  <c r="P702" i="28"/>
  <c r="H702" i="28"/>
  <c r="J416" i="28"/>
  <c r="AD382" i="28"/>
  <c r="J366" i="28"/>
  <c r="J368" i="28" s="1"/>
  <c r="J370" i="28" s="1"/>
  <c r="Q365" i="28"/>
  <c r="M325" i="28"/>
  <c r="I319" i="28"/>
  <c r="I279" i="28"/>
  <c r="L240" i="28"/>
  <c r="J206" i="28"/>
  <c r="Z189" i="28"/>
  <c r="J67" i="28"/>
  <c r="M689" i="28"/>
  <c r="E689" i="28"/>
  <c r="F643" i="28"/>
  <c r="F632" i="28"/>
  <c r="Q589" i="28"/>
  <c r="J552" i="28"/>
  <c r="S657" i="28"/>
  <c r="S697" i="28" s="1"/>
  <c r="AA502" i="28"/>
  <c r="L454" i="28"/>
  <c r="L462" i="28" s="1"/>
  <c r="AA703" i="28"/>
  <c r="AA168" i="3" s="1"/>
  <c r="AA169" i="3" s="1"/>
  <c r="AA172" i="3" s="1"/>
  <c r="P412" i="28"/>
  <c r="G329" i="28"/>
  <c r="G331" i="28" s="1"/>
  <c r="R294" i="28"/>
  <c r="Z116" i="28"/>
  <c r="Z30" i="28" s="1"/>
  <c r="K325" i="28"/>
  <c r="I235" i="28"/>
  <c r="I222" i="28"/>
  <c r="I232" i="28" s="1"/>
  <c r="J116" i="28"/>
  <c r="J30" i="28" s="1"/>
  <c r="J87" i="28" s="1"/>
  <c r="R170" i="3"/>
  <c r="G170" i="3"/>
  <c r="O697" i="28"/>
  <c r="AA704" i="28"/>
  <c r="G659" i="28"/>
  <c r="G674" i="28" s="1"/>
  <c r="K690" i="28"/>
  <c r="Q631" i="28"/>
  <c r="AA606" i="28"/>
  <c r="F528" i="28"/>
  <c r="F534" i="28" s="1"/>
  <c r="N436" i="28"/>
  <c r="N441" i="28" s="1"/>
  <c r="N447" i="28" s="1"/>
  <c r="N411" i="28"/>
  <c r="R382" i="28"/>
  <c r="K328" i="28"/>
  <c r="K329" i="28" s="1"/>
  <c r="K331" i="28" s="1"/>
  <c r="F291" i="28"/>
  <c r="K240" i="28"/>
  <c r="H122" i="28"/>
  <c r="H35" i="28" s="1"/>
  <c r="N116" i="28"/>
  <c r="N30" i="28" s="1"/>
  <c r="N15" i="14" s="1"/>
  <c r="E116" i="28"/>
  <c r="E30" i="28" s="1"/>
  <c r="J84" i="28"/>
  <c r="J81" i="28"/>
  <c r="J79" i="28"/>
  <c r="I75" i="28"/>
  <c r="G74" i="28"/>
  <c r="G543" i="28"/>
  <c r="Z712" i="28"/>
  <c r="N712" i="28"/>
  <c r="F712" i="28"/>
  <c r="E680" i="28"/>
  <c r="L704" i="28"/>
  <c r="Q518" i="28"/>
  <c r="J500" i="28"/>
  <c r="I454" i="28"/>
  <c r="I462" i="28" s="1"/>
  <c r="T407" i="28"/>
  <c r="AF408" i="28"/>
  <c r="Z382" i="28"/>
  <c r="O276" i="28"/>
  <c r="H116" i="28"/>
  <c r="H30" i="28" s="1"/>
  <c r="Z88" i="28"/>
  <c r="G75" i="28"/>
  <c r="AA72" i="28"/>
  <c r="M65" i="28"/>
  <c r="G45" i="28"/>
  <c r="N84" i="28"/>
  <c r="N81" i="28"/>
  <c r="L680" i="28"/>
  <c r="L681" i="28" s="1"/>
  <c r="R640" i="28"/>
  <c r="G590" i="28"/>
  <c r="N589" i="28"/>
  <c r="AA588" i="28"/>
  <c r="J588" i="28"/>
  <c r="K518" i="28"/>
  <c r="N501" i="28"/>
  <c r="AA500" i="28"/>
  <c r="S459" i="28"/>
  <c r="P454" i="28"/>
  <c r="P462" i="28" s="1"/>
  <c r="Z416" i="28"/>
  <c r="N407" i="28"/>
  <c r="T408" i="28"/>
  <c r="J324" i="28"/>
  <c r="J325" i="28" s="1"/>
  <c r="O320" i="28"/>
  <c r="K320" i="28"/>
  <c r="R291" i="28"/>
  <c r="T452" i="28"/>
  <c r="M190" i="28"/>
  <c r="M192" i="28" s="1"/>
  <c r="M194" i="28" s="1"/>
  <c r="R35" i="28"/>
  <c r="R16" i="14" s="1"/>
  <c r="AA122" i="28"/>
  <c r="AA35" i="28" s="1"/>
  <c r="F16" i="14" s="1"/>
  <c r="AA73" i="28"/>
  <c r="I56" i="28"/>
  <c r="E75" i="28"/>
  <c r="R697" i="28"/>
  <c r="J697" i="28"/>
  <c r="Z696" i="28"/>
  <c r="F631" i="28"/>
  <c r="K591" i="28"/>
  <c r="K515" i="28"/>
  <c r="G502" i="28"/>
  <c r="G434" i="28"/>
  <c r="P704" i="28"/>
  <c r="Q291" i="28"/>
  <c r="F116" i="28"/>
  <c r="F30" i="28" s="1"/>
  <c r="F87" i="28" s="1"/>
  <c r="Z73" i="28"/>
  <c r="Z75" i="28"/>
  <c r="Z74" i="28"/>
  <c r="G652" i="28"/>
  <c r="Z552" i="28"/>
  <c r="Z543" i="28"/>
  <c r="K503" i="28"/>
  <c r="K504" i="28" s="1"/>
  <c r="K506" i="28" s="1"/>
  <c r="K155" i="28" s="1"/>
  <c r="O454" i="28"/>
  <c r="G454" i="28"/>
  <c r="G466" i="28" s="1"/>
  <c r="I416" i="28"/>
  <c r="Q694" i="28"/>
  <c r="F328" i="28"/>
  <c r="F329" i="28" s="1"/>
  <c r="F331" i="28" s="1"/>
  <c r="Q319" i="28"/>
  <c r="R454" i="28"/>
  <c r="AA240" i="28"/>
  <c r="J231" i="28"/>
  <c r="I206" i="28"/>
  <c r="K191" i="28"/>
  <c r="Z89" i="28"/>
  <c r="Z81" i="28"/>
  <c r="AA79" i="28"/>
  <c r="AA75" i="28"/>
  <c r="AA74" i="28"/>
  <c r="G72" i="28"/>
  <c r="I67" i="28"/>
  <c r="O45" i="28"/>
  <c r="AA89" i="28"/>
  <c r="AA88" i="28"/>
  <c r="AA84" i="28"/>
  <c r="Z80" i="28"/>
  <c r="R30" i="28"/>
  <c r="R15" i="14" s="1"/>
  <c r="M712" i="28"/>
  <c r="I684" i="28"/>
  <c r="S680" i="28"/>
  <c r="AA695" i="28"/>
  <c r="J606" i="28"/>
  <c r="S523" i="28"/>
  <c r="S528" i="28" s="1"/>
  <c r="H416" i="28"/>
  <c r="G366" i="28"/>
  <c r="G368" i="28" s="1"/>
  <c r="G370" i="28" s="1"/>
  <c r="E329" i="28"/>
  <c r="E331" i="28" s="1"/>
  <c r="AA324" i="28"/>
  <c r="G324" i="28"/>
  <c r="G325" i="28" s="1"/>
  <c r="Q310" i="28"/>
  <c r="Q320" i="28" s="1"/>
  <c r="Z240" i="28"/>
  <c r="T438" i="28"/>
  <c r="Z104" i="28"/>
  <c r="Z14" i="28" s="1"/>
  <c r="Z84" i="28"/>
  <c r="Z56" i="28"/>
  <c r="K89" i="28"/>
  <c r="Z594" i="28"/>
  <c r="Z156" i="28" s="1"/>
  <c r="T669" i="28"/>
  <c r="N434" i="28"/>
  <c r="AA689" i="28"/>
  <c r="K382" i="28"/>
  <c r="N365" i="28"/>
  <c r="Z324" i="28"/>
  <c r="J319" i="28"/>
  <c r="O236" i="28"/>
  <c r="Z368" i="28"/>
  <c r="Z370" i="28" s="1"/>
  <c r="Z154" i="28" s="1"/>
  <c r="J122" i="28"/>
  <c r="J35" i="28" s="1"/>
  <c r="J92" i="28" s="1"/>
  <c r="R79" i="28"/>
  <c r="R684" i="28"/>
  <c r="G680" i="28"/>
  <c r="G684" i="28"/>
  <c r="I592" i="28"/>
  <c r="I594" i="28" s="1"/>
  <c r="I156" i="28" s="1"/>
  <c r="K534" i="28"/>
  <c r="K544" i="28" s="1"/>
  <c r="K547" i="28"/>
  <c r="K543" i="28"/>
  <c r="L689" i="28"/>
  <c r="O407" i="28"/>
  <c r="O411" i="28"/>
  <c r="O398" i="28"/>
  <c r="O415" i="28" s="1"/>
  <c r="O417" i="28" s="1"/>
  <c r="O419" i="28" s="1"/>
  <c r="E392" i="28"/>
  <c r="E436" i="28"/>
  <c r="M222" i="28"/>
  <c r="M239" i="28" s="1"/>
  <c r="M241" i="28" s="1"/>
  <c r="M243" i="28" s="1"/>
  <c r="M235" i="28"/>
  <c r="M237" i="28" s="1"/>
  <c r="M231" i="28"/>
  <c r="J515" i="28"/>
  <c r="R466" i="28"/>
  <c r="R462" i="28"/>
  <c r="K712" i="28"/>
  <c r="L684" i="28"/>
  <c r="L685" i="28" s="1"/>
  <c r="J454" i="28"/>
  <c r="AA454" i="28"/>
  <c r="AA466" i="28" s="1"/>
  <c r="L324" i="28"/>
  <c r="L325" i="28" s="1"/>
  <c r="L328" i="28"/>
  <c r="L329" i="28" s="1"/>
  <c r="L320" i="28"/>
  <c r="I603" i="28"/>
  <c r="I606" i="28"/>
  <c r="P680" i="28"/>
  <c r="P684" i="28"/>
  <c r="M680" i="28"/>
  <c r="R622" i="28"/>
  <c r="R635" i="28"/>
  <c r="R637" i="28" s="1"/>
  <c r="K441" i="28"/>
  <c r="O680" i="28"/>
  <c r="N654" i="28"/>
  <c r="N616" i="28"/>
  <c r="J534" i="28"/>
  <c r="J547" i="28"/>
  <c r="J549" i="28" s="1"/>
  <c r="J543" i="28"/>
  <c r="AA518" i="28"/>
  <c r="AA515" i="28"/>
  <c r="P236" i="28"/>
  <c r="P240" i="28"/>
  <c r="H712" i="28"/>
  <c r="R712" i="28"/>
  <c r="O534" i="28"/>
  <c r="O547" i="28"/>
  <c r="O549" i="28" s="1"/>
  <c r="F697" i="28"/>
  <c r="M636" i="28"/>
  <c r="M640" i="28"/>
  <c r="E631" i="28"/>
  <c r="S548" i="28"/>
  <c r="S552" i="28"/>
  <c r="K552" i="28"/>
  <c r="K548" i="28"/>
  <c r="S711" i="28"/>
  <c r="S671" i="28"/>
  <c r="O462" i="28"/>
  <c r="O466" i="28"/>
  <c r="T684" i="28"/>
  <c r="Q680" i="28"/>
  <c r="Q684" i="28"/>
  <c r="I680" i="28"/>
  <c r="K684" i="28"/>
  <c r="AA654" i="28"/>
  <c r="S650" i="28"/>
  <c r="N640" i="28"/>
  <c r="H632" i="28"/>
  <c r="AA631" i="28"/>
  <c r="R553" i="28"/>
  <c r="Z518" i="28"/>
  <c r="N454" i="28"/>
  <c r="N466" i="28" s="1"/>
  <c r="F436" i="28"/>
  <c r="T446" i="28"/>
  <c r="O412" i="28"/>
  <c r="H320" i="28"/>
  <c r="H327" i="28"/>
  <c r="H329" i="28" s="1"/>
  <c r="P712" i="28"/>
  <c r="I712" i="28"/>
  <c r="J680" i="28"/>
  <c r="Z654" i="28"/>
  <c r="Z659" i="28" s="1"/>
  <c r="Q636" i="28"/>
  <c r="Z631" i="28"/>
  <c r="O616" i="28"/>
  <c r="K654" i="28"/>
  <c r="K659" i="28" s="1"/>
  <c r="K679" i="28" s="1"/>
  <c r="K681" i="28" s="1"/>
  <c r="H552" i="28"/>
  <c r="L548" i="28"/>
  <c r="M454" i="28"/>
  <c r="M466" i="28" s="1"/>
  <c r="M412" i="28"/>
  <c r="AF407" i="28"/>
  <c r="G412" i="28"/>
  <c r="G416" i="28"/>
  <c r="M392" i="28"/>
  <c r="M436" i="28"/>
  <c r="M367" i="28"/>
  <c r="O329" i="28"/>
  <c r="O331" i="28" s="1"/>
  <c r="AA320" i="28"/>
  <c r="AA327" i="28"/>
  <c r="AA329" i="28" s="1"/>
  <c r="AA331" i="28" s="1"/>
  <c r="Z304" i="28"/>
  <c r="Z436" i="28"/>
  <c r="O89" i="28"/>
  <c r="G552" i="28"/>
  <c r="AA203" i="28"/>
  <c r="AA206" i="28"/>
  <c r="Z190" i="28"/>
  <c r="Z278" i="28"/>
  <c r="Z280" i="28" s="1"/>
  <c r="Z282" i="28" s="1"/>
  <c r="I366" i="28"/>
  <c r="I368" i="28" s="1"/>
  <c r="I370" i="28" s="1"/>
  <c r="I190" i="28"/>
  <c r="I192" i="28" s="1"/>
  <c r="I194" i="28" s="1"/>
  <c r="O189" i="28"/>
  <c r="O277" i="28"/>
  <c r="O365" i="28"/>
  <c r="E189" i="28"/>
  <c r="E277" i="28"/>
  <c r="E280" i="28" s="1"/>
  <c r="E282" i="28" s="1"/>
  <c r="E365" i="28"/>
  <c r="K364" i="28"/>
  <c r="K276" i="28"/>
  <c r="K188" i="28"/>
  <c r="Q72" i="28"/>
  <c r="Q49" i="28"/>
  <c r="O72" i="28"/>
  <c r="O74" i="28"/>
  <c r="O84" i="28"/>
  <c r="O65" i="28"/>
  <c r="O81" i="28"/>
  <c r="O73" i="28"/>
  <c r="O79" i="28"/>
  <c r="O67" i="28"/>
  <c r="O88" i="28"/>
  <c r="E56" i="28"/>
  <c r="E74" i="28"/>
  <c r="E84" i="28"/>
  <c r="E81" i="28"/>
  <c r="E79" i="28"/>
  <c r="I65" i="28"/>
  <c r="E67" i="28"/>
  <c r="Q382" i="28"/>
  <c r="J379" i="28"/>
  <c r="J382" i="28"/>
  <c r="O291" i="28"/>
  <c r="O294" i="28"/>
  <c r="I122" i="28"/>
  <c r="I35" i="28" s="1"/>
  <c r="O75" i="28"/>
  <c r="E89" i="28"/>
  <c r="E88" i="28"/>
  <c r="AA80" i="28"/>
  <c r="AA52" i="28"/>
  <c r="AA53" i="28" s="1"/>
  <c r="K51" i="28"/>
  <c r="K75" i="28"/>
  <c r="K50" i="28"/>
  <c r="K74" i="28"/>
  <c r="Z15" i="28"/>
  <c r="Z72" i="28" s="1"/>
  <c r="Z45" i="28"/>
  <c r="K15" i="28"/>
  <c r="K73" i="28"/>
  <c r="K45" i="28"/>
  <c r="O606" i="28"/>
  <c r="Z606" i="28"/>
  <c r="N543" i="28"/>
  <c r="O518" i="28"/>
  <c r="Q392" i="28"/>
  <c r="Q398" i="28" s="1"/>
  <c r="Q408" i="28" s="1"/>
  <c r="I379" i="28"/>
  <c r="I382" i="28"/>
  <c r="G206" i="28"/>
  <c r="Q30" i="28"/>
  <c r="Q15" i="14" s="1"/>
  <c r="Q21" i="14" s="1"/>
  <c r="T636" i="28"/>
  <c r="T657" i="28"/>
  <c r="N606" i="28"/>
  <c r="K606" i="28"/>
  <c r="G547" i="28"/>
  <c r="G549" i="28" s="1"/>
  <c r="K407" i="28"/>
  <c r="K416" i="28"/>
  <c r="K398" i="28"/>
  <c r="K411" i="28"/>
  <c r="G441" i="28"/>
  <c r="G447" i="28" s="1"/>
  <c r="O436" i="28"/>
  <c r="O216" i="28"/>
  <c r="S655" i="28"/>
  <c r="S695" i="28" s="1"/>
  <c r="F398" i="28"/>
  <c r="F415" i="28" s="1"/>
  <c r="F411" i="28"/>
  <c r="F407" i="28"/>
  <c r="F382" i="28"/>
  <c r="E319" i="28"/>
  <c r="E320" i="28"/>
  <c r="E324" i="28"/>
  <c r="E325" i="28" s="1"/>
  <c r="Q236" i="28"/>
  <c r="Q240" i="28"/>
  <c r="I231" i="28"/>
  <c r="I236" i="28"/>
  <c r="K367" i="28"/>
  <c r="H325" i="28"/>
  <c r="O319" i="28"/>
  <c r="S443" i="28"/>
  <c r="S701" i="28" s="1"/>
  <c r="N294" i="28"/>
  <c r="G278" i="28"/>
  <c r="R240" i="28"/>
  <c r="J240" i="28"/>
  <c r="K231" i="28"/>
  <c r="S229" i="28"/>
  <c r="S240" i="28" s="1"/>
  <c r="O122" i="28"/>
  <c r="O35" i="28" s="1"/>
  <c r="O16" i="14" s="1"/>
  <c r="L116" i="28"/>
  <c r="L30" i="28" s="1"/>
  <c r="N88" i="28"/>
  <c r="J74" i="28"/>
  <c r="E73" i="28"/>
  <c r="Z52" i="28"/>
  <c r="Z53" i="28" s="1"/>
  <c r="E294" i="28"/>
  <c r="N67" i="28"/>
  <c r="F690" i="28"/>
  <c r="F324" i="28"/>
  <c r="F325" i="28" s="1"/>
  <c r="G320" i="28"/>
  <c r="K294" i="28"/>
  <c r="J235" i="28"/>
  <c r="J237" i="28" s="1"/>
  <c r="M206" i="28"/>
  <c r="K206" i="28"/>
  <c r="Q206" i="28"/>
  <c r="J188" i="28"/>
  <c r="J192" i="28" s="1"/>
  <c r="J194" i="28" s="1"/>
  <c r="Z122" i="28"/>
  <c r="Z35" i="28" s="1"/>
  <c r="E122" i="28"/>
  <c r="E35" i="28" s="1"/>
  <c r="K88" i="28"/>
  <c r="N79" i="28"/>
  <c r="J75" i="28"/>
  <c r="R74" i="28"/>
  <c r="N73" i="28"/>
  <c r="F454" i="28"/>
  <c r="F466" i="28" s="1"/>
  <c r="AA364" i="28"/>
  <c r="AA368" i="28" s="1"/>
  <c r="AA370" i="28" s="1"/>
  <c r="F320" i="28"/>
  <c r="N277" i="28"/>
  <c r="AA276" i="28"/>
  <c r="AA280" i="28" s="1"/>
  <c r="AA282" i="28" s="1"/>
  <c r="J276" i="28"/>
  <c r="O206" i="28"/>
  <c r="I116" i="28"/>
  <c r="I30" i="28" s="1"/>
  <c r="N89" i="28"/>
  <c r="M73" i="28"/>
  <c r="K67" i="28"/>
  <c r="H45" i="28"/>
  <c r="AA323" i="28"/>
  <c r="AA325" i="28" s="1"/>
  <c r="N65" i="28"/>
  <c r="AA319" i="28"/>
  <c r="N74" i="28"/>
  <c r="AA151" i="3"/>
  <c r="AB277" i="3"/>
  <c r="AB283" i="3" s="1"/>
  <c r="AC277" i="3" s="1"/>
  <c r="AC283" i="3" s="1"/>
  <c r="AD277" i="3" s="1"/>
  <c r="AD283" i="3" s="1"/>
  <c r="R47" i="3"/>
  <c r="K91" i="3"/>
  <c r="L23" i="28"/>
  <c r="L64" i="3"/>
  <c r="L103" i="28" s="1"/>
  <c r="L104" i="28" s="1"/>
  <c r="L14" i="28" s="1"/>
  <c r="K20" i="14"/>
  <c r="F203" i="3"/>
  <c r="H64" i="3"/>
  <c r="H103" i="28" s="1"/>
  <c r="H104" i="28" s="1"/>
  <c r="H14" i="28" s="1"/>
  <c r="E25" i="28"/>
  <c r="E107" i="28"/>
  <c r="H52" i="28"/>
  <c r="G23" i="28"/>
  <c r="G64" i="3"/>
  <c r="G103" i="28" s="1"/>
  <c r="G104" i="28" s="1"/>
  <c r="G14" i="28" s="1"/>
  <c r="O214" i="3"/>
  <c r="O220" i="3" s="1"/>
  <c r="H119" i="3"/>
  <c r="R27" i="28"/>
  <c r="R84" i="28" s="1"/>
  <c r="Q151" i="3"/>
  <c r="R277" i="3"/>
  <c r="R283" i="3" s="1"/>
  <c r="L192" i="3"/>
  <c r="E47" i="3"/>
  <c r="K192" i="3"/>
  <c r="R203" i="3"/>
  <c r="M192" i="3"/>
  <c r="M23" i="28"/>
  <c r="M64" i="3"/>
  <c r="M103" i="28" s="1"/>
  <c r="Z66" i="3"/>
  <c r="Z74" i="3"/>
  <c r="E66" i="3"/>
  <c r="E74" i="3"/>
  <c r="M227" i="3"/>
  <c r="M231" i="3" s="1"/>
  <c r="I192" i="3"/>
  <c r="J184" i="3"/>
  <c r="J146" i="3"/>
  <c r="Q66" i="3"/>
  <c r="Q98" i="28" s="1"/>
  <c r="Q74" i="3"/>
  <c r="AA249" i="3"/>
  <c r="AA260" i="3" s="1"/>
  <c r="F244" i="3"/>
  <c r="F246" i="3" s="1"/>
  <c r="Q47" i="3"/>
  <c r="K203" i="3"/>
  <c r="F192" i="3"/>
  <c r="P25" i="28"/>
  <c r="P107" i="28"/>
  <c r="P109" i="28" s="1"/>
  <c r="P19" i="28" s="1"/>
  <c r="Z25" i="28"/>
  <c r="Z82" i="28" s="1"/>
  <c r="Z107" i="28"/>
  <c r="Z109" i="28" s="1"/>
  <c r="Z19" i="28" s="1"/>
  <c r="Z76" i="28" s="1"/>
  <c r="P47" i="3"/>
  <c r="E214" i="3"/>
  <c r="E220" i="3" s="1"/>
  <c r="E192" i="3"/>
  <c r="P26" i="28"/>
  <c r="P98" i="28"/>
  <c r="N25" i="28"/>
  <c r="N82" i="28" s="1"/>
  <c r="N107" i="28"/>
  <c r="N109" i="28" s="1"/>
  <c r="N19" i="28" s="1"/>
  <c r="N76" i="28" s="1"/>
  <c r="M66" i="3"/>
  <c r="M74" i="3"/>
  <c r="P33" i="3"/>
  <c r="P36" i="3" s="1"/>
  <c r="E227" i="3"/>
  <c r="E231" i="3" s="1"/>
  <c r="F214" i="3"/>
  <c r="F220" i="3" s="1"/>
  <c r="R91" i="3"/>
  <c r="Q52" i="28"/>
  <c r="Q80" i="28"/>
  <c r="Z108" i="3"/>
  <c r="Z119" i="3" s="1"/>
  <c r="Z181" i="3"/>
  <c r="E154" i="3"/>
  <c r="P23" i="28"/>
  <c r="P64" i="3"/>
  <c r="P103" i="28" s="1"/>
  <c r="P104" i="28" s="1"/>
  <c r="P14" i="28" s="1"/>
  <c r="P9" i="14" s="1"/>
  <c r="R146" i="3"/>
  <c r="F286" i="3"/>
  <c r="F290" i="3" s="1"/>
  <c r="Z154" i="3"/>
  <c r="P91" i="3"/>
  <c r="O23" i="28"/>
  <c r="O64" i="3"/>
  <c r="O103" i="28" s="1"/>
  <c r="O104" i="28" s="1"/>
  <c r="O14" i="28" s="1"/>
  <c r="O9" i="14" s="1"/>
  <c r="M25" i="28"/>
  <c r="M107" i="28"/>
  <c r="M73" i="3"/>
  <c r="L33" i="3"/>
  <c r="L36" i="3" s="1"/>
  <c r="AA286" i="3"/>
  <c r="AA290" i="3" s="1"/>
  <c r="O91" i="3"/>
  <c r="O169" i="3"/>
  <c r="O172" i="3" s="1"/>
  <c r="N23" i="28"/>
  <c r="N64" i="3"/>
  <c r="N103" i="28" s="1"/>
  <c r="N104" i="28" s="1"/>
  <c r="N14" i="28" s="1"/>
  <c r="N9" i="14" s="1"/>
  <c r="G146" i="3"/>
  <c r="G179" i="3"/>
  <c r="P146" i="3"/>
  <c r="F26" i="28"/>
  <c r="F83" i="28" s="1"/>
  <c r="F98" i="28"/>
  <c r="F100" i="28" s="1"/>
  <c r="F11" i="28" s="1"/>
  <c r="K23" i="28"/>
  <c r="K64" i="3"/>
  <c r="K103" i="28" s="1"/>
  <c r="K104" i="28" s="1"/>
  <c r="K14" i="28" s="1"/>
  <c r="AA60" i="28"/>
  <c r="AA33" i="3"/>
  <c r="AA36" i="3" s="1"/>
  <c r="J52" i="28"/>
  <c r="J80" i="28"/>
  <c r="R25" i="28"/>
  <c r="R82" i="28" s="1"/>
  <c r="R19" i="28"/>
  <c r="R76" i="28" s="1"/>
  <c r="O25" i="28"/>
  <c r="O82" i="28" s="1"/>
  <c r="O107" i="28"/>
  <c r="O109" i="28" s="1"/>
  <c r="O19" i="28" s="1"/>
  <c r="O76" i="28" s="1"/>
  <c r="O66" i="3"/>
  <c r="O74" i="3"/>
  <c r="N33" i="3"/>
  <c r="N36" i="3" s="1"/>
  <c r="J654" i="28"/>
  <c r="J659" i="28" s="1"/>
  <c r="J616" i="28"/>
  <c r="N382" i="28"/>
  <c r="N379" i="28"/>
  <c r="I52" i="28"/>
  <c r="I80" i="28"/>
  <c r="R26" i="28"/>
  <c r="R83" i="28" s="1"/>
  <c r="J64" i="3"/>
  <c r="J103" i="28" s="1"/>
  <c r="J104" i="28" s="1"/>
  <c r="J14" i="28" s="1"/>
  <c r="F52" i="28"/>
  <c r="F80" i="28"/>
  <c r="J108" i="3"/>
  <c r="J119" i="3" s="1"/>
  <c r="F64" i="3"/>
  <c r="F103" i="28" s="1"/>
  <c r="F104" i="28" s="1"/>
  <c r="F14" i="28" s="1"/>
  <c r="H217" i="3"/>
  <c r="H214" i="3" s="1"/>
  <c r="H220" i="3" s="1"/>
  <c r="E23" i="28"/>
  <c r="E64" i="3"/>
  <c r="E103" i="28" s="1"/>
  <c r="F146" i="3"/>
  <c r="K26" i="28"/>
  <c r="K83" i="28" s="1"/>
  <c r="K98" i="28"/>
  <c r="K100" i="28" s="1"/>
  <c r="K11" i="28" s="1"/>
  <c r="K25" i="28"/>
  <c r="K82" i="28" s="1"/>
  <c r="K107" i="28"/>
  <c r="K109" i="28" s="1"/>
  <c r="K19" i="28" s="1"/>
  <c r="K76" i="28" s="1"/>
  <c r="G217" i="3"/>
  <c r="J26" i="28"/>
  <c r="J83" i="28" s="1"/>
  <c r="J98" i="28"/>
  <c r="J100" i="28" s="1"/>
  <c r="J11" i="28" s="1"/>
  <c r="J107" i="28"/>
  <c r="J109" i="28" s="1"/>
  <c r="J19" i="28" s="1"/>
  <c r="J76" i="28" s="1"/>
  <c r="J25" i="28"/>
  <c r="J82" i="28" s="1"/>
  <c r="I25" i="28"/>
  <c r="I107" i="28"/>
  <c r="AA146" i="3"/>
  <c r="N146" i="3"/>
  <c r="H25" i="28"/>
  <c r="H107" i="28"/>
  <c r="H109" i="28" s="1"/>
  <c r="H19" i="28" s="1"/>
  <c r="R23" i="28"/>
  <c r="R52" i="28" s="1"/>
  <c r="R64" i="3"/>
  <c r="G25" i="28"/>
  <c r="G82" i="28" s="1"/>
  <c r="G107" i="28"/>
  <c r="G109" i="28" s="1"/>
  <c r="G19" i="28" s="1"/>
  <c r="G76" i="28" s="1"/>
  <c r="G66" i="3"/>
  <c r="G74" i="3"/>
  <c r="N680" i="28"/>
  <c r="N684" i="28"/>
  <c r="Q603" i="28"/>
  <c r="Q606" i="28"/>
  <c r="I98" i="28"/>
  <c r="Q25" i="28"/>
  <c r="H684" i="28"/>
  <c r="H680" i="28"/>
  <c r="J684" i="28"/>
  <c r="K33" i="3"/>
  <c r="K36" i="3" s="1"/>
  <c r="AC6" i="3"/>
  <c r="AA684" i="28"/>
  <c r="AA680" i="28"/>
  <c r="F684" i="28"/>
  <c r="F680" i="28"/>
  <c r="S629" i="28"/>
  <c r="S636" i="28" s="1"/>
  <c r="S710" i="28"/>
  <c r="S670" i="28"/>
  <c r="L25" i="28"/>
  <c r="L107" i="28"/>
  <c r="L109" i="28" s="1"/>
  <c r="L19" i="28" s="1"/>
  <c r="L712" i="28"/>
  <c r="H33" i="3"/>
  <c r="H36" i="3" s="1"/>
  <c r="I6" i="3"/>
  <c r="H5" i="3"/>
  <c r="J712" i="28"/>
  <c r="F33" i="3"/>
  <c r="F36" i="3" s="1"/>
  <c r="N26" i="28"/>
  <c r="N83" i="28" s="1"/>
  <c r="N98" i="28"/>
  <c r="N100" i="28" s="1"/>
  <c r="N11" i="28" s="1"/>
  <c r="AA25" i="28"/>
  <c r="AA82" i="28" s="1"/>
  <c r="AA107" i="28"/>
  <c r="AA109" i="28" s="1"/>
  <c r="AA19" i="28" s="1"/>
  <c r="AA76" i="28" s="1"/>
  <c r="F25" i="28"/>
  <c r="F82" i="28" s="1"/>
  <c r="F107" i="28"/>
  <c r="F109" i="28" s="1"/>
  <c r="F19" i="28" s="1"/>
  <c r="F76" i="28" s="1"/>
  <c r="Z684" i="28"/>
  <c r="E684" i="28"/>
  <c r="S684" i="28"/>
  <c r="R606" i="28"/>
  <c r="R603" i="28"/>
  <c r="R543" i="28"/>
  <c r="R544" i="28"/>
  <c r="Q543" i="28"/>
  <c r="Q547" i="28"/>
  <c r="Z398" i="28"/>
  <c r="Z411" i="28"/>
  <c r="Z413" i="28" s="1"/>
  <c r="Z407" i="28"/>
  <c r="Z680" i="28"/>
  <c r="O543" i="28"/>
  <c r="O552" i="28"/>
  <c r="Q534" i="28"/>
  <c r="AA231" i="28"/>
  <c r="AA235" i="28"/>
  <c r="AA237" i="28" s="1"/>
  <c r="AA222" i="28"/>
  <c r="M684" i="28"/>
  <c r="G544" i="28"/>
  <c r="G551" i="28"/>
  <c r="H640" i="28"/>
  <c r="H641" i="28" s="1"/>
  <c r="H636" i="28"/>
  <c r="T548" i="28"/>
  <c r="T552" i="28"/>
  <c r="S662" i="28"/>
  <c r="G640" i="28"/>
  <c r="G631" i="28"/>
  <c r="G636" i="28"/>
  <c r="K616" i="28"/>
  <c r="J33" i="3"/>
  <c r="J36" i="3" s="1"/>
  <c r="Z632" i="28"/>
  <c r="I635" i="28"/>
  <c r="I637" i="28" s="1"/>
  <c r="I631" i="28"/>
  <c r="I528" i="28"/>
  <c r="I654" i="28"/>
  <c r="I659" i="28" s="1"/>
  <c r="R392" i="28"/>
  <c r="I639" i="28"/>
  <c r="I641" i="28" s="1"/>
  <c r="I643" i="28" s="1"/>
  <c r="I632" i="28"/>
  <c r="H635" i="28"/>
  <c r="H631" i="28"/>
  <c r="R548" i="28"/>
  <c r="S497" i="28"/>
  <c r="M616" i="28"/>
  <c r="M654" i="28"/>
  <c r="AA534" i="28"/>
  <c r="AA543" i="28"/>
  <c r="AA547" i="28"/>
  <c r="AA549" i="28" s="1"/>
  <c r="P548" i="28"/>
  <c r="E528" i="28"/>
  <c r="E654" i="28"/>
  <c r="Z515" i="28"/>
  <c r="I434" i="28"/>
  <c r="Z534" i="28"/>
  <c r="L416" i="28"/>
  <c r="L412" i="28"/>
  <c r="S398" i="28"/>
  <c r="S408" i="28" s="1"/>
  <c r="S407" i="28"/>
  <c r="AA398" i="28"/>
  <c r="AA411" i="28"/>
  <c r="M382" i="28"/>
  <c r="M379" i="28"/>
  <c r="N319" i="28"/>
  <c r="N328" i="28"/>
  <c r="N329" i="28" s="1"/>
  <c r="N331" i="28" s="1"/>
  <c r="N324" i="28"/>
  <c r="N325" i="28" s="1"/>
  <c r="O408" i="28"/>
  <c r="Z231" i="28"/>
  <c r="Z235" i="28"/>
  <c r="Z237" i="28" s="1"/>
  <c r="Z222" i="28"/>
  <c r="Z547" i="28"/>
  <c r="Z549" i="28" s="1"/>
  <c r="AA416" i="28"/>
  <c r="AA412" i="28"/>
  <c r="F412" i="28"/>
  <c r="F416" i="28"/>
  <c r="H240" i="28"/>
  <c r="H236" i="28"/>
  <c r="G240" i="28"/>
  <c r="G236" i="28"/>
  <c r="M534" i="28"/>
  <c r="N408" i="28"/>
  <c r="R547" i="28"/>
  <c r="J436" i="28"/>
  <c r="J392" i="28"/>
  <c r="N320" i="28"/>
  <c r="L466" i="28"/>
  <c r="Z454" i="28"/>
  <c r="E454" i="28"/>
  <c r="I436" i="28"/>
  <c r="I392" i="28"/>
  <c r="AA382" i="28"/>
  <c r="AA379" i="28"/>
  <c r="S611" i="28"/>
  <c r="AA407" i="28"/>
  <c r="AG407" i="28"/>
  <c r="AG398" i="28"/>
  <c r="AG408" i="28" s="1"/>
  <c r="M547" i="28"/>
  <c r="M549" i="28" s="1"/>
  <c r="N416" i="28"/>
  <c r="N417" i="28" s="1"/>
  <c r="N419" i="28" s="1"/>
  <c r="N412" i="28"/>
  <c r="Q222" i="28"/>
  <c r="Q231" i="28"/>
  <c r="Q235" i="28"/>
  <c r="N231" i="28"/>
  <c r="N235" i="28"/>
  <c r="N237" i="28" s="1"/>
  <c r="N232" i="28"/>
  <c r="N239" i="28"/>
  <c r="N241" i="28" s="1"/>
  <c r="N243" i="28" s="1"/>
  <c r="M319" i="28"/>
  <c r="M328" i="28"/>
  <c r="H30" i="15"/>
  <c r="I30" i="15" s="1"/>
  <c r="AH102" i="28"/>
  <c r="AH15" i="3" s="1"/>
  <c r="AH48" i="28" s="1"/>
  <c r="K412" i="28"/>
  <c r="R317" i="28"/>
  <c r="R231" i="28"/>
  <c r="R235" i="28"/>
  <c r="R237" i="28" s="1"/>
  <c r="R222" i="28"/>
  <c r="Q190" i="28"/>
  <c r="Q192" i="28" s="1"/>
  <c r="Q194" i="28" s="1"/>
  <c r="Q366" i="28"/>
  <c r="Q278" i="28"/>
  <c r="J320" i="28"/>
  <c r="J327" i="28"/>
  <c r="J329" i="28" s="1"/>
  <c r="J331" i="28" s="1"/>
  <c r="G231" i="28"/>
  <c r="G235" i="28"/>
  <c r="G222" i="28"/>
  <c r="I320" i="28"/>
  <c r="I327" i="28"/>
  <c r="I329" i="28" s="1"/>
  <c r="I331" i="28" s="1"/>
  <c r="F231" i="28"/>
  <c r="F235" i="28"/>
  <c r="F237" i="28" s="1"/>
  <c r="F222" i="28"/>
  <c r="G392" i="28"/>
  <c r="E231" i="28"/>
  <c r="E235" i="28"/>
  <c r="E237" i="28" s="1"/>
  <c r="E222" i="28"/>
  <c r="J232" i="28"/>
  <c r="J239" i="28"/>
  <c r="T229" i="28"/>
  <c r="Z57" i="28"/>
  <c r="T128" i="28"/>
  <c r="M116" i="28"/>
  <c r="M30" i="28" s="1"/>
  <c r="I240" i="28"/>
  <c r="H26" i="15"/>
  <c r="I26" i="15" s="1"/>
  <c r="Q203" i="28"/>
  <c r="O203" i="28"/>
  <c r="E57" i="28"/>
  <c r="L49" i="28"/>
  <c r="R3" i="28"/>
  <c r="R1" i="28"/>
  <c r="AA5" i="28"/>
  <c r="AB6" i="28"/>
  <c r="J45" i="28"/>
  <c r="J15" i="28"/>
  <c r="H6" i="28"/>
  <c r="G5" i="28"/>
  <c r="R65" i="28"/>
  <c r="R4" i="28"/>
  <c r="R2" i="28"/>
  <c r="J73" i="28"/>
  <c r="M72" i="28"/>
  <c r="F5" i="28"/>
  <c r="V3" i="30"/>
  <c r="U3" i="30" s="1"/>
  <c r="T4" i="30"/>
  <c r="T5" i="30"/>
  <c r="D6" i="30"/>
  <c r="T6" i="30"/>
  <c r="AA27" i="30"/>
  <c r="AA28" i="30"/>
  <c r="AA29" i="30"/>
  <c r="AA31" i="30"/>
  <c r="AA32" i="30"/>
  <c r="AA33" i="30"/>
  <c r="G41" i="30"/>
  <c r="H41" i="30"/>
  <c r="E42" i="30"/>
  <c r="G42" i="30"/>
  <c r="G43" i="30"/>
  <c r="H43" i="30"/>
  <c r="G44" i="30"/>
  <c r="H44" i="30"/>
  <c r="G45" i="30"/>
  <c r="H45" i="30"/>
  <c r="E46" i="30"/>
  <c r="G46" i="30"/>
  <c r="E48" i="30"/>
  <c r="E49" i="30" s="1"/>
  <c r="D2" i="31"/>
  <c r="D3" i="31"/>
  <c r="S3" i="31"/>
  <c r="W3" i="31"/>
  <c r="F153" i="28" l="1"/>
  <c r="F283" i="28"/>
  <c r="K551" i="28"/>
  <c r="M232" i="28"/>
  <c r="Q280" i="28"/>
  <c r="Q282" i="28" s="1"/>
  <c r="E434" i="28"/>
  <c r="E368" i="28"/>
  <c r="E370" i="28" s="1"/>
  <c r="E371" i="28" s="1"/>
  <c r="Z192" i="28"/>
  <c r="Z194" i="28" s="1"/>
  <c r="Z195" i="28" s="1"/>
  <c r="G637" i="28"/>
  <c r="N413" i="28"/>
  <c r="E46" i="28"/>
  <c r="E61" i="28" s="1"/>
  <c r="J280" i="28"/>
  <c r="J282" i="28" s="1"/>
  <c r="J153" i="28" s="1"/>
  <c r="AA504" i="28"/>
  <c r="AA506" i="28" s="1"/>
  <c r="AA155" i="28" s="1"/>
  <c r="F504" i="28"/>
  <c r="F506" i="28" s="1"/>
  <c r="F155" i="28" s="1"/>
  <c r="Z652" i="28"/>
  <c r="Z692" i="28" s="1"/>
  <c r="I280" i="28"/>
  <c r="I282" i="28" s="1"/>
  <c r="I153" i="28" s="1"/>
  <c r="E592" i="28"/>
  <c r="E594" i="28" s="1"/>
  <c r="E156" i="28" s="1"/>
  <c r="M504" i="28"/>
  <c r="M506" i="28" s="1"/>
  <c r="M155" i="28" s="1"/>
  <c r="H466" i="28"/>
  <c r="T702" i="28"/>
  <c r="R21" i="14"/>
  <c r="F434" i="28"/>
  <c r="Z504" i="28"/>
  <c r="Z506" i="28" s="1"/>
  <c r="Z155" i="28" s="1"/>
  <c r="AA90" i="3"/>
  <c r="AA92" i="3" s="1"/>
  <c r="P184" i="3"/>
  <c r="Z235" i="3"/>
  <c r="Z237" i="3" s="1"/>
  <c r="AA236" i="3" s="1"/>
  <c r="F32" i="14"/>
  <c r="P21" i="14"/>
  <c r="O535" i="28"/>
  <c r="O155" i="28"/>
  <c r="O507" i="28"/>
  <c r="I155" i="28"/>
  <c r="I507" i="28"/>
  <c r="I535" i="28"/>
  <c r="Q461" i="28"/>
  <c r="Q463" i="28" s="1"/>
  <c r="Q456" i="28"/>
  <c r="Q172" i="3"/>
  <c r="M368" i="28"/>
  <c r="M370" i="28" s="1"/>
  <c r="M154" i="28" s="1"/>
  <c r="M462" i="28"/>
  <c r="K239" i="28"/>
  <c r="K241" i="28" s="1"/>
  <c r="K243" i="28" s="1"/>
  <c r="M507" i="28"/>
  <c r="Q466" i="28"/>
  <c r="I237" i="28"/>
  <c r="M172" i="3"/>
  <c r="E72" i="28"/>
  <c r="G280" i="28"/>
  <c r="G282" i="28" s="1"/>
  <c r="G153" i="28" s="1"/>
  <c r="R72" i="28"/>
  <c r="G665" i="28"/>
  <c r="G675" i="28" s="1"/>
  <c r="I72" i="28"/>
  <c r="K592" i="28"/>
  <c r="K594" i="28" s="1"/>
  <c r="K156" i="28" s="1"/>
  <c r="K462" i="28"/>
  <c r="O21" i="14"/>
  <c r="E172" i="3"/>
  <c r="J241" i="28"/>
  <c r="J243" i="28" s="1"/>
  <c r="G46" i="28"/>
  <c r="G61" i="28" s="1"/>
  <c r="K456" i="28"/>
  <c r="I652" i="28"/>
  <c r="I692" i="28" s="1"/>
  <c r="N592" i="28"/>
  <c r="N594" i="28" s="1"/>
  <c r="N623" i="28" s="1"/>
  <c r="R46" i="28"/>
  <c r="G641" i="28"/>
  <c r="G643" i="28" s="1"/>
  <c r="G679" i="28"/>
  <c r="G681" i="28" s="1"/>
  <c r="Q637" i="28"/>
  <c r="G592" i="28"/>
  <c r="G594" i="28" s="1"/>
  <c r="M592" i="28"/>
  <c r="M594" i="28" s="1"/>
  <c r="M156" i="28" s="1"/>
  <c r="AA462" i="28"/>
  <c r="Q407" i="28"/>
  <c r="K280" i="28"/>
  <c r="K282" i="28" s="1"/>
  <c r="Q639" i="28"/>
  <c r="Q641" i="28" s="1"/>
  <c r="Q643" i="28" s="1"/>
  <c r="Q592" i="28"/>
  <c r="Q594" i="28" s="1"/>
  <c r="Q156" i="28" s="1"/>
  <c r="N551" i="28"/>
  <c r="N553" i="28" s="1"/>
  <c r="N555" i="28" s="1"/>
  <c r="I172" i="3"/>
  <c r="K27" i="14"/>
  <c r="F13" i="14"/>
  <c r="K652" i="28"/>
  <c r="M441" i="28"/>
  <c r="E441" i="28"/>
  <c r="E461" i="28" s="1"/>
  <c r="Q76" i="28"/>
  <c r="R103" i="28"/>
  <c r="R104" i="28" s="1"/>
  <c r="R14" i="28" s="1"/>
  <c r="I87" i="28"/>
  <c r="I109" i="28"/>
  <c r="I19" i="28" s="1"/>
  <c r="M104" i="28"/>
  <c r="M14" i="28" s="1"/>
  <c r="M48" i="28" s="1"/>
  <c r="E109" i="28"/>
  <c r="E19" i="28" s="1"/>
  <c r="I92" i="28"/>
  <c r="E82" i="28"/>
  <c r="T26" i="28"/>
  <c r="T98" i="28"/>
  <c r="I82" i="28"/>
  <c r="Q103" i="28"/>
  <c r="E104" i="28"/>
  <c r="E14" i="28" s="1"/>
  <c r="M109" i="28"/>
  <c r="M19" i="28" s="1"/>
  <c r="Q100" i="28"/>
  <c r="Q11" i="28" s="1"/>
  <c r="Q82" i="28"/>
  <c r="M82" i="28"/>
  <c r="E92" i="28"/>
  <c r="I104" i="28"/>
  <c r="I14" i="28" s="1"/>
  <c r="I71" i="28" s="1"/>
  <c r="I83" i="28"/>
  <c r="I100" i="28"/>
  <c r="I11" i="28" s="1"/>
  <c r="I12" i="28" s="1"/>
  <c r="R87" i="28"/>
  <c r="E87" i="28"/>
  <c r="Q33" i="3"/>
  <c r="G32" i="15"/>
  <c r="H32" i="15" s="1"/>
  <c r="I32" i="15" s="1"/>
  <c r="T695" i="28"/>
  <c r="G28" i="15"/>
  <c r="H28" i="15" s="1"/>
  <c r="I28" i="15" s="1"/>
  <c r="T697" i="28"/>
  <c r="S696" i="28"/>
  <c r="S436" i="28"/>
  <c r="J652" i="28"/>
  <c r="F592" i="28"/>
  <c r="F594" i="28" s="1"/>
  <c r="F623" i="28" s="1"/>
  <c r="G632" i="28"/>
  <c r="E623" i="28"/>
  <c r="Q699" i="28"/>
  <c r="Q705" i="28" s="1"/>
  <c r="Q715" i="28" s="1"/>
  <c r="F368" i="28"/>
  <c r="F370" i="28" s="1"/>
  <c r="T701" i="28"/>
  <c r="AG211" i="28"/>
  <c r="I46" i="28"/>
  <c r="I61" i="28" s="1"/>
  <c r="AA652" i="28"/>
  <c r="AA692" i="28" s="1"/>
  <c r="AH22" i="28"/>
  <c r="S97" i="28"/>
  <c r="AN236" i="3"/>
  <c r="AO236" i="3" s="1"/>
  <c r="AP236" i="3" s="1"/>
  <c r="AQ236" i="3" s="1"/>
  <c r="AQ237" i="3" s="1"/>
  <c r="M46" i="28"/>
  <c r="M61" i="28" s="1"/>
  <c r="S702" i="28"/>
  <c r="F152" i="28"/>
  <c r="G692" i="28"/>
  <c r="S15" i="28"/>
  <c r="I466" i="28"/>
  <c r="M535" i="28"/>
  <c r="P466" i="28"/>
  <c r="G462" i="28"/>
  <c r="G504" i="28"/>
  <c r="G506" i="28" s="1"/>
  <c r="G155" i="28" s="1"/>
  <c r="M329" i="28"/>
  <c r="M331" i="28" s="1"/>
  <c r="AA46" i="28"/>
  <c r="Q504" i="28"/>
  <c r="Q506" i="28" s="1"/>
  <c r="Q535" i="28" s="1"/>
  <c r="G699" i="28"/>
  <c r="G705" i="28" s="1"/>
  <c r="G715" i="28" s="1"/>
  <c r="X450" i="28"/>
  <c r="W481" i="28"/>
  <c r="V473" i="28"/>
  <c r="F547" i="28"/>
  <c r="F549" i="28" s="1"/>
  <c r="N504" i="28"/>
  <c r="N506" i="28" s="1"/>
  <c r="O434" i="28"/>
  <c r="S709" i="28"/>
  <c r="R694" i="28"/>
  <c r="W450" i="28"/>
  <c r="F543" i="28"/>
  <c r="Q549" i="28"/>
  <c r="F195" i="28"/>
  <c r="F694" i="28"/>
  <c r="F699" i="28" s="1"/>
  <c r="F705" i="28" s="1"/>
  <c r="F715" i="28" s="1"/>
  <c r="N156" i="28"/>
  <c r="F46" i="28"/>
  <c r="F61" i="28" s="1"/>
  <c r="V450" i="28"/>
  <c r="I623" i="28"/>
  <c r="K434" i="28"/>
  <c r="K692" i="28" s="1"/>
  <c r="J592" i="28"/>
  <c r="J594" i="28" s="1"/>
  <c r="J623" i="28" s="1"/>
  <c r="U450" i="28"/>
  <c r="W162" i="28"/>
  <c r="S216" i="28"/>
  <c r="H98" i="28"/>
  <c r="V184" i="3"/>
  <c r="W124" i="3"/>
  <c r="W130" i="3"/>
  <c r="W115" i="3"/>
  <c r="V38" i="3"/>
  <c r="R39" i="3"/>
  <c r="G263" i="3"/>
  <c r="G274" i="3" s="1"/>
  <c r="G150" i="3" s="1"/>
  <c r="T46" i="14"/>
  <c r="K32" i="14"/>
  <c r="K55" i="14" s="1"/>
  <c r="AA235" i="3"/>
  <c r="AA26" i="28"/>
  <c r="AA83" i="28" s="1"/>
  <c r="AA98" i="28"/>
  <c r="AA100" i="28" s="1"/>
  <c r="AA11" i="28" s="1"/>
  <c r="AA68" i="28" s="1"/>
  <c r="O211" i="3"/>
  <c r="O39" i="3"/>
  <c r="O41" i="3" s="1"/>
  <c r="Z90" i="3"/>
  <c r="Z92" i="3" s="1"/>
  <c r="R51" i="3"/>
  <c r="R69" i="3" s="1"/>
  <c r="S55" i="14"/>
  <c r="K17" i="14"/>
  <c r="K92" i="28"/>
  <c r="AB244" i="3"/>
  <c r="AB246" i="3" s="1"/>
  <c r="AC244" i="3" s="1"/>
  <c r="AC246" i="3" s="1"/>
  <c r="AD244" i="3" s="1"/>
  <c r="AD246" i="3" s="1"/>
  <c r="AE244" i="3" s="1"/>
  <c r="AE246" i="3" s="1"/>
  <c r="R92" i="28"/>
  <c r="R46" i="14"/>
  <c r="AB263" i="3"/>
  <c r="AB274" i="3" s="1"/>
  <c r="AC263" i="3" s="1"/>
  <c r="AC274" i="3" s="1"/>
  <c r="AD263" i="3" s="1"/>
  <c r="AD274" i="3" s="1"/>
  <c r="AE263" i="3" s="1"/>
  <c r="AE274" i="3" s="1"/>
  <c r="S46" i="14"/>
  <c r="N32" i="14"/>
  <c r="E211" i="3"/>
  <c r="L98" i="28"/>
  <c r="AA153" i="3"/>
  <c r="E156" i="3"/>
  <c r="E3" i="3" s="1"/>
  <c r="M92" i="28"/>
  <c r="N72" i="28"/>
  <c r="G51" i="3"/>
  <c r="G69" i="3" s="1"/>
  <c r="G211" i="3"/>
  <c r="R55" i="14"/>
  <c r="N184" i="3"/>
  <c r="E39" i="3"/>
  <c r="E41" i="3" s="1"/>
  <c r="O92" i="28"/>
  <c r="G293" i="3"/>
  <c r="G298" i="3" s="1"/>
  <c r="G153" i="3" s="1"/>
  <c r="T55" i="14"/>
  <c r="AA61" i="28"/>
  <c r="Z69" i="3"/>
  <c r="I51" i="3"/>
  <c r="I69" i="3" s="1"/>
  <c r="I211" i="3"/>
  <c r="I39" i="3"/>
  <c r="G71" i="3"/>
  <c r="G88" i="3" s="1"/>
  <c r="G42" i="3"/>
  <c r="G41" i="3"/>
  <c r="N92" i="28"/>
  <c r="O87" i="28"/>
  <c r="AN237" i="3"/>
  <c r="F149" i="3"/>
  <c r="G249" i="3"/>
  <c r="G260" i="3" s="1"/>
  <c r="Z41" i="3"/>
  <c r="Z42" i="3"/>
  <c r="Z71" i="3"/>
  <c r="Z88" i="3" s="1"/>
  <c r="R211" i="3"/>
  <c r="M39" i="3"/>
  <c r="M211" i="3"/>
  <c r="M51" i="3"/>
  <c r="M69" i="3" s="1"/>
  <c r="R11" i="28"/>
  <c r="R68" i="28" s="1"/>
  <c r="AA71" i="28"/>
  <c r="M595" i="28"/>
  <c r="M623" i="28"/>
  <c r="O665" i="28"/>
  <c r="O679" i="28"/>
  <c r="O681" i="28" s="1"/>
  <c r="O674" i="28"/>
  <c r="G152" i="28"/>
  <c r="G223" i="28"/>
  <c r="G195" i="28"/>
  <c r="AF211" i="28"/>
  <c r="I595" i="28"/>
  <c r="N457" i="28"/>
  <c r="N507" i="28"/>
  <c r="K553" i="28"/>
  <c r="K555" i="28" s="1"/>
  <c r="O694" i="28"/>
  <c r="O699" i="28" s="1"/>
  <c r="E192" i="28"/>
  <c r="E194" i="28" s="1"/>
  <c r="Q327" i="28"/>
  <c r="Q329" i="28" s="1"/>
  <c r="Q331" i="28" s="1"/>
  <c r="AA592" i="28"/>
  <c r="AA594" i="28" s="1"/>
  <c r="AA156" i="28" s="1"/>
  <c r="Q92" i="28"/>
  <c r="O368" i="28"/>
  <c r="O370" i="28" s="1"/>
  <c r="O154" i="28" s="1"/>
  <c r="O280" i="28"/>
  <c r="O282" i="28" s="1"/>
  <c r="O153" i="28" s="1"/>
  <c r="T696" i="28"/>
  <c r="J504" i="28"/>
  <c r="J506" i="28" s="1"/>
  <c r="Q368" i="28"/>
  <c r="Q370" i="28" s="1"/>
  <c r="Q371" i="28" s="1"/>
  <c r="N46" i="28"/>
  <c r="N61" i="28" s="1"/>
  <c r="O192" i="28"/>
  <c r="O194" i="28" s="1"/>
  <c r="O152" i="28" s="1"/>
  <c r="M434" i="28"/>
  <c r="M692" i="28" s="1"/>
  <c r="Z371" i="28"/>
  <c r="E507" i="28"/>
  <c r="E535" i="28"/>
  <c r="I239" i="28"/>
  <c r="I241" i="28" s="1"/>
  <c r="I243" i="28" s="1"/>
  <c r="Z87" i="28"/>
  <c r="J371" i="28"/>
  <c r="J154" i="28"/>
  <c r="J399" i="28"/>
  <c r="S543" i="28"/>
  <c r="S547" i="28"/>
  <c r="S549" i="28" s="1"/>
  <c r="S534" i="28"/>
  <c r="S544" i="28" s="1"/>
  <c r="K87" i="28"/>
  <c r="N21" i="14"/>
  <c r="O623" i="28"/>
  <c r="F413" i="28"/>
  <c r="Z46" i="28"/>
  <c r="Z61" i="28" s="1"/>
  <c r="O156" i="28"/>
  <c r="Q46" i="28"/>
  <c r="R549" i="28"/>
  <c r="Q652" i="28"/>
  <c r="Q692" i="28" s="1"/>
  <c r="K46" i="28"/>
  <c r="K61" i="28" s="1"/>
  <c r="N368" i="28"/>
  <c r="N370" i="28" s="1"/>
  <c r="N154" i="28" s="1"/>
  <c r="F652" i="28"/>
  <c r="F692" i="28" s="1"/>
  <c r="G623" i="28"/>
  <c r="G595" i="28"/>
  <c r="G156" i="28"/>
  <c r="K595" i="28"/>
  <c r="G154" i="28"/>
  <c r="G371" i="28"/>
  <c r="G399" i="28"/>
  <c r="M283" i="28"/>
  <c r="K413" i="28"/>
  <c r="S231" i="28"/>
  <c r="J283" i="28"/>
  <c r="G461" i="28"/>
  <c r="Q714" i="28"/>
  <c r="AA507" i="28"/>
  <c r="K507" i="28"/>
  <c r="Z71" i="28"/>
  <c r="G456" i="28"/>
  <c r="K368" i="28"/>
  <c r="K370" i="28" s="1"/>
  <c r="K154" i="28" s="1"/>
  <c r="J46" i="28"/>
  <c r="J61" i="28" s="1"/>
  <c r="K535" i="28"/>
  <c r="K665" i="28"/>
  <c r="K675" i="28" s="1"/>
  <c r="K192" i="28"/>
  <c r="K194" i="28" s="1"/>
  <c r="K152" i="28" s="1"/>
  <c r="AA92" i="28"/>
  <c r="Q237" i="28"/>
  <c r="S236" i="28"/>
  <c r="F507" i="28"/>
  <c r="N87" i="28"/>
  <c r="N465" i="28"/>
  <c r="N467" i="28" s="1"/>
  <c r="N469" i="28" s="1"/>
  <c r="J434" i="28"/>
  <c r="J692" i="28" s="1"/>
  <c r="N461" i="28"/>
  <c r="F535" i="28"/>
  <c r="O46" i="28"/>
  <c r="O61" i="28" s="1"/>
  <c r="N595" i="28"/>
  <c r="E153" i="28"/>
  <c r="E283" i="28"/>
  <c r="Z153" i="28"/>
  <c r="Z283" i="28"/>
  <c r="M456" i="28"/>
  <c r="M447" i="28"/>
  <c r="M465" i="28" s="1"/>
  <c r="M467" i="28" s="1"/>
  <c r="M469" i="28" s="1"/>
  <c r="M461" i="28"/>
  <c r="M463" i="28" s="1"/>
  <c r="Z92" i="28"/>
  <c r="K415" i="28"/>
  <c r="K417" i="28" s="1"/>
  <c r="K419" i="28" s="1"/>
  <c r="K408" i="28"/>
  <c r="Z441" i="28"/>
  <c r="Z456" i="28" s="1"/>
  <c r="Z694" i="28"/>
  <c r="Z699" i="28" s="1"/>
  <c r="M407" i="28"/>
  <c r="M398" i="28"/>
  <c r="Z665" i="28"/>
  <c r="Z674" i="28"/>
  <c r="N456" i="28"/>
  <c r="J152" i="28"/>
  <c r="J223" i="28"/>
  <c r="J195" i="28"/>
  <c r="O441" i="28"/>
  <c r="F441" i="28"/>
  <c r="Z323" i="28"/>
  <c r="Z325" i="28" s="1"/>
  <c r="Z319" i="28"/>
  <c r="Z310" i="28"/>
  <c r="N631" i="28"/>
  <c r="N635" i="28"/>
  <c r="N637" i="28" s="1"/>
  <c r="N622" i="28"/>
  <c r="Z679" i="28"/>
  <c r="Z681" i="28" s="1"/>
  <c r="J462" i="28"/>
  <c r="J466" i="28"/>
  <c r="O544" i="28"/>
  <c r="O551" i="28"/>
  <c r="O553" i="28" s="1"/>
  <c r="O555" i="28" s="1"/>
  <c r="N694" i="28"/>
  <c r="N699" i="28" s="1"/>
  <c r="N659" i="28"/>
  <c r="M152" i="28"/>
  <c r="M195" i="28"/>
  <c r="N280" i="28"/>
  <c r="N282" i="28" s="1"/>
  <c r="N652" i="28"/>
  <c r="N692" i="28" s="1"/>
  <c r="Q87" i="28"/>
  <c r="F154" i="28"/>
  <c r="F371" i="28"/>
  <c r="F399" i="28"/>
  <c r="AF523" i="28"/>
  <c r="Z507" i="28"/>
  <c r="O222" i="28"/>
  <c r="O235" i="28"/>
  <c r="O237" i="28" s="1"/>
  <c r="O231" i="28"/>
  <c r="F417" i="28"/>
  <c r="F419" i="28" s="1"/>
  <c r="N462" i="28"/>
  <c r="AF299" i="28"/>
  <c r="K195" i="28"/>
  <c r="K223" i="28"/>
  <c r="O631" i="28"/>
  <c r="O622" i="28"/>
  <c r="O632" i="28" s="1"/>
  <c r="N152" i="28"/>
  <c r="N195" i="28"/>
  <c r="AA659" i="28"/>
  <c r="AA694" i="28"/>
  <c r="AA699" i="28" s="1"/>
  <c r="E398" i="28"/>
  <c r="E411" i="28"/>
  <c r="E413" i="28" s="1"/>
  <c r="E407" i="28"/>
  <c r="AA153" i="28"/>
  <c r="AA283" i="28"/>
  <c r="M411" i="28"/>
  <c r="M413" i="28" s="1"/>
  <c r="Q447" i="28"/>
  <c r="Q457" i="28" s="1"/>
  <c r="T640" i="28"/>
  <c r="F462" i="28"/>
  <c r="K674" i="28"/>
  <c r="K153" i="28"/>
  <c r="K283" i="28"/>
  <c r="K694" i="28"/>
  <c r="K699" i="28" s="1"/>
  <c r="R639" i="28"/>
  <c r="R641" i="28" s="1"/>
  <c r="R643" i="28" s="1"/>
  <c r="R632" i="28"/>
  <c r="F408" i="28"/>
  <c r="G553" i="28"/>
  <c r="G555" i="28" s="1"/>
  <c r="AA154" i="28"/>
  <c r="AA371" i="28"/>
  <c r="K49" i="28"/>
  <c r="K72" i="28"/>
  <c r="AA152" i="28"/>
  <c r="AA195" i="28"/>
  <c r="I154" i="28"/>
  <c r="I399" i="28"/>
  <c r="I371" i="28"/>
  <c r="F674" i="28"/>
  <c r="F665" i="28"/>
  <c r="J544" i="28"/>
  <c r="J551" i="28"/>
  <c r="J553" i="28" s="1"/>
  <c r="J555" i="28" s="1"/>
  <c r="K447" i="28"/>
  <c r="K461" i="28"/>
  <c r="K463" i="28" s="1"/>
  <c r="E652" i="28"/>
  <c r="E692" i="28" s="1"/>
  <c r="O413" i="28"/>
  <c r="K549" i="28"/>
  <c r="I152" i="28"/>
  <c r="I223" i="28"/>
  <c r="I195" i="28"/>
  <c r="E154" i="28"/>
  <c r="O652" i="28"/>
  <c r="O692" i="28" s="1"/>
  <c r="Q152" i="28"/>
  <c r="Q195" i="28"/>
  <c r="R151" i="3"/>
  <c r="M87" i="28"/>
  <c r="T240" i="28"/>
  <c r="T236" i="28"/>
  <c r="Q153" i="28"/>
  <c r="Q283" i="28"/>
  <c r="AG102" i="28"/>
  <c r="Q232" i="28"/>
  <c r="Q239" i="28"/>
  <c r="Q241" i="28" s="1"/>
  <c r="Q243" i="28" s="1"/>
  <c r="E543" i="28"/>
  <c r="E547" i="28"/>
  <c r="E549" i="28" s="1"/>
  <c r="E534" i="28"/>
  <c r="I534" i="28"/>
  <c r="I543" i="28"/>
  <c r="I547" i="28"/>
  <c r="I549" i="28" s="1"/>
  <c r="Q674" i="28"/>
  <c r="Q665" i="28"/>
  <c r="Q679" i="28"/>
  <c r="Q681" i="28" s="1"/>
  <c r="J635" i="28"/>
  <c r="J637" i="28" s="1"/>
  <c r="J631" i="28"/>
  <c r="J622" i="28"/>
  <c r="J665" i="28"/>
  <c r="J679" i="28"/>
  <c r="J681" i="28" s="1"/>
  <c r="J674" i="28"/>
  <c r="AC6" i="28"/>
  <c r="AB5" i="28"/>
  <c r="T63" i="3"/>
  <c r="AG599" i="28"/>
  <c r="AH599" i="28" s="1"/>
  <c r="AH611" i="28" s="1"/>
  <c r="AF611" i="28"/>
  <c r="F39" i="3"/>
  <c r="F211" i="3"/>
  <c r="F51" i="3"/>
  <c r="F69" i="3" s="1"/>
  <c r="K48" i="28"/>
  <c r="K71" i="28"/>
  <c r="AA152" i="3"/>
  <c r="AB286" i="3"/>
  <c r="AB290" i="3" s="1"/>
  <c r="AC286" i="3" s="1"/>
  <c r="AC290" i="3" s="1"/>
  <c r="AD286" i="3" s="1"/>
  <c r="AD290" i="3" s="1"/>
  <c r="AE286" i="3" s="1"/>
  <c r="AE290" i="3" s="1"/>
  <c r="F152" i="3"/>
  <c r="G286" i="3"/>
  <c r="G290" i="3" s="1"/>
  <c r="L48" i="28"/>
  <c r="K622" i="28"/>
  <c r="K635" i="28"/>
  <c r="K637" i="28" s="1"/>
  <c r="K631" i="28"/>
  <c r="K52" i="28"/>
  <c r="K80" i="28"/>
  <c r="L39" i="3"/>
  <c r="L51" i="3"/>
  <c r="L69" i="3" s="1"/>
  <c r="L211" i="3"/>
  <c r="F148" i="3"/>
  <c r="G244" i="3"/>
  <c r="G246" i="3" s="1"/>
  <c r="I407" i="28"/>
  <c r="I411" i="28"/>
  <c r="I413" i="28" s="1"/>
  <c r="I398" i="28"/>
  <c r="M544" i="28"/>
  <c r="M551" i="28"/>
  <c r="M553" i="28" s="1"/>
  <c r="M555" i="28" s="1"/>
  <c r="Q544" i="28"/>
  <c r="Q551" i="28"/>
  <c r="Q553" i="28" s="1"/>
  <c r="Q555" i="28" s="1"/>
  <c r="AA149" i="3"/>
  <c r="AB249" i="3"/>
  <c r="AB260" i="3" s="1"/>
  <c r="AC249" i="3" s="1"/>
  <c r="AC260" i="3" s="1"/>
  <c r="AD249" i="3" s="1"/>
  <c r="AD260" i="3" s="1"/>
  <c r="AE249" i="3" s="1"/>
  <c r="AE260" i="3" s="1"/>
  <c r="J39" i="3"/>
  <c r="J51" i="3"/>
  <c r="J69" i="3" s="1"/>
  <c r="J211" i="3"/>
  <c r="G465" i="28"/>
  <c r="G467" i="28" s="1"/>
  <c r="G469" i="28" s="1"/>
  <c r="G457" i="28"/>
  <c r="I441" i="28"/>
  <c r="I694" i="28"/>
  <c r="I699" i="28" s="1"/>
  <c r="AA413" i="28"/>
  <c r="O69" i="3"/>
  <c r="F48" i="28"/>
  <c r="F53" i="28" s="1"/>
  <c r="F71" i="28"/>
  <c r="N39" i="3"/>
  <c r="N51" i="3"/>
  <c r="N69" i="3" s="1"/>
  <c r="AA415" i="28"/>
  <c r="AA417" i="28" s="1"/>
  <c r="AA419" i="28" s="1"/>
  <c r="AA408" i="28"/>
  <c r="F681" i="28"/>
  <c r="O26" i="28"/>
  <c r="O83" i="28" s="1"/>
  <c r="O98" i="28"/>
  <c r="O100" i="28" s="1"/>
  <c r="O11" i="28" s="1"/>
  <c r="F544" i="28"/>
  <c r="F551" i="28"/>
  <c r="F553" i="28" s="1"/>
  <c r="F555" i="28" s="1"/>
  <c r="E232" i="28"/>
  <c r="E239" i="28"/>
  <c r="E241" i="28" s="1"/>
  <c r="E243" i="28" s="1"/>
  <c r="G237" i="28"/>
  <c r="E466" i="28"/>
  <c r="E462" i="28"/>
  <c r="R674" i="28"/>
  <c r="R665" i="28"/>
  <c r="R679" i="28"/>
  <c r="R681" i="28" s="1"/>
  <c r="K12" i="28"/>
  <c r="K68" i="28"/>
  <c r="J48" i="28"/>
  <c r="J71" i="28"/>
  <c r="P48" i="28"/>
  <c r="M26" i="28"/>
  <c r="M98" i="28"/>
  <c r="E69" i="3"/>
  <c r="H48" i="28"/>
  <c r="K18" i="14"/>
  <c r="K46" i="14" s="1"/>
  <c r="U46" i="14"/>
  <c r="G232" i="28"/>
  <c r="G239" i="28"/>
  <c r="G241" i="28" s="1"/>
  <c r="G243" i="28" s="1"/>
  <c r="Z466" i="28"/>
  <c r="Z462" i="28"/>
  <c r="H637" i="28"/>
  <c r="AA447" i="28"/>
  <c r="AA461" i="28"/>
  <c r="AA463" i="28" s="1"/>
  <c r="AA456" i="28"/>
  <c r="G26" i="28"/>
  <c r="G83" i="28" s="1"/>
  <c r="G98" i="28"/>
  <c r="G100" i="28" s="1"/>
  <c r="G11" i="28" s="1"/>
  <c r="P52" i="28"/>
  <c r="Q26" i="28"/>
  <c r="Z4" i="3"/>
  <c r="G48" i="28"/>
  <c r="G71" i="28"/>
  <c r="Q154" i="28"/>
  <c r="L52" i="28"/>
  <c r="R232" i="28"/>
  <c r="R239" i="28"/>
  <c r="R241" i="28" s="1"/>
  <c r="R243" i="28" s="1"/>
  <c r="R188" i="28"/>
  <c r="R276" i="28"/>
  <c r="R364" i="28"/>
  <c r="R500" i="28"/>
  <c r="R588" i="28"/>
  <c r="R190" i="28"/>
  <c r="R278" i="28"/>
  <c r="R366" i="28"/>
  <c r="R502" i="28"/>
  <c r="R590" i="28"/>
  <c r="AA544" i="28"/>
  <c r="AA551" i="28"/>
  <c r="AA553" i="28" s="1"/>
  <c r="AA555" i="28" s="1"/>
  <c r="G52" i="28"/>
  <c r="G80" i="28"/>
  <c r="G407" i="28"/>
  <c r="G411" i="28"/>
  <c r="G413" i="28" s="1"/>
  <c r="G398" i="28"/>
  <c r="Q155" i="28"/>
  <c r="Q507" i="28"/>
  <c r="N12" i="28"/>
  <c r="N8" i="14" s="1"/>
  <c r="N68" i="28"/>
  <c r="J6" i="3"/>
  <c r="I5" i="3"/>
  <c r="N48" i="28"/>
  <c r="N71" i="28"/>
  <c r="G214" i="3"/>
  <c r="G220" i="3" s="1"/>
  <c r="E26" i="28"/>
  <c r="E98" i="28"/>
  <c r="J12" i="28"/>
  <c r="J68" i="28"/>
  <c r="S640" i="28"/>
  <c r="F232" i="28"/>
  <c r="F239" i="28"/>
  <c r="F241" i="28" s="1"/>
  <c r="F243" i="28" s="1"/>
  <c r="S450" i="28"/>
  <c r="S454" i="28" s="1"/>
  <c r="S708" i="28"/>
  <c r="Z544" i="28"/>
  <c r="Z551" i="28"/>
  <c r="Z553" i="28" s="1"/>
  <c r="Z555" i="28" s="1"/>
  <c r="R398" i="28"/>
  <c r="R408" i="28" s="1"/>
  <c r="R407" i="28"/>
  <c r="H39" i="3"/>
  <c r="H211" i="3"/>
  <c r="H51" i="3"/>
  <c r="H69" i="3" s="1"/>
  <c r="E52" i="28"/>
  <c r="E80" i="28"/>
  <c r="N52" i="28"/>
  <c r="N80" i="28"/>
  <c r="P39" i="3"/>
  <c r="P51" i="3"/>
  <c r="P69" i="3" s="1"/>
  <c r="P211" i="3"/>
  <c r="F12" i="28"/>
  <c r="F68" i="28"/>
  <c r="R191" i="28"/>
  <c r="R367" i="28"/>
  <c r="R279" i="28"/>
  <c r="R503" i="28"/>
  <c r="R591" i="28"/>
  <c r="T451" i="28"/>
  <c r="T709" i="28"/>
  <c r="R324" i="28"/>
  <c r="R328" i="28"/>
  <c r="S616" i="28"/>
  <c r="S635" i="28" s="1"/>
  <c r="S654" i="28"/>
  <c r="S659" i="28" s="1"/>
  <c r="J407" i="28"/>
  <c r="J411" i="28"/>
  <c r="J413" i="28" s="1"/>
  <c r="J398" i="28"/>
  <c r="Z232" i="28"/>
  <c r="Z239" i="28"/>
  <c r="Z241" i="28" s="1"/>
  <c r="Z243" i="28" s="1"/>
  <c r="M659" i="28"/>
  <c r="M694" i="28"/>
  <c r="M699" i="28" s="1"/>
  <c r="Z415" i="28"/>
  <c r="Z417" i="28" s="1"/>
  <c r="Z419" i="28" s="1"/>
  <c r="Z408" i="28"/>
  <c r="AD6" i="3"/>
  <c r="AC5" i="3"/>
  <c r="O48" i="28"/>
  <c r="O71" i="28"/>
  <c r="Z156" i="3"/>
  <c r="Z158" i="3" s="1"/>
  <c r="Z3" i="3" s="1"/>
  <c r="R80" i="28"/>
  <c r="R189" i="28"/>
  <c r="R365" i="28"/>
  <c r="R277" i="28"/>
  <c r="R501" i="28"/>
  <c r="R555" i="28"/>
  <c r="R589" i="28"/>
  <c r="I6" i="28"/>
  <c r="H5" i="28"/>
  <c r="T317" i="28"/>
  <c r="T450" i="28"/>
  <c r="T708" i="28"/>
  <c r="J441" i="28"/>
  <c r="J694" i="28"/>
  <c r="J699" i="28" s="1"/>
  <c r="M622" i="28"/>
  <c r="M635" i="28"/>
  <c r="M637" i="28" s="1"/>
  <c r="M631" i="28"/>
  <c r="K39" i="3"/>
  <c r="K51" i="3"/>
  <c r="K69" i="3" s="1"/>
  <c r="K211" i="3"/>
  <c r="AA39" i="3"/>
  <c r="AA51" i="3"/>
  <c r="AA69" i="3" s="1"/>
  <c r="O52" i="28"/>
  <c r="O80" i="28"/>
  <c r="Z26" i="28"/>
  <c r="Z83" i="28" s="1"/>
  <c r="Z98" i="28"/>
  <c r="Z100" i="28" s="1"/>
  <c r="Z11" i="28" s="1"/>
  <c r="M52" i="28"/>
  <c r="M80" i="28"/>
  <c r="AA232" i="28"/>
  <c r="AA239" i="28"/>
  <c r="AA241" i="28" s="1"/>
  <c r="AA243" i="28" s="1"/>
  <c r="J49" i="28"/>
  <c r="J72" i="28"/>
  <c r="E659" i="28"/>
  <c r="E694" i="28"/>
  <c r="E699" i="28" s="1"/>
  <c r="I665" i="28"/>
  <c r="I679" i="28"/>
  <c r="I681" i="28" s="1"/>
  <c r="I674" i="28"/>
  <c r="S4" i="31"/>
  <c r="C5" i="31"/>
  <c r="D5" i="31"/>
  <c r="S5" i="31"/>
  <c r="A1" i="7"/>
  <c r="E5" i="7"/>
  <c r="V5" i="7"/>
  <c r="F6" i="7"/>
  <c r="G6" i="7" s="1"/>
  <c r="W6" i="7"/>
  <c r="X6" i="7" s="1"/>
  <c r="AH6" i="7"/>
  <c r="AI6" i="7"/>
  <c r="AJ6" i="7" s="1"/>
  <c r="AK6" i="7" s="1"/>
  <c r="AL6" i="7" s="1"/>
  <c r="AM6" i="7" s="1"/>
  <c r="AN6" i="7" s="1"/>
  <c r="AO6" i="7" s="1"/>
  <c r="AP6" i="7" s="1"/>
  <c r="AQ6" i="7" s="1"/>
  <c r="AR6" i="7" s="1"/>
  <c r="E15" i="7"/>
  <c r="F15" i="7"/>
  <c r="G15" i="7"/>
  <c r="G16" i="7" s="1"/>
  <c r="H15" i="7"/>
  <c r="H16" i="7" s="1"/>
  <c r="I15" i="7"/>
  <c r="I16" i="7" s="1"/>
  <c r="J15" i="7"/>
  <c r="K15" i="7"/>
  <c r="L15" i="7"/>
  <c r="L16" i="7" s="1"/>
  <c r="M15" i="7"/>
  <c r="N15" i="7"/>
  <c r="N16" i="7" s="1"/>
  <c r="V15" i="7"/>
  <c r="W15" i="7"/>
  <c r="X15" i="7"/>
  <c r="E16" i="7"/>
  <c r="F16" i="7"/>
  <c r="J16" i="7"/>
  <c r="K16" i="7"/>
  <c r="M16" i="7"/>
  <c r="V16" i="7"/>
  <c r="W16" i="7"/>
  <c r="X16" i="7"/>
  <c r="O20" i="7"/>
  <c r="O25" i="7" s="1"/>
  <c r="O26" i="7" s="1"/>
  <c r="O21" i="7"/>
  <c r="P21" i="7" s="1"/>
  <c r="Q21" i="7" s="1"/>
  <c r="R21" i="7" s="1"/>
  <c r="S21" i="7" s="1"/>
  <c r="T21" i="7" s="1"/>
  <c r="O22" i="7"/>
  <c r="P22" i="7"/>
  <c r="Q22" i="7" s="1"/>
  <c r="R22" i="7" s="1"/>
  <c r="S22" i="7" s="1"/>
  <c r="T22" i="7" s="1"/>
  <c r="O23" i="7"/>
  <c r="P23" i="7" s="1"/>
  <c r="Q23" i="7" s="1"/>
  <c r="R23" i="7" s="1"/>
  <c r="S23" i="7" s="1"/>
  <c r="T23" i="7" s="1"/>
  <c r="O24" i="7"/>
  <c r="P24" i="7"/>
  <c r="Q24" i="7" s="1"/>
  <c r="R24" i="7" s="1"/>
  <c r="S24" i="7" s="1"/>
  <c r="T24" i="7" s="1"/>
  <c r="E25" i="7"/>
  <c r="E26" i="7" s="1"/>
  <c r="F25" i="7"/>
  <c r="F26" i="7" s="1"/>
  <c r="G25" i="7"/>
  <c r="G26" i="7" s="1"/>
  <c r="H25" i="7"/>
  <c r="H26" i="7" s="1"/>
  <c r="I25" i="7"/>
  <c r="J25" i="7"/>
  <c r="K25" i="7"/>
  <c r="L25" i="7"/>
  <c r="M25" i="7"/>
  <c r="N25" i="7"/>
  <c r="V25" i="7"/>
  <c r="V26" i="7" s="1"/>
  <c r="W25" i="7"/>
  <c r="W26" i="7" s="1"/>
  <c r="X25" i="7"/>
  <c r="X26" i="7" s="1"/>
  <c r="J26" i="7"/>
  <c r="K26" i="7"/>
  <c r="L26" i="7"/>
  <c r="M26" i="7"/>
  <c r="N26" i="7"/>
  <c r="E28" i="7"/>
  <c r="E29" i="7" s="1"/>
  <c r="F28" i="7"/>
  <c r="F29" i="7" s="1"/>
  <c r="G28" i="7"/>
  <c r="G29" i="7" s="1"/>
  <c r="H28" i="7"/>
  <c r="H29" i="7" s="1"/>
  <c r="I28" i="7"/>
  <c r="I29" i="7" s="1"/>
  <c r="J28" i="7"/>
  <c r="J29" i="7" s="1"/>
  <c r="K28" i="7"/>
  <c r="K29" i="7" s="1"/>
  <c r="L28" i="7"/>
  <c r="L29" i="7" s="1"/>
  <c r="M28" i="7"/>
  <c r="M29" i="7" s="1"/>
  <c r="N28" i="7"/>
  <c r="N29" i="7" s="1"/>
  <c r="O29" i="7" s="1"/>
  <c r="V28" i="7"/>
  <c r="V29" i="7" s="1"/>
  <c r="W28" i="7"/>
  <c r="W29" i="7" s="1"/>
  <c r="X28" i="7"/>
  <c r="X29" i="7" s="1"/>
  <c r="Y28" i="7"/>
  <c r="Z28" i="7"/>
  <c r="AA28" i="7"/>
  <c r="AB28" i="7"/>
  <c r="E31" i="7"/>
  <c r="F31" i="7"/>
  <c r="F32" i="7" s="1"/>
  <c r="G31" i="7"/>
  <c r="G32" i="7" s="1"/>
  <c r="H31" i="7"/>
  <c r="I31" i="7"/>
  <c r="J31" i="7"/>
  <c r="J32" i="7" s="1"/>
  <c r="K31" i="7"/>
  <c r="K32" i="7" s="1"/>
  <c r="L31" i="7"/>
  <c r="L32" i="7" s="1"/>
  <c r="M31" i="7"/>
  <c r="M32" i="7" s="1"/>
  <c r="N31" i="7"/>
  <c r="N32" i="7" s="1"/>
  <c r="O32" i="7" s="1"/>
  <c r="V31" i="7"/>
  <c r="W31" i="7"/>
  <c r="W32" i="7" s="1"/>
  <c r="X31" i="7"/>
  <c r="X32" i="7" s="1"/>
  <c r="Y31" i="7"/>
  <c r="Z31" i="7"/>
  <c r="AA31" i="7"/>
  <c r="AB31" i="7"/>
  <c r="E447" i="28" l="1"/>
  <c r="O195" i="28"/>
  <c r="Q595" i="28"/>
  <c r="E456" i="28"/>
  <c r="M371" i="28"/>
  <c r="G714" i="28"/>
  <c r="M399" i="28"/>
  <c r="M457" i="28"/>
  <c r="Z152" i="28"/>
  <c r="I283" i="28"/>
  <c r="E399" i="28"/>
  <c r="S49" i="28"/>
  <c r="O90" i="3"/>
  <c r="O92" i="3" s="1"/>
  <c r="O13" i="14" s="1"/>
  <c r="I90" i="3"/>
  <c r="I92" i="3" s="1"/>
  <c r="E90" i="3"/>
  <c r="E92" i="3" s="1"/>
  <c r="G90" i="3"/>
  <c r="G92" i="3" s="1"/>
  <c r="M71" i="28"/>
  <c r="K623" i="28"/>
  <c r="F156" i="28"/>
  <c r="O283" i="28"/>
  <c r="G683" i="28"/>
  <c r="G685" i="28" s="1"/>
  <c r="F157" i="28"/>
  <c r="F148" i="28" s="1"/>
  <c r="F149" i="28" s="1"/>
  <c r="R48" i="28"/>
  <c r="R53" i="28" s="1"/>
  <c r="R9" i="14"/>
  <c r="AP237" i="3"/>
  <c r="Q465" i="28"/>
  <c r="Q467" i="28" s="1"/>
  <c r="Q469" i="28" s="1"/>
  <c r="S100" i="28"/>
  <c r="S57" i="28"/>
  <c r="R71" i="28"/>
  <c r="E100" i="28"/>
  <c r="E11" i="28" s="1"/>
  <c r="E12" i="28" s="1"/>
  <c r="E48" i="28"/>
  <c r="I76" i="28"/>
  <c r="Q104" i="28"/>
  <c r="Q14" i="28" s="1"/>
  <c r="E83" i="28"/>
  <c r="I48" i="28"/>
  <c r="E76" i="28"/>
  <c r="Q83" i="28"/>
  <c r="M100" i="28"/>
  <c r="M11" i="28" s="1"/>
  <c r="M68" i="28" s="1"/>
  <c r="I68" i="28"/>
  <c r="M83" i="28"/>
  <c r="M76" i="28"/>
  <c r="E71" i="28"/>
  <c r="Q61" i="28"/>
  <c r="N463" i="28"/>
  <c r="R42" i="3"/>
  <c r="R71" i="3"/>
  <c r="R88" i="3" s="1"/>
  <c r="Q36" i="3"/>
  <c r="Q211" i="3" s="1"/>
  <c r="K399" i="28"/>
  <c r="AG170" i="3"/>
  <c r="AG165" i="3" s="1"/>
  <c r="AG189" i="3" s="1"/>
  <c r="AG12" i="3"/>
  <c r="AG63" i="3" s="1"/>
  <c r="K683" i="28"/>
  <c r="K685" i="28" s="1"/>
  <c r="K371" i="28"/>
  <c r="O399" i="28"/>
  <c r="F714" i="28"/>
  <c r="O371" i="28"/>
  <c r="N371" i="28"/>
  <c r="AH12" i="3"/>
  <c r="AH63" i="3" s="1"/>
  <c r="AH170" i="3"/>
  <c r="AH165" i="3" s="1"/>
  <c r="AH189" i="3" s="1"/>
  <c r="AG299" i="28"/>
  <c r="AG436" i="28" s="1"/>
  <c r="AH299" i="28"/>
  <c r="N399" i="28"/>
  <c r="AH211" i="28"/>
  <c r="AG523" i="28"/>
  <c r="AG528" i="28" s="1"/>
  <c r="AH523" i="28"/>
  <c r="S712" i="28"/>
  <c r="V44" i="4"/>
  <c r="AR236" i="3"/>
  <c r="AS236" i="3" s="1"/>
  <c r="AT236" i="3" s="1"/>
  <c r="AO237" i="3"/>
  <c r="G507" i="28"/>
  <c r="X481" i="28"/>
  <c r="W473" i="28"/>
  <c r="G535" i="28"/>
  <c r="G463" i="28"/>
  <c r="V256" i="28"/>
  <c r="J156" i="28"/>
  <c r="J595" i="28"/>
  <c r="N155" i="28"/>
  <c r="N535" i="28"/>
  <c r="S551" i="28"/>
  <c r="S553" i="28" s="1"/>
  <c r="X162" i="28"/>
  <c r="S222" i="28"/>
  <c r="S235" i="28"/>
  <c r="S237" i="28" s="1"/>
  <c r="R41" i="3"/>
  <c r="X184" i="3"/>
  <c r="W184" i="3"/>
  <c r="X115" i="3"/>
  <c r="X114" i="3" s="1"/>
  <c r="W114" i="3"/>
  <c r="X130" i="3"/>
  <c r="X229" i="3" s="1"/>
  <c r="W229" i="3"/>
  <c r="W209" i="3"/>
  <c r="X124" i="3"/>
  <c r="W123" i="3"/>
  <c r="V39" i="28"/>
  <c r="V281" i="3"/>
  <c r="W38" i="3"/>
  <c r="H263" i="3"/>
  <c r="U55" i="14"/>
  <c r="AA12" i="28"/>
  <c r="O71" i="3"/>
  <c r="O88" i="3" s="1"/>
  <c r="O42" i="3"/>
  <c r="E235" i="3"/>
  <c r="E237" i="3" s="1"/>
  <c r="E239" i="3" s="1"/>
  <c r="E4" i="3" s="1"/>
  <c r="O235" i="3"/>
  <c r="H293" i="3"/>
  <c r="G235" i="3"/>
  <c r="E71" i="3"/>
  <c r="E88" i="3" s="1"/>
  <c r="E42" i="3"/>
  <c r="R12" i="28"/>
  <c r="R8" i="14" s="1"/>
  <c r="M235" i="3"/>
  <c r="M90" i="3"/>
  <c r="M92" i="3" s="1"/>
  <c r="I235" i="3"/>
  <c r="AA154" i="3"/>
  <c r="F25" i="14" s="1"/>
  <c r="R235" i="3"/>
  <c r="R90" i="3"/>
  <c r="R92" i="3" s="1"/>
  <c r="R13" i="14" s="1"/>
  <c r="I42" i="3"/>
  <c r="I71" i="3"/>
  <c r="I88" i="3" s="1"/>
  <c r="I41" i="3"/>
  <c r="F154" i="3"/>
  <c r="F156" i="3" s="1"/>
  <c r="F3" i="3" s="1"/>
  <c r="I32" i="7"/>
  <c r="G149" i="3"/>
  <c r="H249" i="3"/>
  <c r="M71" i="3"/>
  <c r="M88" i="3" s="1"/>
  <c r="M42" i="3"/>
  <c r="M41" i="3"/>
  <c r="AA237" i="3"/>
  <c r="AA4" i="3" s="1"/>
  <c r="Q399" i="28"/>
  <c r="G157" i="28"/>
  <c r="G148" i="28" s="1"/>
  <c r="G149" i="28" s="1"/>
  <c r="J535" i="28"/>
  <c r="J155" i="28"/>
  <c r="J157" i="28" s="1"/>
  <c r="J148" i="28" s="1"/>
  <c r="J149" i="28" s="1"/>
  <c r="J507" i="28"/>
  <c r="E152" i="28"/>
  <c r="E157" i="28" s="1"/>
  <c r="E148" i="28" s="1"/>
  <c r="E149" i="28" s="1"/>
  <c r="E195" i="28"/>
  <c r="E223" i="28"/>
  <c r="O705" i="28"/>
  <c r="O715" i="28" s="1"/>
  <c r="O714" i="28"/>
  <c r="O683" i="28"/>
  <c r="O685" i="28" s="1"/>
  <c r="O675" i="28"/>
  <c r="T454" i="28"/>
  <c r="T466" i="28" s="1"/>
  <c r="I157" i="28"/>
  <c r="I148" i="28" s="1"/>
  <c r="I149" i="28" s="1"/>
  <c r="N53" i="28"/>
  <c r="F675" i="28"/>
  <c r="F683" i="28"/>
  <c r="F685" i="28" s="1"/>
  <c r="AA714" i="28"/>
  <c r="AA705" i="28"/>
  <c r="AA715" i="28" s="1"/>
  <c r="K157" i="28"/>
  <c r="K148" i="28" s="1"/>
  <c r="K149" i="28" s="1"/>
  <c r="Z705" i="28"/>
  <c r="Z715" i="28" s="1"/>
  <c r="Z714" i="28"/>
  <c r="K457" i="28"/>
  <c r="K465" i="28"/>
  <c r="K467" i="28" s="1"/>
  <c r="K469" i="28" s="1"/>
  <c r="K705" i="28"/>
  <c r="K715" i="28" s="1"/>
  <c r="K714" i="28"/>
  <c r="Z320" i="28"/>
  <c r="Z327" i="28"/>
  <c r="Z329" i="28" s="1"/>
  <c r="Z331" i="28" s="1"/>
  <c r="AA674" i="28"/>
  <c r="AA665" i="28"/>
  <c r="AA679" i="28"/>
  <c r="AA681" i="28" s="1"/>
  <c r="O232" i="28"/>
  <c r="O239" i="28"/>
  <c r="O241" i="28" s="1"/>
  <c r="O243" i="28" s="1"/>
  <c r="Z461" i="28"/>
  <c r="Z463" i="28" s="1"/>
  <c r="Z447" i="28"/>
  <c r="M157" i="28"/>
  <c r="M148" i="28" s="1"/>
  <c r="M149" i="28" s="1"/>
  <c r="F447" i="28"/>
  <c r="F461" i="28"/>
  <c r="F463" i="28" s="1"/>
  <c r="F456" i="28"/>
  <c r="N639" i="28"/>
  <c r="N641" i="28" s="1"/>
  <c r="N643" i="28" s="1"/>
  <c r="N632" i="28"/>
  <c r="O461" i="28"/>
  <c r="O463" i="28" s="1"/>
  <c r="O447" i="28"/>
  <c r="O456" i="28"/>
  <c r="O157" i="28"/>
  <c r="O148" i="28" s="1"/>
  <c r="O149" i="28" s="1"/>
  <c r="R280" i="28"/>
  <c r="R282" i="28" s="1"/>
  <c r="R153" i="28" s="1"/>
  <c r="N665" i="28"/>
  <c r="N679" i="28"/>
  <c r="N681" i="28" s="1"/>
  <c r="N674" i="28"/>
  <c r="K15" i="14"/>
  <c r="T712" i="28"/>
  <c r="AA157" i="28"/>
  <c r="AA148" i="28" s="1"/>
  <c r="AA149" i="28" s="1"/>
  <c r="N153" i="28"/>
  <c r="N283" i="28"/>
  <c r="N714" i="28"/>
  <c r="N705" i="28"/>
  <c r="N715" i="28" s="1"/>
  <c r="Z683" i="28"/>
  <c r="Z685" i="28" s="1"/>
  <c r="Z675" i="28"/>
  <c r="Z157" i="28"/>
  <c r="Z148" i="28" s="1"/>
  <c r="Z149" i="28" s="1"/>
  <c r="E408" i="28"/>
  <c r="E415" i="28"/>
  <c r="E417" i="28" s="1"/>
  <c r="E419" i="28" s="1"/>
  <c r="M415" i="28"/>
  <c r="M417" i="28" s="1"/>
  <c r="M419" i="28" s="1"/>
  <c r="M408" i="28"/>
  <c r="P32" i="7"/>
  <c r="O31" i="7"/>
  <c r="K90" i="3"/>
  <c r="K92" i="3" s="1"/>
  <c r="K235" i="3"/>
  <c r="Y6" i="7"/>
  <c r="X5" i="7"/>
  <c r="P29" i="7"/>
  <c r="O28" i="7"/>
  <c r="H6" i="7"/>
  <c r="G5" i="7"/>
  <c r="E665" i="28"/>
  <c r="E679" i="28"/>
  <c r="E681" i="28" s="1"/>
  <c r="E674" i="28"/>
  <c r="H32" i="7"/>
  <c r="I675" i="28"/>
  <c r="I683" i="28"/>
  <c r="I685" i="28" s="1"/>
  <c r="Z12" i="28"/>
  <c r="Z68" i="28"/>
  <c r="F20" i="28"/>
  <c r="F58" i="28" s="1"/>
  <c r="F69" i="28"/>
  <c r="G53" i="28"/>
  <c r="I705" i="28"/>
  <c r="I715" i="28" s="1"/>
  <c r="I714" i="28"/>
  <c r="H244" i="3"/>
  <c r="H246" i="3" s="1"/>
  <c r="G148" i="3"/>
  <c r="N90" i="3"/>
  <c r="N92" i="3" s="1"/>
  <c r="N13" i="14" s="1"/>
  <c r="V32" i="7"/>
  <c r="E32" i="7"/>
  <c r="R652" i="28"/>
  <c r="R692" i="28" s="1"/>
  <c r="R192" i="28"/>
  <c r="R194" i="28" s="1"/>
  <c r="O12" i="28"/>
  <c r="O8" i="14" s="1"/>
  <c r="O68" i="28"/>
  <c r="AG611" i="28"/>
  <c r="AG100" i="28"/>
  <c r="E705" i="28"/>
  <c r="E715" i="28" s="1"/>
  <c r="E714" i="28"/>
  <c r="S631" i="28"/>
  <c r="S637" i="28"/>
  <c r="O53" i="28"/>
  <c r="AE6" i="3"/>
  <c r="AD5" i="3"/>
  <c r="G408" i="28"/>
  <c r="G415" i="28"/>
  <c r="G417" i="28" s="1"/>
  <c r="G419" i="28" s="1"/>
  <c r="Q12" i="28"/>
  <c r="Q8" i="14" s="1"/>
  <c r="Q68" i="28"/>
  <c r="L90" i="3"/>
  <c r="L92" i="3" s="1"/>
  <c r="L235" i="3"/>
  <c r="AG15" i="3"/>
  <c r="S674" i="28"/>
  <c r="S679" i="28"/>
  <c r="S681" i="28" s="1"/>
  <c r="P20" i="7"/>
  <c r="M632" i="28"/>
  <c r="M639" i="28"/>
  <c r="M641" i="28" s="1"/>
  <c r="M643" i="28" s="1"/>
  <c r="J20" i="28"/>
  <c r="J58" i="28" s="1"/>
  <c r="J69" i="28"/>
  <c r="J53" i="28"/>
  <c r="I408" i="28"/>
  <c r="I415" i="28"/>
  <c r="I417" i="28" s="1"/>
  <c r="I419" i="28" s="1"/>
  <c r="J705" i="28"/>
  <c r="J715" i="28" s="1"/>
  <c r="J714" i="28"/>
  <c r="H90" i="3"/>
  <c r="H92" i="3" s="1"/>
  <c r="H235" i="3"/>
  <c r="S694" i="28"/>
  <c r="L42" i="3"/>
  <c r="L71" i="3"/>
  <c r="L88" i="3" s="1"/>
  <c r="L41" i="3"/>
  <c r="I26" i="7"/>
  <c r="J447" i="28"/>
  <c r="J456" i="28"/>
  <c r="J461" i="28"/>
  <c r="J463" i="28" s="1"/>
  <c r="H42" i="3"/>
  <c r="H71" i="3"/>
  <c r="H88" i="3" s="1"/>
  <c r="H41" i="3"/>
  <c r="S466" i="28"/>
  <c r="S462" i="28"/>
  <c r="K20" i="28"/>
  <c r="K58" i="28" s="1"/>
  <c r="K69" i="28"/>
  <c r="Q683" i="28"/>
  <c r="Q685" i="28" s="1"/>
  <c r="Q675" i="28"/>
  <c r="J6" i="28"/>
  <c r="I5" i="28"/>
  <c r="W5" i="7"/>
  <c r="F5" i="7"/>
  <c r="AA42" i="3"/>
  <c r="AA71" i="3"/>
  <c r="AA41" i="3"/>
  <c r="M705" i="28"/>
  <c r="M715" i="28" s="1"/>
  <c r="M714" i="28"/>
  <c r="S324" i="28"/>
  <c r="S328" i="28"/>
  <c r="E457" i="28"/>
  <c r="E465" i="28"/>
  <c r="E467" i="28" s="1"/>
  <c r="E469" i="28" s="1"/>
  <c r="K53" i="28"/>
  <c r="Q157" i="28"/>
  <c r="Q148" i="28" s="1"/>
  <c r="Q149" i="28" s="1"/>
  <c r="M674" i="28"/>
  <c r="M665" i="28"/>
  <c r="M679" i="28"/>
  <c r="M681" i="28" s="1"/>
  <c r="E68" i="28"/>
  <c r="M53" i="28"/>
  <c r="AA457" i="28"/>
  <c r="AA465" i="28"/>
  <c r="AA467" i="28" s="1"/>
  <c r="AA469" i="28" s="1"/>
  <c r="G152" i="3"/>
  <c r="H286" i="3"/>
  <c r="T324" i="28"/>
  <c r="T328" i="28"/>
  <c r="S266" i="28"/>
  <c r="S273" i="28"/>
  <c r="J90" i="3"/>
  <c r="J92" i="3" s="1"/>
  <c r="J235" i="3"/>
  <c r="E463" i="28"/>
  <c r="J675" i="28"/>
  <c r="J683" i="28"/>
  <c r="J685" i="28" s="1"/>
  <c r="S178" i="28"/>
  <c r="P90" i="3"/>
  <c r="P92" i="3" s="1"/>
  <c r="P13" i="14" s="1"/>
  <c r="P235" i="3"/>
  <c r="I20" i="28"/>
  <c r="I69" i="28"/>
  <c r="G12" i="28"/>
  <c r="G68" i="28"/>
  <c r="I544" i="28"/>
  <c r="I551" i="28"/>
  <c r="I553" i="28" s="1"/>
  <c r="I555" i="28" s="1"/>
  <c r="I447" i="28"/>
  <c r="I456" i="28"/>
  <c r="I461" i="28"/>
  <c r="I463" i="28" s="1"/>
  <c r="K6" i="3"/>
  <c r="J5" i="3"/>
  <c r="R592" i="28"/>
  <c r="R594" i="28" s="1"/>
  <c r="J42" i="3"/>
  <c r="J71" i="3"/>
  <c r="J88" i="3" s="1"/>
  <c r="J41" i="3"/>
  <c r="E544" i="28"/>
  <c r="E551" i="28"/>
  <c r="E553" i="28" s="1"/>
  <c r="E555" i="28" s="1"/>
  <c r="P41" i="3"/>
  <c r="P71" i="3"/>
  <c r="P88" i="3" s="1"/>
  <c r="P42" i="3"/>
  <c r="R504" i="28"/>
  <c r="R506" i="28" s="1"/>
  <c r="N41" i="3"/>
  <c r="N71" i="3"/>
  <c r="N88" i="3" s="1"/>
  <c r="N42" i="3"/>
  <c r="K632" i="28"/>
  <c r="K639" i="28"/>
  <c r="K641" i="28" s="1"/>
  <c r="K643" i="28" s="1"/>
  <c r="AD6" i="28"/>
  <c r="AC5" i="28"/>
  <c r="F90" i="3"/>
  <c r="F92" i="3" s="1"/>
  <c r="F235" i="3"/>
  <c r="J408" i="28"/>
  <c r="J415" i="28"/>
  <c r="J417" i="28" s="1"/>
  <c r="J419" i="28" s="1"/>
  <c r="N20" i="28"/>
  <c r="N11" i="14" s="1"/>
  <c r="N69" i="28"/>
  <c r="K42" i="3"/>
  <c r="K41" i="3"/>
  <c r="K71" i="3"/>
  <c r="K88" i="3" s="1"/>
  <c r="R368" i="28"/>
  <c r="R370" i="28" s="1"/>
  <c r="M12" i="28"/>
  <c r="R683" i="28"/>
  <c r="R685" i="28" s="1"/>
  <c r="R675" i="28"/>
  <c r="F42" i="3"/>
  <c r="F41" i="3"/>
  <c r="F71" i="3"/>
  <c r="F88" i="3" s="1"/>
  <c r="J632" i="28"/>
  <c r="J639" i="28"/>
  <c r="J641" i="28" s="1"/>
  <c r="J643" i="28" s="1"/>
  <c r="Q235" i="3" l="1"/>
  <c r="X473" i="28"/>
  <c r="R39" i="14"/>
  <c r="Q9" i="14"/>
  <c r="N58" i="28"/>
  <c r="E53" i="28"/>
  <c r="AA20" i="28"/>
  <c r="AA28" i="28" s="1"/>
  <c r="F10" i="14" s="1"/>
  <c r="F8" i="14"/>
  <c r="Q48" i="28"/>
  <c r="Q71" i="28"/>
  <c r="I53" i="28"/>
  <c r="AS237" i="3"/>
  <c r="Q39" i="3"/>
  <c r="Q51" i="3"/>
  <c r="Q69" i="3" s="1"/>
  <c r="T462" i="28"/>
  <c r="N157" i="28"/>
  <c r="N148" i="28" s="1"/>
  <c r="N149" i="28" s="1"/>
  <c r="AH654" i="28"/>
  <c r="AH436" i="28"/>
  <c r="AH100" i="28"/>
  <c r="AR237" i="3"/>
  <c r="W227" i="3"/>
  <c r="W44" i="4"/>
  <c r="X227" i="3"/>
  <c r="X44" i="4"/>
  <c r="W256" i="28"/>
  <c r="S232" i="28"/>
  <c r="S239" i="28"/>
  <c r="S241" i="28" s="1"/>
  <c r="X209" i="3"/>
  <c r="X123" i="3"/>
  <c r="W223" i="3"/>
  <c r="W281" i="3"/>
  <c r="X38" i="3"/>
  <c r="W39" i="28"/>
  <c r="AA69" i="28"/>
  <c r="F236" i="3"/>
  <c r="F237" i="3" s="1"/>
  <c r="F239" i="3" s="1"/>
  <c r="R20" i="28"/>
  <c r="R11" i="14" s="1"/>
  <c r="R69" i="28"/>
  <c r="AB236" i="3"/>
  <c r="AA156" i="3"/>
  <c r="AA158" i="3" s="1"/>
  <c r="AA3" i="3" s="1"/>
  <c r="AU236" i="3"/>
  <c r="AU237" i="3" s="1"/>
  <c r="AT237" i="3"/>
  <c r="R283" i="28"/>
  <c r="Z457" i="28"/>
  <c r="Z465" i="28"/>
  <c r="Z467" i="28" s="1"/>
  <c r="Z469" i="28" s="1"/>
  <c r="F457" i="28"/>
  <c r="F465" i="28"/>
  <c r="F467" i="28" s="1"/>
  <c r="F469" i="28" s="1"/>
  <c r="N683" i="28"/>
  <c r="N685" i="28" s="1"/>
  <c r="N675" i="28"/>
  <c r="O465" i="28"/>
  <c r="O467" i="28" s="1"/>
  <c r="O469" i="28" s="1"/>
  <c r="O457" i="28"/>
  <c r="AA675" i="28"/>
  <c r="AA683" i="28"/>
  <c r="AA685" i="28" s="1"/>
  <c r="K28" i="28"/>
  <c r="K77" i="28"/>
  <c r="AF6" i="3"/>
  <c r="AE5" i="3"/>
  <c r="R152" i="28"/>
  <c r="R195" i="28"/>
  <c r="E675" i="28"/>
  <c r="E683" i="28"/>
  <c r="E685" i="28" s="1"/>
  <c r="N28" i="28"/>
  <c r="N10" i="14" s="1"/>
  <c r="N77" i="28"/>
  <c r="AG48" i="28"/>
  <c r="I28" i="28"/>
  <c r="I77" i="28"/>
  <c r="I58" i="28"/>
  <c r="I6" i="7"/>
  <c r="H5" i="7"/>
  <c r="AE6" i="28"/>
  <c r="AD5" i="28"/>
  <c r="E20" i="28"/>
  <c r="E69" i="28"/>
  <c r="R507" i="28"/>
  <c r="R155" i="28"/>
  <c r="J28" i="28"/>
  <c r="J77" i="28"/>
  <c r="F28" i="28"/>
  <c r="F77" i="28"/>
  <c r="Q29" i="7"/>
  <c r="L6" i="3"/>
  <c r="K5" i="3"/>
  <c r="M675" i="28"/>
  <c r="M683" i="28"/>
  <c r="M685" i="28" s="1"/>
  <c r="S185" i="28"/>
  <c r="K6" i="28"/>
  <c r="J5" i="28"/>
  <c r="AG11" i="28"/>
  <c r="AG97" i="28"/>
  <c r="AG11" i="3" s="1"/>
  <c r="Z6" i="7"/>
  <c r="Y5" i="7"/>
  <c r="AG654" i="28"/>
  <c r="G154" i="3"/>
  <c r="G156" i="3" s="1"/>
  <c r="G3" i="3" s="1"/>
  <c r="Z20" i="28"/>
  <c r="Z69" i="28"/>
  <c r="R156" i="28"/>
  <c r="R595" i="28"/>
  <c r="H148" i="3"/>
  <c r="I244" i="3"/>
  <c r="I246" i="3" s="1"/>
  <c r="G20" i="28"/>
  <c r="G69" i="28"/>
  <c r="Q20" i="28"/>
  <c r="Q11" i="14" s="1"/>
  <c r="Q69" i="28"/>
  <c r="M20" i="28"/>
  <c r="M69" i="28"/>
  <c r="P25" i="7"/>
  <c r="P26" i="7" s="1"/>
  <c r="Q20" i="7"/>
  <c r="O20" i="28"/>
  <c r="O11" i="14" s="1"/>
  <c r="O69" i="28"/>
  <c r="I465" i="28"/>
  <c r="I467" i="28" s="1"/>
  <c r="I469" i="28" s="1"/>
  <c r="I457" i="28"/>
  <c r="J465" i="28"/>
  <c r="J467" i="28" s="1"/>
  <c r="J469" i="28" s="1"/>
  <c r="J457" i="28"/>
  <c r="Q32" i="7"/>
  <c r="AG121" i="3" l="1"/>
  <c r="AG102" i="3"/>
  <c r="AA77" i="28"/>
  <c r="AG57" i="28"/>
  <c r="O58" i="28"/>
  <c r="AA58" i="28"/>
  <c r="F11" i="14"/>
  <c r="M58" i="28"/>
  <c r="Q58" i="28"/>
  <c r="R58" i="28"/>
  <c r="Q42" i="3"/>
  <c r="Q41" i="3"/>
  <c r="Q71" i="3"/>
  <c r="Q88" i="3" s="1"/>
  <c r="Q90" i="3"/>
  <c r="Q92" i="3" s="1"/>
  <c r="Q13" i="14" s="1"/>
  <c r="AH694" i="28"/>
  <c r="AH97" i="28"/>
  <c r="AH11" i="3" s="1"/>
  <c r="AH57" i="28" s="1"/>
  <c r="AH11" i="28"/>
  <c r="AV236" i="3"/>
  <c r="AW236" i="3" s="1"/>
  <c r="X256" i="28"/>
  <c r="X39" i="28"/>
  <c r="X223" i="3"/>
  <c r="X281" i="3"/>
  <c r="R28" i="28"/>
  <c r="R10" i="14" s="1"/>
  <c r="R77" i="28"/>
  <c r="R38" i="14"/>
  <c r="E28" i="28"/>
  <c r="E77" i="28"/>
  <c r="E58" i="28"/>
  <c r="G28" i="28"/>
  <c r="G77" i="28"/>
  <c r="G58" i="28"/>
  <c r="I33" i="28"/>
  <c r="I85" i="28"/>
  <c r="P31" i="7"/>
  <c r="AA85" i="28"/>
  <c r="J6" i="7"/>
  <c r="I5" i="7"/>
  <c r="AA6" i="7"/>
  <c r="Z5" i="7"/>
  <c r="AF6" i="28"/>
  <c r="AE5" i="28"/>
  <c r="K33" i="28"/>
  <c r="K85" i="28"/>
  <c r="Q28" i="28"/>
  <c r="Q10" i="14" s="1"/>
  <c r="Q77" i="28"/>
  <c r="M6" i="3"/>
  <c r="L5" i="3"/>
  <c r="N33" i="28"/>
  <c r="N85" i="28"/>
  <c r="Q25" i="7"/>
  <c r="Q26" i="7" s="1"/>
  <c r="R20" i="7"/>
  <c r="P28" i="7"/>
  <c r="M28" i="28"/>
  <c r="M77" i="28"/>
  <c r="L6" i="28"/>
  <c r="K5" i="28"/>
  <c r="Q28" i="7"/>
  <c r="R29" i="7"/>
  <c r="Z28" i="28"/>
  <c r="Z77" i="28"/>
  <c r="Z58" i="28"/>
  <c r="F4" i="3"/>
  <c r="G236" i="3"/>
  <c r="G237" i="3" s="1"/>
  <c r="G239" i="3" s="1"/>
  <c r="AG6" i="3"/>
  <c r="AF5" i="3"/>
  <c r="O28" i="28"/>
  <c r="O10" i="14" s="1"/>
  <c r="O77" i="28"/>
  <c r="Q31" i="7"/>
  <c r="R32" i="7"/>
  <c r="F33" i="28"/>
  <c r="F85" i="28"/>
  <c r="J244" i="3"/>
  <c r="J246" i="3" s="1"/>
  <c r="I148" i="3"/>
  <c r="J33" i="28"/>
  <c r="J85" i="28"/>
  <c r="AG694" i="28"/>
  <c r="D5" i="13"/>
  <c r="AV237" i="3" l="1"/>
  <c r="AH102" i="3"/>
  <c r="AH121" i="3"/>
  <c r="H266" i="3"/>
  <c r="AH6" i="3"/>
  <c r="AH5" i="3" s="1"/>
  <c r="AW237" i="3"/>
  <c r="AX236" i="3"/>
  <c r="R85" i="28"/>
  <c r="R33" i="28"/>
  <c r="H294" i="3"/>
  <c r="H256" i="3"/>
  <c r="H257" i="3"/>
  <c r="H282" i="3"/>
  <c r="L254" i="3"/>
  <c r="H278" i="3"/>
  <c r="H259" i="3"/>
  <c r="H297" i="3"/>
  <c r="H251" i="3"/>
  <c r="H273" i="3"/>
  <c r="H253" i="3"/>
  <c r="L258" i="3"/>
  <c r="H254" i="3"/>
  <c r="L267" i="3"/>
  <c r="H252" i="3"/>
  <c r="H279" i="3"/>
  <c r="H255" i="3"/>
  <c r="H296" i="3"/>
  <c r="L272" i="3"/>
  <c r="H281" i="3"/>
  <c r="H289" i="3"/>
  <c r="L271" i="3"/>
  <c r="H271" i="3"/>
  <c r="H288" i="3"/>
  <c r="L289" i="3"/>
  <c r="H280" i="3"/>
  <c r="S32" i="7"/>
  <c r="L264" i="3"/>
  <c r="L266" i="3"/>
  <c r="H272" i="3"/>
  <c r="M6" i="28"/>
  <c r="L5" i="28"/>
  <c r="L269" i="3"/>
  <c r="L250" i="3"/>
  <c r="AB6" i="7"/>
  <c r="AA5" i="7"/>
  <c r="E33" i="28"/>
  <c r="E85" i="28"/>
  <c r="R42" i="14"/>
  <c r="R41" i="14"/>
  <c r="L278" i="3"/>
  <c r="L296" i="3"/>
  <c r="H269" i="3"/>
  <c r="F37" i="28"/>
  <c r="F90" i="28"/>
  <c r="F36" i="28"/>
  <c r="R25" i="7"/>
  <c r="R26" i="7" s="1"/>
  <c r="S20" i="7"/>
  <c r="L297" i="3"/>
  <c r="L280" i="3"/>
  <c r="M5" i="3"/>
  <c r="N6" i="3"/>
  <c r="O33" i="28"/>
  <c r="O85" i="28"/>
  <c r="L279" i="3"/>
  <c r="L287" i="3"/>
  <c r="H250" i="3"/>
  <c r="H287" i="3"/>
  <c r="H295" i="3"/>
  <c r="M33" i="28"/>
  <c r="M85" i="28"/>
  <c r="L268" i="3"/>
  <c r="L256" i="3"/>
  <c r="L257" i="3"/>
  <c r="L252" i="3"/>
  <c r="AG5" i="3"/>
  <c r="H264" i="3"/>
  <c r="L265" i="3"/>
  <c r="L259" i="3"/>
  <c r="K6" i="7"/>
  <c r="J5" i="7"/>
  <c r="G4" i="3"/>
  <c r="H236" i="3"/>
  <c r="H237" i="3" s="1"/>
  <c r="H239" i="3" s="1"/>
  <c r="L295" i="3"/>
  <c r="L255" i="3"/>
  <c r="H258" i="3"/>
  <c r="N37" i="28"/>
  <c r="N90" i="28"/>
  <c r="N36" i="28"/>
  <c r="L282" i="3"/>
  <c r="L251" i="3"/>
  <c r="Q33" i="28"/>
  <c r="Q85" i="28"/>
  <c r="H267" i="3"/>
  <c r="J37" i="28"/>
  <c r="J90" i="28"/>
  <c r="J36" i="28"/>
  <c r="L253" i="3"/>
  <c r="L294" i="3"/>
  <c r="H270" i="3"/>
  <c r="H268" i="3"/>
  <c r="H265" i="3"/>
  <c r="G33" i="28"/>
  <c r="G85" i="28"/>
  <c r="S29" i="7"/>
  <c r="R28" i="7"/>
  <c r="Z33" i="28"/>
  <c r="Z85" i="28"/>
  <c r="L273" i="3"/>
  <c r="L281" i="3"/>
  <c r="AG6" i="28"/>
  <c r="AF5" i="28"/>
  <c r="I37" i="28"/>
  <c r="I90" i="28"/>
  <c r="I36" i="28"/>
  <c r="J148" i="3"/>
  <c r="K244" i="3"/>
  <c r="K246" i="3" s="1"/>
  <c r="L288" i="3"/>
  <c r="L270" i="3"/>
  <c r="K37" i="28"/>
  <c r="K90" i="28"/>
  <c r="K36" i="28"/>
  <c r="Y6" i="13"/>
  <c r="Z6" i="13"/>
  <c r="AG1" i="28" l="1"/>
  <c r="AG364" i="28" s="1"/>
  <c r="AG2" i="28"/>
  <c r="R44" i="14"/>
  <c r="R45" i="14"/>
  <c r="R36" i="28"/>
  <c r="AX237" i="3"/>
  <c r="AY236" i="3"/>
  <c r="L295" i="28"/>
  <c r="AH6" i="28"/>
  <c r="R90" i="28"/>
  <c r="R37" i="28"/>
  <c r="H298" i="3"/>
  <c r="I293" i="3" s="1"/>
  <c r="I298" i="3" s="1"/>
  <c r="H283" i="3"/>
  <c r="H151" i="3" s="1"/>
  <c r="H290" i="3"/>
  <c r="H152" i="3" s="1"/>
  <c r="L509" i="28"/>
  <c r="H494" i="28"/>
  <c r="H497" i="28" s="1"/>
  <c r="H383" i="28"/>
  <c r="L197" i="28"/>
  <c r="L287" i="28"/>
  <c r="L299" i="28" s="1"/>
  <c r="L304" i="28" s="1"/>
  <c r="L319" i="28" s="1"/>
  <c r="H197" i="28"/>
  <c r="L357" i="28"/>
  <c r="H271" i="28"/>
  <c r="H200" i="28"/>
  <c r="H581" i="28"/>
  <c r="L493" i="28"/>
  <c r="L184" i="28"/>
  <c r="L600" i="28"/>
  <c r="AC6" i="7"/>
  <c r="AB5" i="7"/>
  <c r="T20" i="7"/>
  <c r="T25" i="7" s="1"/>
  <c r="T26" i="7" s="1"/>
  <c r="S25" i="7"/>
  <c r="S26" i="7" s="1"/>
  <c r="L376" i="28"/>
  <c r="AG5" i="28"/>
  <c r="H375" i="28"/>
  <c r="H387" i="28" s="1"/>
  <c r="H392" i="28" s="1"/>
  <c r="H269" i="28"/>
  <c r="H207" i="28"/>
  <c r="H272" i="28"/>
  <c r="H509" i="28"/>
  <c r="H295" i="28"/>
  <c r="H288" i="28"/>
  <c r="H357" i="28"/>
  <c r="H512" i="28"/>
  <c r="H144" i="28"/>
  <c r="H607" i="28"/>
  <c r="H373" i="28"/>
  <c r="H54" i="28"/>
  <c r="G37" i="28"/>
  <c r="G90" i="28"/>
  <c r="G36" i="28"/>
  <c r="H260" i="3"/>
  <c r="L383" i="28"/>
  <c r="L183" i="28"/>
  <c r="E37" i="28"/>
  <c r="E90" i="28"/>
  <c r="E36" i="28"/>
  <c r="H519" i="28"/>
  <c r="H147" i="28"/>
  <c r="L511" i="28"/>
  <c r="L523" i="28" s="1"/>
  <c r="L181" i="28"/>
  <c r="H285" i="28"/>
  <c r="F40" i="28"/>
  <c r="F59" i="28" s="1"/>
  <c r="F93" i="28"/>
  <c r="L207" i="28"/>
  <c r="L146" i="28"/>
  <c r="R31" i="7"/>
  <c r="L244" i="3"/>
  <c r="L246" i="3" s="1"/>
  <c r="K148" i="3"/>
  <c r="H181" i="28"/>
  <c r="L607" i="28"/>
  <c r="L519" i="28"/>
  <c r="L144" i="28"/>
  <c r="S31" i="7"/>
  <c r="T32" i="7"/>
  <c r="T31" i="7" s="1"/>
  <c r="H145" i="28"/>
  <c r="Q37" i="28"/>
  <c r="Q90" i="28"/>
  <c r="Q36" i="28"/>
  <c r="L597" i="28"/>
  <c r="L271" i="28"/>
  <c r="Z37" i="28"/>
  <c r="Z90" i="28"/>
  <c r="Z36" i="28"/>
  <c r="H4" i="3"/>
  <c r="I236" i="3"/>
  <c r="I237" i="3" s="1"/>
  <c r="I239" i="3" s="1"/>
  <c r="H582" i="28"/>
  <c r="L581" i="28"/>
  <c r="L200" i="28"/>
  <c r="L182" i="28"/>
  <c r="H511" i="28"/>
  <c r="H523" i="28" s="1"/>
  <c r="H358" i="28"/>
  <c r="H274" i="3"/>
  <c r="H597" i="28"/>
  <c r="H601" i="28" s="1"/>
  <c r="M37" i="28"/>
  <c r="M90" i="28"/>
  <c r="M36" i="28"/>
  <c r="L375" i="28"/>
  <c r="L387" i="28" s="1"/>
  <c r="L392" i="28" s="1"/>
  <c r="L288" i="28"/>
  <c r="L147" i="28"/>
  <c r="H146" i="28"/>
  <c r="J40" i="28"/>
  <c r="J59" i="28" s="1"/>
  <c r="J93" i="28"/>
  <c r="L373" i="28"/>
  <c r="L285" i="28"/>
  <c r="L145" i="28"/>
  <c r="H376" i="28"/>
  <c r="L599" i="28"/>
  <c r="L611" i="28" s="1"/>
  <c r="L616" i="28" s="1"/>
  <c r="L358" i="28"/>
  <c r="L361" i="28" s="1"/>
  <c r="N6" i="28"/>
  <c r="M5" i="28"/>
  <c r="K40" i="28"/>
  <c r="K59" i="28" s="1"/>
  <c r="K93" i="28"/>
  <c r="H183" i="28"/>
  <c r="H199" i="28"/>
  <c r="N40" i="28"/>
  <c r="N59" i="28" s="1"/>
  <c r="N93" i="28"/>
  <c r="L6" i="7"/>
  <c r="K5" i="7"/>
  <c r="R40" i="14"/>
  <c r="N5" i="3"/>
  <c r="O6" i="3"/>
  <c r="L582" i="28"/>
  <c r="L272" i="28"/>
  <c r="L54" i="28"/>
  <c r="H493" i="28"/>
  <c r="H184" i="28"/>
  <c r="L494" i="28"/>
  <c r="L497" i="28" s="1"/>
  <c r="L199" i="28"/>
  <c r="I40" i="28"/>
  <c r="I59" i="28" s="1"/>
  <c r="I93" i="28"/>
  <c r="H182" i="28"/>
  <c r="H287" i="28"/>
  <c r="H299" i="28" s="1"/>
  <c r="H304" i="28" s="1"/>
  <c r="H319" i="28" s="1"/>
  <c r="T29" i="7"/>
  <c r="T28" i="7" s="1"/>
  <c r="S28" i="7"/>
  <c r="O37" i="28"/>
  <c r="O90" i="28"/>
  <c r="O36" i="28"/>
  <c r="L512" i="28"/>
  <c r="L269" i="28"/>
  <c r="N27" i="13"/>
  <c r="O27" i="13"/>
  <c r="P27" i="13"/>
  <c r="G28" i="13"/>
  <c r="S29" i="13"/>
  <c r="S30" i="13" s="1"/>
  <c r="S33" i="13" s="1"/>
  <c r="V29" i="13"/>
  <c r="V30" i="13" s="1"/>
  <c r="V31" i="13" s="1"/>
  <c r="V32" i="13" s="1"/>
  <c r="E31" i="13"/>
  <c r="AG365" i="28" l="1"/>
  <c r="AG277" i="28"/>
  <c r="AH5" i="28"/>
  <c r="AH1" i="28"/>
  <c r="AH364" i="28" s="1"/>
  <c r="AH2" i="28"/>
  <c r="AY237" i="3"/>
  <c r="R93" i="28"/>
  <c r="H53" i="28"/>
  <c r="L53" i="28"/>
  <c r="L521" i="28"/>
  <c r="R40" i="28"/>
  <c r="R59" i="28" s="1"/>
  <c r="L136" i="28"/>
  <c r="H134" i="28"/>
  <c r="H153" i="3"/>
  <c r="I277" i="3"/>
  <c r="I283" i="3" s="1"/>
  <c r="J277" i="3" s="1"/>
  <c r="J283" i="3" s="1"/>
  <c r="I286" i="3"/>
  <c r="I290" i="3" s="1"/>
  <c r="I152" i="3" s="1"/>
  <c r="L289" i="28"/>
  <c r="L294" i="28" s="1"/>
  <c r="H22" i="28"/>
  <c r="H135" i="28"/>
  <c r="H385" i="28"/>
  <c r="L273" i="28"/>
  <c r="H273" i="28"/>
  <c r="L513" i="28"/>
  <c r="L515" i="28" s="1"/>
  <c r="H521" i="28"/>
  <c r="L10" i="28"/>
  <c r="H10" i="28"/>
  <c r="Z40" i="28"/>
  <c r="Z59" i="28" s="1"/>
  <c r="Z93" i="28"/>
  <c r="Q40" i="28"/>
  <c r="Q59" i="28" s="1"/>
  <c r="Q93" i="28"/>
  <c r="H150" i="3"/>
  <c r="I263" i="3"/>
  <c r="I274" i="3" s="1"/>
  <c r="L528" i="28"/>
  <c r="L654" i="28"/>
  <c r="O40" i="28"/>
  <c r="O59" i="28" s="1"/>
  <c r="O93" i="28"/>
  <c r="L585" i="28"/>
  <c r="L650" i="28"/>
  <c r="N5" i="28"/>
  <c r="O6" i="28"/>
  <c r="L601" i="28"/>
  <c r="H133" i="28"/>
  <c r="H185" i="28"/>
  <c r="H432" i="28"/>
  <c r="H97" i="28"/>
  <c r="H211" i="28"/>
  <c r="O5" i="3"/>
  <c r="P6" i="3"/>
  <c r="L377" i="28"/>
  <c r="G40" i="28"/>
  <c r="G59" i="28" s="1"/>
  <c r="G93" i="28"/>
  <c r="L97" i="28"/>
  <c r="L211" i="28"/>
  <c r="L622" i="28"/>
  <c r="L635" i="28"/>
  <c r="L637" i="28" s="1"/>
  <c r="L631" i="28"/>
  <c r="L407" i="28"/>
  <c r="L411" i="28"/>
  <c r="L413" i="28" s="1"/>
  <c r="L398" i="28"/>
  <c r="L148" i="3"/>
  <c r="M244" i="3"/>
  <c r="M246" i="3" s="1"/>
  <c r="L135" i="28"/>
  <c r="L385" i="28"/>
  <c r="H377" i="28"/>
  <c r="H606" i="28"/>
  <c r="H603" i="28"/>
  <c r="H528" i="28"/>
  <c r="H654" i="28"/>
  <c r="H289" i="28"/>
  <c r="H609" i="28"/>
  <c r="L185" i="28"/>
  <c r="L133" i="28"/>
  <c r="L432" i="28"/>
  <c r="E40" i="28"/>
  <c r="E59" i="28" s="1"/>
  <c r="E93" i="28"/>
  <c r="H201" i="28"/>
  <c r="H136" i="28"/>
  <c r="L609" i="28"/>
  <c r="AD6" i="7"/>
  <c r="AC5" i="7"/>
  <c r="H42" i="28"/>
  <c r="H60" i="28" s="1"/>
  <c r="H209" i="28"/>
  <c r="H585" i="28"/>
  <c r="H650" i="28"/>
  <c r="I153" i="3"/>
  <c r="J293" i="3"/>
  <c r="J298" i="3" s="1"/>
  <c r="I4" i="3"/>
  <c r="J236" i="3"/>
  <c r="J237" i="3" s="1"/>
  <c r="J239" i="3" s="1"/>
  <c r="L42" i="28"/>
  <c r="L60" i="28" s="1"/>
  <c r="L209" i="28"/>
  <c r="H361" i="28"/>
  <c r="L297" i="28"/>
  <c r="H407" i="28"/>
  <c r="H411" i="28"/>
  <c r="H413" i="28" s="1"/>
  <c r="H398" i="28"/>
  <c r="S28" i="13"/>
  <c r="S34" i="13" s="1"/>
  <c r="L201" i="28"/>
  <c r="L5" i="7"/>
  <c r="M6" i="7"/>
  <c r="L134" i="28"/>
  <c r="H297" i="28"/>
  <c r="M40" i="28"/>
  <c r="M59" i="28" s="1"/>
  <c r="M93" i="28"/>
  <c r="H149" i="3"/>
  <c r="I249" i="3"/>
  <c r="I260" i="3" s="1"/>
  <c r="L22" i="28"/>
  <c r="H513" i="28"/>
  <c r="E42" i="13"/>
  <c r="F42" i="13"/>
  <c r="G42" i="13"/>
  <c r="H42" i="13"/>
  <c r="I42" i="13"/>
  <c r="S58" i="13" s="1"/>
  <c r="J42" i="13"/>
  <c r="T58" i="13" s="1"/>
  <c r="K42" i="13"/>
  <c r="L42" i="13"/>
  <c r="M42" i="13"/>
  <c r="N42" i="13"/>
  <c r="O42" i="13"/>
  <c r="P42" i="13"/>
  <c r="C43" i="13"/>
  <c r="L43" i="13"/>
  <c r="C44" i="13"/>
  <c r="L44" i="13"/>
  <c r="C45" i="13"/>
  <c r="L45" i="13"/>
  <c r="C46" i="13"/>
  <c r="L46" i="13"/>
  <c r="C47" i="13"/>
  <c r="L47" i="13"/>
  <c r="C48" i="13"/>
  <c r="L48" i="13"/>
  <c r="C49" i="13"/>
  <c r="L49" i="13"/>
  <c r="C50" i="13"/>
  <c r="L50" i="13"/>
  <c r="C51" i="13"/>
  <c r="L51" i="13"/>
  <c r="C52" i="13"/>
  <c r="L52" i="13"/>
  <c r="C53" i="13"/>
  <c r="I53" i="13"/>
  <c r="L53" i="13"/>
  <c r="M53" i="13"/>
  <c r="N53" i="13"/>
  <c r="O53" i="13"/>
  <c r="C54" i="13"/>
  <c r="C55" i="13"/>
  <c r="C56" i="13"/>
  <c r="C57" i="13"/>
  <c r="C58" i="13"/>
  <c r="AH365" i="28" l="1"/>
  <c r="AH277" i="28"/>
  <c r="AZ236" i="3"/>
  <c r="AZ237" i="3" s="1"/>
  <c r="H659" i="28"/>
  <c r="H665" i="28" s="1"/>
  <c r="L659" i="28"/>
  <c r="L665" i="28" s="1"/>
  <c r="L675" i="28" s="1"/>
  <c r="H170" i="3"/>
  <c r="L57" i="28"/>
  <c r="H2" i="28"/>
  <c r="H365" i="28" s="1"/>
  <c r="H1" i="28"/>
  <c r="H331" i="28" s="1"/>
  <c r="H4" i="28"/>
  <c r="H367" i="28" s="1"/>
  <c r="L4" i="28"/>
  <c r="L367" i="28" s="1"/>
  <c r="H89" i="28"/>
  <c r="H3" i="28"/>
  <c r="H366" i="28" s="1"/>
  <c r="L3" i="28"/>
  <c r="L278" i="28" s="1"/>
  <c r="L88" i="28"/>
  <c r="L56" i="28"/>
  <c r="L291" i="28"/>
  <c r="L67" i="28"/>
  <c r="L518" i="28"/>
  <c r="L83" i="28"/>
  <c r="L72" i="28"/>
  <c r="J286" i="3"/>
  <c r="J290" i="3" s="1"/>
  <c r="K286" i="3" s="1"/>
  <c r="K290" i="3" s="1"/>
  <c r="I151" i="3"/>
  <c r="H71" i="28"/>
  <c r="H83" i="28"/>
  <c r="H76" i="28"/>
  <c r="L84" i="28"/>
  <c r="H88" i="28"/>
  <c r="L73" i="28"/>
  <c r="H56" i="28"/>
  <c r="H73" i="28"/>
  <c r="H75" i="28"/>
  <c r="H79" i="28"/>
  <c r="H84" i="28"/>
  <c r="H82" i="28"/>
  <c r="H67" i="28"/>
  <c r="L87" i="28"/>
  <c r="L71" i="28"/>
  <c r="O36" i="14"/>
  <c r="L75" i="28"/>
  <c r="L80" i="28"/>
  <c r="L81" i="28"/>
  <c r="L65" i="28"/>
  <c r="H72" i="28"/>
  <c r="L82" i="28"/>
  <c r="L74" i="28"/>
  <c r="H87" i="28"/>
  <c r="H81" i="28"/>
  <c r="L76" i="28"/>
  <c r="L89" i="28"/>
  <c r="H80" i="28"/>
  <c r="H74" i="28"/>
  <c r="L92" i="28"/>
  <c r="H92" i="28"/>
  <c r="L674" i="28"/>
  <c r="H690" i="28"/>
  <c r="P5" i="3"/>
  <c r="Q6" i="3"/>
  <c r="P250" i="3"/>
  <c r="P254" i="3"/>
  <c r="P258" i="3"/>
  <c r="P289" i="3"/>
  <c r="P266" i="3"/>
  <c r="P270" i="3"/>
  <c r="P281" i="3"/>
  <c r="P294" i="3"/>
  <c r="P251" i="3"/>
  <c r="P255" i="3"/>
  <c r="P259" i="3"/>
  <c r="P264" i="3"/>
  <c r="P267" i="3"/>
  <c r="P271" i="3"/>
  <c r="P279" i="3"/>
  <c r="P295" i="3"/>
  <c r="P268" i="3"/>
  <c r="P272" i="3"/>
  <c r="P280" i="3"/>
  <c r="P282" i="3"/>
  <c r="P296" i="3"/>
  <c r="P265" i="3"/>
  <c r="P269" i="3"/>
  <c r="P273" i="3"/>
  <c r="P278" i="3"/>
  <c r="P297" i="3"/>
  <c r="P257" i="3"/>
  <c r="P256" i="3"/>
  <c r="P252" i="3"/>
  <c r="P253" i="3"/>
  <c r="P287" i="3"/>
  <c r="P288" i="3"/>
  <c r="L632" i="28"/>
  <c r="L639" i="28"/>
  <c r="L641" i="28" s="1"/>
  <c r="L382" i="28"/>
  <c r="L379" i="28"/>
  <c r="L203" i="28"/>
  <c r="L206" i="28"/>
  <c r="L606" i="28"/>
  <c r="L603" i="28"/>
  <c r="AE6" i="7"/>
  <c r="AE5" i="7" s="1"/>
  <c r="AD5" i="7"/>
  <c r="L216" i="28"/>
  <c r="L436" i="28"/>
  <c r="H57" i="28"/>
  <c r="H100" i="28"/>
  <c r="H11" i="28" s="1"/>
  <c r="M148" i="3"/>
  <c r="N244" i="3"/>
  <c r="N246" i="3" s="1"/>
  <c r="H515" i="28"/>
  <c r="H518" i="28"/>
  <c r="H408" i="28"/>
  <c r="H415" i="28"/>
  <c r="H417" i="28" s="1"/>
  <c r="L100" i="28"/>
  <c r="L11" i="28" s="1"/>
  <c r="H206" i="28"/>
  <c r="H203" i="28"/>
  <c r="H216" i="28"/>
  <c r="H436" i="28"/>
  <c r="H379" i="28"/>
  <c r="H382" i="28"/>
  <c r="J153" i="3"/>
  <c r="K293" i="3"/>
  <c r="K298" i="3" s="1"/>
  <c r="J263" i="3"/>
  <c r="J274" i="3" s="1"/>
  <c r="I150" i="3"/>
  <c r="J4" i="3"/>
  <c r="K236" i="3"/>
  <c r="K237" i="3" s="1"/>
  <c r="K239" i="3" s="1"/>
  <c r="L543" i="28"/>
  <c r="L547" i="28"/>
  <c r="L549" i="28" s="1"/>
  <c r="L534" i="28"/>
  <c r="I149" i="3"/>
  <c r="J249" i="3"/>
  <c r="J260" i="3" s="1"/>
  <c r="L690" i="28"/>
  <c r="H291" i="28"/>
  <c r="H294" i="28"/>
  <c r="O5" i="28"/>
  <c r="P6" i="28"/>
  <c r="H154" i="3"/>
  <c r="H156" i="3" s="1"/>
  <c r="L408" i="28"/>
  <c r="L415" i="28"/>
  <c r="L417" i="28" s="1"/>
  <c r="M5" i="7"/>
  <c r="N6" i="7"/>
  <c r="J151" i="3"/>
  <c r="K277" i="3"/>
  <c r="K283" i="3" s="1"/>
  <c r="L2" i="28"/>
  <c r="L79" i="28"/>
  <c r="L170" i="3"/>
  <c r="L1" i="28"/>
  <c r="H534" i="28"/>
  <c r="H543" i="28"/>
  <c r="H547" i="28"/>
  <c r="H549" i="28" s="1"/>
  <c r="C59" i="13"/>
  <c r="H158" i="3" l="1"/>
  <c r="H3" i="3" s="1"/>
  <c r="H191" i="28"/>
  <c r="H674" i="28"/>
  <c r="H679" i="28"/>
  <c r="H681" i="28" s="1"/>
  <c r="L502" i="28"/>
  <c r="L366" i="28"/>
  <c r="H591" i="28"/>
  <c r="H503" i="28"/>
  <c r="H279" i="28"/>
  <c r="H188" i="28"/>
  <c r="H364" i="28"/>
  <c r="H419" i="28"/>
  <c r="L190" i="28"/>
  <c r="L590" i="28"/>
  <c r="H277" i="28"/>
  <c r="H189" i="28"/>
  <c r="H501" i="28"/>
  <c r="H588" i="28"/>
  <c r="H643" i="28"/>
  <c r="H500" i="28"/>
  <c r="H276" i="28"/>
  <c r="H589" i="28"/>
  <c r="L503" i="28"/>
  <c r="L591" i="28"/>
  <c r="L279" i="28"/>
  <c r="L191" i="28"/>
  <c r="H190" i="28"/>
  <c r="H502" i="28"/>
  <c r="H590" i="28"/>
  <c r="H278" i="28"/>
  <c r="J152" i="3"/>
  <c r="L46" i="28"/>
  <c r="L68" i="28"/>
  <c r="L12" i="28"/>
  <c r="L188" i="28"/>
  <c r="L331" i="28"/>
  <c r="L364" i="28"/>
  <c r="L276" i="28"/>
  <c r="L419" i="28"/>
  <c r="L500" i="28"/>
  <c r="L588" i="28"/>
  <c r="H46" i="28"/>
  <c r="N148" i="3"/>
  <c r="O244" i="3"/>
  <c r="O246" i="3" s="1"/>
  <c r="Q5" i="3"/>
  <c r="R6" i="3"/>
  <c r="L189" i="28"/>
  <c r="L277" i="28"/>
  <c r="L501" i="28"/>
  <c r="L643" i="28"/>
  <c r="L589" i="28"/>
  <c r="L365" i="28"/>
  <c r="H441" i="28"/>
  <c r="H694" i="28"/>
  <c r="H699" i="28" s="1"/>
  <c r="H231" i="28"/>
  <c r="H235" i="28"/>
  <c r="H237" i="28" s="1"/>
  <c r="H222" i="28"/>
  <c r="H68" i="28"/>
  <c r="H12" i="28"/>
  <c r="J150" i="3"/>
  <c r="K263" i="3"/>
  <c r="K274" i="3" s="1"/>
  <c r="P54" i="28"/>
  <c r="P5" i="28"/>
  <c r="Q6" i="28"/>
  <c r="P199" i="28"/>
  <c r="P145" i="28"/>
  <c r="P147" i="28"/>
  <c r="P182" i="28"/>
  <c r="P184" i="28"/>
  <c r="P144" i="28"/>
  <c r="P146" i="28"/>
  <c r="P181" i="28"/>
  <c r="P183" i="28"/>
  <c r="P295" i="28"/>
  <c r="P357" i="28"/>
  <c r="P287" i="28"/>
  <c r="P299" i="28" s="1"/>
  <c r="P304" i="28" s="1"/>
  <c r="P269" i="28"/>
  <c r="P272" i="28"/>
  <c r="P358" i="28"/>
  <c r="P285" i="28"/>
  <c r="P288" i="28"/>
  <c r="P200" i="28"/>
  <c r="P207" i="28"/>
  <c r="P197" i="28"/>
  <c r="P375" i="28"/>
  <c r="P387" i="28" s="1"/>
  <c r="P392" i="28" s="1"/>
  <c r="P519" i="28"/>
  <c r="P511" i="28"/>
  <c r="P523" i="28" s="1"/>
  <c r="P383" i="28"/>
  <c r="P376" i="28"/>
  <c r="P493" i="28"/>
  <c r="P373" i="28"/>
  <c r="P509" i="28"/>
  <c r="P512" i="28"/>
  <c r="P494" i="28"/>
  <c r="P497" i="28" s="1"/>
  <c r="P582" i="28"/>
  <c r="P599" i="28"/>
  <c r="P611" i="28" s="1"/>
  <c r="P616" i="28" s="1"/>
  <c r="P271" i="28"/>
  <c r="P581" i="28"/>
  <c r="P600" i="28"/>
  <c r="P597" i="28"/>
  <c r="P607" i="28"/>
  <c r="J149" i="3"/>
  <c r="K249" i="3"/>
  <c r="K260" i="3" s="1"/>
  <c r="K152" i="3"/>
  <c r="L286" i="3"/>
  <c r="L290" i="3" s="1"/>
  <c r="L441" i="28"/>
  <c r="L694" i="28"/>
  <c r="L699" i="28" s="1"/>
  <c r="I154" i="3"/>
  <c r="I156" i="3" s="1"/>
  <c r="L231" i="28"/>
  <c r="L235" i="28"/>
  <c r="L237" i="28" s="1"/>
  <c r="L222" i="28"/>
  <c r="H675" i="28"/>
  <c r="H683" i="28"/>
  <c r="H685" i="28" s="1"/>
  <c r="K151" i="3"/>
  <c r="L277" i="3"/>
  <c r="L283" i="3" s="1"/>
  <c r="L544" i="28"/>
  <c r="L551" i="28"/>
  <c r="L553" i="28" s="1"/>
  <c r="L555" i="28" s="1"/>
  <c r="L293" i="3"/>
  <c r="L298" i="3" s="1"/>
  <c r="K153" i="3"/>
  <c r="O6" i="7"/>
  <c r="N5" i="7"/>
  <c r="H544" i="28"/>
  <c r="H551" i="28"/>
  <c r="H553" i="28" s="1"/>
  <c r="H555" i="28" s="1"/>
  <c r="K4" i="3"/>
  <c r="L236" i="3"/>
  <c r="L237" i="3" s="1"/>
  <c r="L239" i="3" s="1"/>
  <c r="C60" i="13"/>
  <c r="Q60" i="13"/>
  <c r="I158" i="3" l="1"/>
  <c r="I3" i="3" s="1"/>
  <c r="H434" i="28"/>
  <c r="H192" i="28"/>
  <c r="H194" i="28" s="1"/>
  <c r="H223" i="28" s="1"/>
  <c r="H368" i="28"/>
  <c r="H370" i="28" s="1"/>
  <c r="H154" i="28" s="1"/>
  <c r="H652" i="28"/>
  <c r="H504" i="28"/>
  <c r="H506" i="28" s="1"/>
  <c r="H507" i="28" s="1"/>
  <c r="H280" i="28"/>
  <c r="H282" i="28" s="1"/>
  <c r="H283" i="28" s="1"/>
  <c r="H592" i="28"/>
  <c r="H594" i="28" s="1"/>
  <c r="H623" i="28" s="1"/>
  <c r="L61" i="28"/>
  <c r="H61" i="28"/>
  <c r="P53" i="28"/>
  <c r="P377" i="28"/>
  <c r="P379" i="28" s="1"/>
  <c r="P22" i="28"/>
  <c r="L151" i="3"/>
  <c r="M277" i="3"/>
  <c r="M283" i="3" s="1"/>
  <c r="P42" i="28"/>
  <c r="P60" i="28" s="1"/>
  <c r="P209" i="28"/>
  <c r="P97" i="28"/>
  <c r="P211" i="28"/>
  <c r="L652" i="28"/>
  <c r="L705" i="28"/>
  <c r="L715" i="28" s="1"/>
  <c r="L714" i="28"/>
  <c r="P622" i="28"/>
  <c r="P632" i="28" s="1"/>
  <c r="P631" i="28"/>
  <c r="P289" i="28"/>
  <c r="Q5" i="28"/>
  <c r="R6" i="28"/>
  <c r="L447" i="28"/>
  <c r="L456" i="28"/>
  <c r="L461" i="28"/>
  <c r="L463" i="28" s="1"/>
  <c r="P585" i="28"/>
  <c r="P650" i="28"/>
  <c r="L20" i="28"/>
  <c r="L58" i="28" s="1"/>
  <c r="L69" i="28"/>
  <c r="L232" i="28"/>
  <c r="L239" i="28"/>
  <c r="L241" i="28" s="1"/>
  <c r="L243" i="28" s="1"/>
  <c r="P273" i="28"/>
  <c r="L592" i="28"/>
  <c r="L594" i="28" s="1"/>
  <c r="O5" i="7"/>
  <c r="P6" i="7"/>
  <c r="M293" i="3"/>
  <c r="M298" i="3" s="1"/>
  <c r="L153" i="3"/>
  <c r="P513" i="28"/>
  <c r="P310" i="28"/>
  <c r="P319" i="28"/>
  <c r="P323" i="28"/>
  <c r="P325" i="28" s="1"/>
  <c r="H20" i="28"/>
  <c r="H69" i="28"/>
  <c r="P361" i="28"/>
  <c r="L504" i="28"/>
  <c r="L506" i="28" s="1"/>
  <c r="L152" i="3"/>
  <c r="M286" i="3"/>
  <c r="M290" i="3" s="1"/>
  <c r="P297" i="28"/>
  <c r="P135" i="28"/>
  <c r="L280" i="28"/>
  <c r="L282" i="28" s="1"/>
  <c r="R5" i="3"/>
  <c r="S6" i="3"/>
  <c r="P385" i="28"/>
  <c r="P185" i="28"/>
  <c r="P133" i="28"/>
  <c r="P432" i="28"/>
  <c r="K149" i="3"/>
  <c r="L249" i="3"/>
  <c r="L260" i="3" s="1"/>
  <c r="P528" i="28"/>
  <c r="P654" i="28"/>
  <c r="H705" i="28"/>
  <c r="H715" i="28" s="1"/>
  <c r="H714" i="28"/>
  <c r="L368" i="28"/>
  <c r="L370" i="28" s="1"/>
  <c r="L434" i="28"/>
  <c r="M236" i="3"/>
  <c r="M237" i="3" s="1"/>
  <c r="L4" i="3"/>
  <c r="J154" i="3"/>
  <c r="J156" i="3" s="1"/>
  <c r="P521" i="28"/>
  <c r="H232" i="28"/>
  <c r="H239" i="28"/>
  <c r="H241" i="28" s="1"/>
  <c r="H243" i="28" s="1"/>
  <c r="H447" i="28"/>
  <c r="H456" i="28"/>
  <c r="H461" i="28"/>
  <c r="H463" i="28" s="1"/>
  <c r="O148" i="3"/>
  <c r="P244" i="3"/>
  <c r="P246" i="3" s="1"/>
  <c r="P609" i="28"/>
  <c r="P398" i="28"/>
  <c r="P407" i="28"/>
  <c r="P411" i="28"/>
  <c r="P413" i="28" s="1"/>
  <c r="P136" i="28"/>
  <c r="L192" i="28"/>
  <c r="L194" i="28" s="1"/>
  <c r="P601" i="28"/>
  <c r="P10" i="28"/>
  <c r="P201" i="28"/>
  <c r="P134" i="28"/>
  <c r="L263" i="3"/>
  <c r="L274" i="3" s="1"/>
  <c r="K150" i="3"/>
  <c r="N236" i="3" l="1"/>
  <c r="N237" i="3" s="1"/>
  <c r="J158" i="3"/>
  <c r="J3" i="3" s="1"/>
  <c r="Q36" i="14"/>
  <c r="P7" i="14"/>
  <c r="P36" i="14" s="1"/>
  <c r="H195" i="28"/>
  <c r="H399" i="28"/>
  <c r="H371" i="28"/>
  <c r="P659" i="28"/>
  <c r="P674" i="28" s="1"/>
  <c r="H155" i="28"/>
  <c r="H692" i="28"/>
  <c r="H153" i="28"/>
  <c r="H535" i="28"/>
  <c r="H152" i="28"/>
  <c r="H156" i="28"/>
  <c r="H595" i="28"/>
  <c r="P57" i="28"/>
  <c r="P170" i="3"/>
  <c r="P1" i="28"/>
  <c r="P188" i="28" s="1"/>
  <c r="P56" i="28"/>
  <c r="P4" i="28"/>
  <c r="P191" i="28" s="1"/>
  <c r="P382" i="28"/>
  <c r="P79" i="28"/>
  <c r="P690" i="28"/>
  <c r="L692" i="28"/>
  <c r="P100" i="28"/>
  <c r="P11" i="28" s="1"/>
  <c r="L155" i="28"/>
  <c r="L507" i="28"/>
  <c r="L535" i="28"/>
  <c r="P203" i="28"/>
  <c r="P206" i="28"/>
  <c r="P320" i="28"/>
  <c r="P327" i="28"/>
  <c r="P329" i="28" s="1"/>
  <c r="H28" i="28"/>
  <c r="H77" i="28"/>
  <c r="H58" i="28"/>
  <c r="L154" i="28"/>
  <c r="L371" i="28"/>
  <c r="L399" i="28"/>
  <c r="P81" i="28"/>
  <c r="P72" i="28"/>
  <c r="P84" i="28"/>
  <c r="P67" i="28"/>
  <c r="P75" i="28"/>
  <c r="P65" i="28"/>
  <c r="P73" i="28"/>
  <c r="P88" i="28"/>
  <c r="P89" i="28"/>
  <c r="P74" i="28"/>
  <c r="P87" i="28"/>
  <c r="P92" i="28"/>
  <c r="P71" i="28"/>
  <c r="P76" i="28"/>
  <c r="P83" i="28"/>
  <c r="P82" i="28"/>
  <c r="P80" i="28"/>
  <c r="P515" i="28"/>
  <c r="P518" i="28"/>
  <c r="R5" i="28"/>
  <c r="S6" i="28"/>
  <c r="M153" i="3"/>
  <c r="N293" i="3"/>
  <c r="N298" i="3" s="1"/>
  <c r="P5" i="7"/>
  <c r="Q6" i="7"/>
  <c r="P291" i="28"/>
  <c r="P294" i="28"/>
  <c r="P3" i="28"/>
  <c r="L28" i="28"/>
  <c r="L77" i="28"/>
  <c r="L465" i="28"/>
  <c r="L467" i="28" s="1"/>
  <c r="L469" i="28" s="1"/>
  <c r="L457" i="28"/>
  <c r="M151" i="3"/>
  <c r="N277" i="3"/>
  <c r="N283" i="3" s="1"/>
  <c r="L150" i="3"/>
  <c r="M263" i="3"/>
  <c r="M274" i="3" s="1"/>
  <c r="P148" i="3"/>
  <c r="Q244" i="3"/>
  <c r="Q246" i="3" s="1"/>
  <c r="P603" i="28"/>
  <c r="P606" i="28"/>
  <c r="P543" i="28"/>
  <c r="P547" i="28"/>
  <c r="P549" i="28" s="1"/>
  <c r="P534" i="28"/>
  <c r="L149" i="3"/>
  <c r="M249" i="3"/>
  <c r="M260" i="3" s="1"/>
  <c r="S5" i="3"/>
  <c r="T6" i="3"/>
  <c r="L156" i="28"/>
  <c r="L623" i="28"/>
  <c r="L595" i="28"/>
  <c r="H465" i="28"/>
  <c r="H467" i="28" s="1"/>
  <c r="H469" i="28" s="1"/>
  <c r="H457" i="28"/>
  <c r="L152" i="28"/>
  <c r="L223" i="28"/>
  <c r="L195" i="28"/>
  <c r="P408" i="28"/>
  <c r="P415" i="28"/>
  <c r="P417" i="28" s="1"/>
  <c r="K154" i="3"/>
  <c r="M152" i="3"/>
  <c r="N286" i="3"/>
  <c r="N290" i="3" s="1"/>
  <c r="P2" i="28"/>
  <c r="M4" i="3"/>
  <c r="L153" i="28"/>
  <c r="L283" i="28"/>
  <c r="P216" i="28"/>
  <c r="P436" i="28"/>
  <c r="C61" i="13"/>
  <c r="P679" i="28" l="1"/>
  <c r="P681" i="28" s="1"/>
  <c r="P665" i="28"/>
  <c r="U6" i="3"/>
  <c r="U5" i="3" s="1"/>
  <c r="T287" i="3"/>
  <c r="T271" i="3"/>
  <c r="T259" i="3"/>
  <c r="T251" i="3"/>
  <c r="T297" i="3"/>
  <c r="T270" i="3"/>
  <c r="T258" i="3"/>
  <c r="T250" i="3"/>
  <c r="T296" i="3"/>
  <c r="T282" i="3"/>
  <c r="T269" i="3"/>
  <c r="T257" i="3"/>
  <c r="T265" i="3"/>
  <c r="T295" i="3"/>
  <c r="T281" i="3"/>
  <c r="T268" i="3"/>
  <c r="T256" i="3"/>
  <c r="T273" i="3"/>
  <c r="T253" i="3"/>
  <c r="T294" i="3"/>
  <c r="T280" i="3"/>
  <c r="T267" i="3"/>
  <c r="T255" i="3"/>
  <c r="T279" i="3"/>
  <c r="T266" i="3"/>
  <c r="T254" i="3"/>
  <c r="T289" i="3"/>
  <c r="T288" i="3"/>
  <c r="T272" i="3"/>
  <c r="T264" i="3"/>
  <c r="T252" i="3"/>
  <c r="T278" i="3"/>
  <c r="H157" i="28"/>
  <c r="H148" i="28" s="1"/>
  <c r="H149" i="28" s="1"/>
  <c r="P331" i="28"/>
  <c r="P588" i="28"/>
  <c r="P500" i="28"/>
  <c r="P276" i="28"/>
  <c r="P419" i="28"/>
  <c r="P364" i="28"/>
  <c r="P12" i="28"/>
  <c r="P591" i="28"/>
  <c r="P503" i="28"/>
  <c r="P279" i="28"/>
  <c r="P367" i="28"/>
  <c r="V6" i="3"/>
  <c r="V5" i="3" s="1"/>
  <c r="T5" i="3"/>
  <c r="AE133" i="3"/>
  <c r="L157" i="28"/>
  <c r="L148" i="28" s="1"/>
  <c r="AE76" i="3"/>
  <c r="R244" i="3"/>
  <c r="R246" i="3" s="1"/>
  <c r="Q148" i="3"/>
  <c r="M149" i="3"/>
  <c r="N249" i="3"/>
  <c r="N260" i="3" s="1"/>
  <c r="S5" i="28"/>
  <c r="T6" i="28"/>
  <c r="L154" i="3"/>
  <c r="M150" i="3"/>
  <c r="N263" i="3"/>
  <c r="N274" i="3" s="1"/>
  <c r="P46" i="28"/>
  <c r="N151" i="3"/>
  <c r="O277" i="3"/>
  <c r="O283" i="3" s="1"/>
  <c r="P189" i="28"/>
  <c r="P365" i="28"/>
  <c r="P277" i="28"/>
  <c r="P501" i="28"/>
  <c r="P643" i="28"/>
  <c r="P589" i="28"/>
  <c r="P68" i="28"/>
  <c r="Q5" i="7"/>
  <c r="R6" i="7"/>
  <c r="H33" i="28"/>
  <c r="H85" i="28"/>
  <c r="N153" i="3"/>
  <c r="O293" i="3"/>
  <c r="O298" i="3" s="1"/>
  <c r="L33" i="28"/>
  <c r="L85" i="28"/>
  <c r="N152" i="3"/>
  <c r="O286" i="3"/>
  <c r="O290" i="3" s="1"/>
  <c r="N4" i="3"/>
  <c r="O236" i="3"/>
  <c r="O237" i="3" s="1"/>
  <c r="P441" i="28"/>
  <c r="P694" i="28"/>
  <c r="P699" i="28" s="1"/>
  <c r="K156" i="3"/>
  <c r="P551" i="28"/>
  <c r="P553" i="28" s="1"/>
  <c r="P555" i="28" s="1"/>
  <c r="P544" i="28"/>
  <c r="P190" i="28"/>
  <c r="P366" i="28"/>
  <c r="P278" i="28"/>
  <c r="P502" i="28"/>
  <c r="P590" i="28"/>
  <c r="P222" i="28"/>
  <c r="P231" i="28"/>
  <c r="P235" i="28"/>
  <c r="P237" i="28" s="1"/>
  <c r="P683" i="28"/>
  <c r="P685" i="28" s="1"/>
  <c r="P675" i="28"/>
  <c r="W61" i="13"/>
  <c r="K158" i="3" l="1"/>
  <c r="K3" i="3" s="1"/>
  <c r="T599" i="28"/>
  <c r="T600" i="28"/>
  <c r="T607" i="28"/>
  <c r="T597" i="28"/>
  <c r="T519" i="28"/>
  <c r="T511" i="28"/>
  <c r="T295" i="28"/>
  <c r="T512" i="28"/>
  <c r="P20" i="28"/>
  <c r="P58" i="28" s="1"/>
  <c r="P8" i="14"/>
  <c r="P69" i="28"/>
  <c r="P434" i="28"/>
  <c r="P61" i="28"/>
  <c r="U6" i="28"/>
  <c r="U5" i="28" s="1"/>
  <c r="T272" i="28"/>
  <c r="T182" i="28"/>
  <c r="T271" i="28"/>
  <c r="T200" i="28"/>
  <c r="T181" i="28"/>
  <c r="T269" i="28"/>
  <c r="T199" i="28"/>
  <c r="T285" i="28"/>
  <c r="T197" i="28"/>
  <c r="T207" i="28"/>
  <c r="T288" i="28"/>
  <c r="T147" i="28"/>
  <c r="T146" i="28"/>
  <c r="T145" i="28"/>
  <c r="T287" i="28"/>
  <c r="T184" i="28"/>
  <c r="T183" i="28"/>
  <c r="T144" i="28"/>
  <c r="V6" i="28"/>
  <c r="W6" i="3"/>
  <c r="W5" i="3" s="1"/>
  <c r="AE74" i="3"/>
  <c r="P592" i="28"/>
  <c r="P594" i="28" s="1"/>
  <c r="P623" i="28" s="1"/>
  <c r="P368" i="28"/>
  <c r="P370" i="28" s="1"/>
  <c r="P371" i="28" s="1"/>
  <c r="P192" i="28"/>
  <c r="P194" i="28" s="1"/>
  <c r="P152" i="28" s="1"/>
  <c r="P280" i="28"/>
  <c r="P282" i="28" s="1"/>
  <c r="L149" i="28"/>
  <c r="P504" i="28"/>
  <c r="P506" i="28" s="1"/>
  <c r="H37" i="28"/>
  <c r="H90" i="28"/>
  <c r="H36" i="28"/>
  <c r="O4" i="3"/>
  <c r="P236" i="3"/>
  <c r="P237" i="3" s="1"/>
  <c r="P705" i="28"/>
  <c r="P715" i="28" s="1"/>
  <c r="P714" i="28"/>
  <c r="N150" i="3"/>
  <c r="O263" i="3"/>
  <c r="O274" i="3" s="1"/>
  <c r="R148" i="3"/>
  <c r="S244" i="3"/>
  <c r="S246" i="3" s="1"/>
  <c r="O151" i="3"/>
  <c r="P277" i="3"/>
  <c r="P283" i="3" s="1"/>
  <c r="P151" i="3" s="1"/>
  <c r="L156" i="3"/>
  <c r="R5" i="7"/>
  <c r="S6" i="7"/>
  <c r="T5" i="28"/>
  <c r="L37" i="28"/>
  <c r="L90" i="28"/>
  <c r="L36" i="28"/>
  <c r="O152" i="3"/>
  <c r="P286" i="3"/>
  <c r="P290" i="3" s="1"/>
  <c r="N149" i="3"/>
  <c r="O249" i="3"/>
  <c r="O260" i="3" s="1"/>
  <c r="AA87" i="3"/>
  <c r="AE77" i="3"/>
  <c r="AF244" i="3"/>
  <c r="AE72" i="3"/>
  <c r="AE73" i="3"/>
  <c r="AE78" i="3"/>
  <c r="AE75" i="3"/>
  <c r="AE79" i="3"/>
  <c r="P461" i="28"/>
  <c r="P463" i="28" s="1"/>
  <c r="P447" i="28"/>
  <c r="P456" i="28"/>
  <c r="P232" i="28"/>
  <c r="P239" i="28"/>
  <c r="P241" i="28" s="1"/>
  <c r="P243" i="28" s="1"/>
  <c r="O153" i="3"/>
  <c r="P293" i="3"/>
  <c r="P298" i="3" s="1"/>
  <c r="P652" i="28"/>
  <c r="M154" i="3"/>
  <c r="C62" i="13"/>
  <c r="I62" i="13"/>
  <c r="L62" i="13"/>
  <c r="M62" i="13"/>
  <c r="N62" i="13"/>
  <c r="O62" i="13"/>
  <c r="T609" i="28" l="1"/>
  <c r="L158" i="3"/>
  <c r="L3" i="3" s="1"/>
  <c r="Q236" i="3"/>
  <c r="Q237" i="3" s="1"/>
  <c r="T601" i="28"/>
  <c r="W287" i="28"/>
  <c r="X287" i="28"/>
  <c r="V287" i="28"/>
  <c r="X199" i="28"/>
  <c r="X211" i="28" s="1"/>
  <c r="V199" i="28"/>
  <c r="V211" i="28" s="1"/>
  <c r="W199" i="28"/>
  <c r="W211" i="28" s="1"/>
  <c r="X600" i="28"/>
  <c r="U600" i="28"/>
  <c r="V600" i="28"/>
  <c r="W600" i="28"/>
  <c r="X599" i="28"/>
  <c r="X611" i="28" s="1"/>
  <c r="W599" i="28"/>
  <c r="W611" i="28" s="1"/>
  <c r="V599" i="28"/>
  <c r="V611" i="28" s="1"/>
  <c r="U599" i="28"/>
  <c r="T611" i="28"/>
  <c r="T616" i="28" s="1"/>
  <c r="AE613" i="28"/>
  <c r="AE427" i="28"/>
  <c r="AE426" i="28"/>
  <c r="AF373" i="28"/>
  <c r="AE620" i="28"/>
  <c r="AE614" i="28"/>
  <c r="AE425" i="28"/>
  <c r="AF383" i="28"/>
  <c r="AE218" i="28"/>
  <c r="AE532" i="28"/>
  <c r="AE619" i="28"/>
  <c r="AE605" i="28" s="1"/>
  <c r="AE615" i="28"/>
  <c r="V1" i="28"/>
  <c r="V2" i="28"/>
  <c r="X512" i="28"/>
  <c r="W512" i="28"/>
  <c r="V512" i="28"/>
  <c r="X288" i="28"/>
  <c r="V288" i="28"/>
  <c r="W288" i="28"/>
  <c r="X200" i="28"/>
  <c r="X22" i="28" s="1"/>
  <c r="V200" i="28"/>
  <c r="W200" i="28"/>
  <c r="T513" i="28"/>
  <c r="W511" i="28"/>
  <c r="W523" i="28" s="1"/>
  <c r="V511" i="28"/>
  <c r="X511" i="28"/>
  <c r="X523" i="28" s="1"/>
  <c r="X654" i="28" s="1"/>
  <c r="T523" i="28"/>
  <c r="P11" i="14"/>
  <c r="P77" i="28"/>
  <c r="P28" i="28"/>
  <c r="P33" i="28" s="1"/>
  <c r="U211" i="28"/>
  <c r="T299" i="28"/>
  <c r="S148" i="3"/>
  <c r="T244" i="3"/>
  <c r="T246" i="3" s="1"/>
  <c r="U244" i="3" s="1"/>
  <c r="U246" i="3" s="1"/>
  <c r="U148" i="3" s="1"/>
  <c r="P692" i="28"/>
  <c r="T22" i="28"/>
  <c r="T10" i="28"/>
  <c r="T7" i="14" s="1"/>
  <c r="AC613" i="28"/>
  <c r="AE314" i="28"/>
  <c r="AE309" i="28"/>
  <c r="AE531" i="28"/>
  <c r="AE215" i="28"/>
  <c r="AE302" i="28"/>
  <c r="AE228" i="28"/>
  <c r="AE524" i="28"/>
  <c r="AE300" i="28"/>
  <c r="AE219" i="28"/>
  <c r="AE625" i="28"/>
  <c r="AE226" i="28"/>
  <c r="AE308" i="28"/>
  <c r="AE618" i="28"/>
  <c r="AE628" i="28"/>
  <c r="AE525" i="28"/>
  <c r="AE220" i="28"/>
  <c r="AE306" i="28"/>
  <c r="AE301" i="28"/>
  <c r="AE626" i="28"/>
  <c r="AE213" i="28"/>
  <c r="AE527" i="28"/>
  <c r="AE227" i="28"/>
  <c r="AE530" i="28"/>
  <c r="AE537" i="28"/>
  <c r="AE627" i="28"/>
  <c r="AE214" i="28"/>
  <c r="AE221" i="28"/>
  <c r="AE307" i="28"/>
  <c r="AE612" i="28"/>
  <c r="AE303" i="28"/>
  <c r="AE533" i="28"/>
  <c r="AE315" i="28"/>
  <c r="AE212" i="28"/>
  <c r="AE526" i="28"/>
  <c r="AE316" i="28"/>
  <c r="T185" i="28"/>
  <c r="T273" i="28"/>
  <c r="T201" i="28"/>
  <c r="T289" i="28"/>
  <c r="T294" i="28" s="1"/>
  <c r="T97" i="28"/>
  <c r="T211" i="28"/>
  <c r="V5" i="28"/>
  <c r="W6" i="28"/>
  <c r="P195" i="28"/>
  <c r="P153" i="28"/>
  <c r="P156" i="28"/>
  <c r="P399" i="28"/>
  <c r="P154" i="28"/>
  <c r="X6" i="3"/>
  <c r="AF286" i="3"/>
  <c r="AF293" i="3"/>
  <c r="N154" i="3"/>
  <c r="N25" i="14" s="1"/>
  <c r="P283" i="28"/>
  <c r="AE585" i="28"/>
  <c r="T578" i="28"/>
  <c r="O149" i="3"/>
  <c r="P249" i="3"/>
  <c r="P260" i="3" s="1"/>
  <c r="O150" i="3"/>
  <c r="P263" i="3"/>
  <c r="P274" i="3" s="1"/>
  <c r="P152" i="3"/>
  <c r="Q286" i="3"/>
  <c r="Q290" i="3" s="1"/>
  <c r="AE421" i="28"/>
  <c r="AE338" i="28"/>
  <c r="AF338" i="28" s="1"/>
  <c r="AE396" i="28"/>
  <c r="AB588" i="28"/>
  <c r="AC389" i="28"/>
  <c r="AC333" i="28"/>
  <c r="AC618" i="28"/>
  <c r="AC533" i="28"/>
  <c r="AB614" i="28"/>
  <c r="AC395" i="28"/>
  <c r="AC381" i="28" s="1"/>
  <c r="AC382" i="28" s="1"/>
  <c r="AB395" i="28"/>
  <c r="AB381" i="28" s="1"/>
  <c r="AB382" i="28" s="1"/>
  <c r="AB625" i="28"/>
  <c r="AB531" i="28"/>
  <c r="AC215" i="28"/>
  <c r="AB314" i="28"/>
  <c r="AB427" i="28"/>
  <c r="AC226" i="28"/>
  <c r="AB626" i="28"/>
  <c r="AB215" i="28"/>
  <c r="AB621" i="28"/>
  <c r="AB220" i="28"/>
  <c r="AB612" i="28"/>
  <c r="AB213" i="28"/>
  <c r="AC614" i="28"/>
  <c r="AC314" i="28"/>
  <c r="AB532" i="28"/>
  <c r="AB397" i="28"/>
  <c r="AB599" i="28"/>
  <c r="AC625" i="28"/>
  <c r="AB351" i="28"/>
  <c r="AB628" i="28"/>
  <c r="AB404" i="28"/>
  <c r="AB350" i="28"/>
  <c r="AC426" i="28"/>
  <c r="AB306" i="28"/>
  <c r="AB557" i="28"/>
  <c r="AB388" i="28"/>
  <c r="AB221" i="28"/>
  <c r="AB403" i="28"/>
  <c r="AC421" i="28"/>
  <c r="AC621" i="28"/>
  <c r="AB390" i="28"/>
  <c r="AB303" i="28"/>
  <c r="AB645" i="28"/>
  <c r="AC619" i="28"/>
  <c r="AC605" i="28" s="1"/>
  <c r="AC606" i="28" s="1"/>
  <c r="AB316" i="28"/>
  <c r="AC309" i="28"/>
  <c r="AB228" i="28"/>
  <c r="AB421" i="28"/>
  <c r="AB526" i="28"/>
  <c r="AB527" i="28"/>
  <c r="AC530" i="28"/>
  <c r="AC527" i="28"/>
  <c r="AB525" i="28"/>
  <c r="AB533" i="28"/>
  <c r="AB627" i="28"/>
  <c r="AC300" i="28"/>
  <c r="AD333" i="28"/>
  <c r="AB227" i="28"/>
  <c r="AC221" i="28"/>
  <c r="AB218" i="28"/>
  <c r="AB619" i="28"/>
  <c r="AB605" i="28" s="1"/>
  <c r="AC626" i="28"/>
  <c r="AB394" i="28"/>
  <c r="AB300" i="28"/>
  <c r="AB600" i="28"/>
  <c r="AB402" i="28"/>
  <c r="AC220" i="28"/>
  <c r="AB524" i="28"/>
  <c r="AC219" i="28"/>
  <c r="AC205" i="28" s="1"/>
  <c r="AC206" i="28" s="1"/>
  <c r="AC227" i="28"/>
  <c r="AC615" i="28"/>
  <c r="AB537" i="28"/>
  <c r="AC316" i="28"/>
  <c r="AB337" i="28"/>
  <c r="AC557" i="28"/>
  <c r="AC218" i="28"/>
  <c r="AC214" i="28"/>
  <c r="AB615" i="28"/>
  <c r="AB307" i="28"/>
  <c r="AB293" i="28" s="1"/>
  <c r="AB294" i="28" s="1"/>
  <c r="AB618" i="28"/>
  <c r="AC645" i="28"/>
  <c r="AC315" i="28"/>
  <c r="AB620" i="28"/>
  <c r="AD524" i="28"/>
  <c r="AB308" i="28"/>
  <c r="AC524" i="28"/>
  <c r="AD427" i="28"/>
  <c r="AD350" i="28"/>
  <c r="AD590" i="28"/>
  <c r="AC425" i="28"/>
  <c r="AD309" i="28"/>
  <c r="AB530" i="28"/>
  <c r="AB219" i="28"/>
  <c r="AB205" i="28" s="1"/>
  <c r="AB206" i="28" s="1"/>
  <c r="AB214" i="28"/>
  <c r="AB245" i="28"/>
  <c r="AC537" i="28"/>
  <c r="AB309" i="28"/>
  <c r="AC397" i="28"/>
  <c r="AD351" i="28"/>
  <c r="AC590" i="28"/>
  <c r="AC351" i="28"/>
  <c r="AC212" i="28"/>
  <c r="AB226" i="28"/>
  <c r="AB212" i="28"/>
  <c r="AD391" i="28"/>
  <c r="AD533" i="28"/>
  <c r="AD525" i="28"/>
  <c r="AD227" i="28"/>
  <c r="AC245" i="28"/>
  <c r="AB459" i="28"/>
  <c r="AC308" i="28"/>
  <c r="AD226" i="28"/>
  <c r="AD614" i="28"/>
  <c r="AC303" i="28"/>
  <c r="AD625" i="28"/>
  <c r="AB426" i="28"/>
  <c r="AC591" i="28"/>
  <c r="AD221" i="28"/>
  <c r="AB301" i="28"/>
  <c r="AC394" i="28"/>
  <c r="AB425" i="28"/>
  <c r="AD394" i="28"/>
  <c r="AD645" i="28"/>
  <c r="AC307" i="28"/>
  <c r="AC293" i="28" s="1"/>
  <c r="AC294" i="28" s="1"/>
  <c r="AC391" i="28"/>
  <c r="AC302" i="28"/>
  <c r="AB333" i="28"/>
  <c r="AD303" i="28"/>
  <c r="AC350" i="28"/>
  <c r="AC427" i="28"/>
  <c r="AC388" i="28"/>
  <c r="AB302" i="28"/>
  <c r="AC306" i="28"/>
  <c r="AB315" i="28"/>
  <c r="AC402" i="28"/>
  <c r="AC459" i="28"/>
  <c r="AC337" i="28"/>
  <c r="AC228" i="28"/>
  <c r="AC211" i="28"/>
  <c r="AB391" i="28"/>
  <c r="AC531" i="28"/>
  <c r="AC390" i="28"/>
  <c r="AD404" i="28"/>
  <c r="AD403" i="28"/>
  <c r="AE390" i="28"/>
  <c r="AD228" i="28"/>
  <c r="AD557" i="28"/>
  <c r="AB211" i="28"/>
  <c r="AD316" i="28"/>
  <c r="AD531" i="28"/>
  <c r="AD628" i="28"/>
  <c r="AD315" i="28"/>
  <c r="AD402" i="28"/>
  <c r="AC526" i="28"/>
  <c r="AD613" i="28"/>
  <c r="AD530" i="28"/>
  <c r="AD213" i="28"/>
  <c r="AD390" i="28"/>
  <c r="AD300" i="28"/>
  <c r="AE358" i="28"/>
  <c r="AC525" i="28"/>
  <c r="AD302" i="28"/>
  <c r="AD527" i="28"/>
  <c r="AD620" i="28"/>
  <c r="AD301" i="28"/>
  <c r="AD220" i="28"/>
  <c r="AD626" i="28"/>
  <c r="AE388" i="28"/>
  <c r="AC628" i="28"/>
  <c r="AB389" i="28"/>
  <c r="AD526" i="28"/>
  <c r="AC301" i="28"/>
  <c r="AD307" i="28"/>
  <c r="AD293" i="28" s="1"/>
  <c r="AD294" i="28" s="1"/>
  <c r="AD421" i="28"/>
  <c r="AD627" i="28"/>
  <c r="AC213" i="28"/>
  <c r="AD218" i="28"/>
  <c r="AD211" i="28"/>
  <c r="AD537" i="28"/>
  <c r="AD212" i="28"/>
  <c r="AE339" i="28"/>
  <c r="AF339" i="28" s="1"/>
  <c r="AD314" i="28"/>
  <c r="AC612" i="28"/>
  <c r="AC403" i="28"/>
  <c r="AD308" i="28"/>
  <c r="AD337" i="28"/>
  <c r="AD615" i="28"/>
  <c r="AD621" i="28"/>
  <c r="AE391" i="28"/>
  <c r="AD245" i="28"/>
  <c r="AE383" i="28"/>
  <c r="AE42" i="28" s="1"/>
  <c r="AD219" i="28"/>
  <c r="AD205" i="28" s="1"/>
  <c r="AD206" i="28" s="1"/>
  <c r="AE403" i="28"/>
  <c r="AD397" i="28"/>
  <c r="AD618" i="28"/>
  <c r="AC627" i="28"/>
  <c r="AD214" i="28"/>
  <c r="AD396" i="28"/>
  <c r="AD306" i="28"/>
  <c r="AB590" i="28"/>
  <c r="AD215" i="28"/>
  <c r="AC404" i="28"/>
  <c r="AD459" i="28"/>
  <c r="AC589" i="28"/>
  <c r="AD389" i="28"/>
  <c r="AE394" i="28"/>
  <c r="AD426" i="28"/>
  <c r="AE357" i="28"/>
  <c r="AE376" i="28"/>
  <c r="AE375" i="28"/>
  <c r="AE387" i="28" s="1"/>
  <c r="AC588" i="28"/>
  <c r="AD388" i="28"/>
  <c r="AE245" i="28"/>
  <c r="AD612" i="28"/>
  <c r="AE404" i="28"/>
  <c r="AE397" i="28"/>
  <c r="AE395" i="28"/>
  <c r="AE381" i="28" s="1"/>
  <c r="AE337" i="28"/>
  <c r="AE645" i="28"/>
  <c r="AB591" i="28"/>
  <c r="AD591" i="28"/>
  <c r="AB148" i="28"/>
  <c r="AB149" i="28" s="1"/>
  <c r="AD588" i="28"/>
  <c r="AB589" i="28"/>
  <c r="AC148" i="28"/>
  <c r="AC149" i="28" s="1"/>
  <c r="AD589" i="28"/>
  <c r="AE557" i="28"/>
  <c r="L40" i="28"/>
  <c r="L59" i="28" s="1"/>
  <c r="L93" i="28"/>
  <c r="AE402" i="28"/>
  <c r="H40" i="28"/>
  <c r="H59" i="28" s="1"/>
  <c r="H93" i="28"/>
  <c r="P155" i="28"/>
  <c r="P535" i="28"/>
  <c r="P507" i="28"/>
  <c r="AE459" i="28"/>
  <c r="S5" i="7"/>
  <c r="T6" i="7"/>
  <c r="T5" i="7" s="1"/>
  <c r="M156" i="3"/>
  <c r="P457" i="28"/>
  <c r="P465" i="28"/>
  <c r="P467" i="28" s="1"/>
  <c r="P469" i="28" s="1"/>
  <c r="AF249" i="3"/>
  <c r="AA114" i="28"/>
  <c r="AA116" i="28" s="1"/>
  <c r="AA30" i="28" s="1"/>
  <c r="F15" i="14" s="1"/>
  <c r="F21" i="14" s="1"/>
  <c r="AA88" i="3"/>
  <c r="AE389" i="28"/>
  <c r="AE333" i="28"/>
  <c r="P4" i="3"/>
  <c r="P153" i="3"/>
  <c r="Q293" i="3"/>
  <c r="Q298" i="3" s="1"/>
  <c r="U62" i="13"/>
  <c r="W62" i="13"/>
  <c r="W22" i="28" l="1"/>
  <c r="AE710" i="28"/>
  <c r="V22" i="28"/>
  <c r="M158" i="3"/>
  <c r="M3" i="3" s="1"/>
  <c r="AO44" i="28"/>
  <c r="AN44" i="28" s="1"/>
  <c r="V523" i="28"/>
  <c r="AE711" i="28"/>
  <c r="W654" i="28"/>
  <c r="AG339" i="28"/>
  <c r="AH339" i="28" s="1"/>
  <c r="W2" i="28"/>
  <c r="W1" i="28"/>
  <c r="V589" i="28"/>
  <c r="V365" i="28"/>
  <c r="V277" i="28"/>
  <c r="V501" i="28"/>
  <c r="V588" i="28"/>
  <c r="V364" i="28"/>
  <c r="U22" i="28"/>
  <c r="T635" i="28"/>
  <c r="T637" i="28" s="1"/>
  <c r="T631" i="28"/>
  <c r="T606" i="28"/>
  <c r="T603" i="28"/>
  <c r="U97" i="28"/>
  <c r="U57" i="28" s="1"/>
  <c r="U611" i="28"/>
  <c r="AG338" i="28"/>
  <c r="AH338" i="28" s="1"/>
  <c r="T528" i="28"/>
  <c r="T654" i="28"/>
  <c r="T659" i="28" s="1"/>
  <c r="P10" i="14"/>
  <c r="R47" i="14" s="1"/>
  <c r="L54" i="13" s="1"/>
  <c r="P85" i="28"/>
  <c r="R49" i="14"/>
  <c r="L56" i="13" s="1"/>
  <c r="R53" i="14"/>
  <c r="L60" i="13" s="1"/>
  <c r="R50" i="14"/>
  <c r="L57" i="13" s="1"/>
  <c r="T36" i="14"/>
  <c r="T43" i="14"/>
  <c r="N50" i="13" s="1"/>
  <c r="R51" i="14"/>
  <c r="L58" i="13" s="1"/>
  <c r="AD153" i="3"/>
  <c r="AD152" i="3"/>
  <c r="AB148" i="3"/>
  <c r="AD148" i="3"/>
  <c r="AC148" i="3"/>
  <c r="AB151" i="3"/>
  <c r="AB152" i="3"/>
  <c r="AB153" i="3"/>
  <c r="AB149" i="3"/>
  <c r="AB150" i="3"/>
  <c r="AC152" i="3"/>
  <c r="AC153" i="3"/>
  <c r="AC150" i="3"/>
  <c r="AC151" i="3"/>
  <c r="AD151" i="3"/>
  <c r="V299" i="28"/>
  <c r="V436" i="28" s="1"/>
  <c r="V100" i="28"/>
  <c r="V11" i="28" s="1"/>
  <c r="X299" i="28"/>
  <c r="X436" i="28" s="1"/>
  <c r="X694" i="28" s="1"/>
  <c r="X100" i="28"/>
  <c r="X11" i="28" s="1"/>
  <c r="W299" i="28"/>
  <c r="W436" i="28" s="1"/>
  <c r="W100" i="28"/>
  <c r="W11" i="28" s="1"/>
  <c r="U299" i="28"/>
  <c r="X5" i="3"/>
  <c r="AB113" i="3"/>
  <c r="G31" i="14" s="1"/>
  <c r="AC122" i="3"/>
  <c r="AB124" i="3"/>
  <c r="AB96" i="3"/>
  <c r="G26" i="14" s="1"/>
  <c r="AB99" i="3"/>
  <c r="AB135" i="3"/>
  <c r="AB44" i="3"/>
  <c r="AC99" i="3"/>
  <c r="AB140" i="3"/>
  <c r="AB141" i="3"/>
  <c r="AB145" i="3"/>
  <c r="AB126" i="3"/>
  <c r="AB144" i="3"/>
  <c r="AB100" i="3"/>
  <c r="AB106" i="3"/>
  <c r="AB138" i="3"/>
  <c r="AB112" i="3"/>
  <c r="AB134" i="3"/>
  <c r="AB122" i="3"/>
  <c r="AB132" i="3"/>
  <c r="AB111" i="3"/>
  <c r="AB131" i="3"/>
  <c r="AB125" i="3"/>
  <c r="AC124" i="3"/>
  <c r="AB105" i="3"/>
  <c r="AB121" i="3"/>
  <c r="AC142" i="3"/>
  <c r="H23" i="14" s="1"/>
  <c r="AC45" i="3"/>
  <c r="AC113" i="3"/>
  <c r="H31" i="14" s="1"/>
  <c r="AB118" i="3"/>
  <c r="AB142" i="3"/>
  <c r="AD44" i="3"/>
  <c r="AC134" i="3"/>
  <c r="AC100" i="3"/>
  <c r="AB45" i="3"/>
  <c r="AC116" i="3"/>
  <c r="AB101" i="3"/>
  <c r="AC143" i="3"/>
  <c r="AC107" i="3"/>
  <c r="AB116" i="3"/>
  <c r="AB115" i="3"/>
  <c r="AB103" i="3"/>
  <c r="AB117" i="3"/>
  <c r="AC145" i="3"/>
  <c r="AC103" i="3"/>
  <c r="AB137" i="3"/>
  <c r="AB107" i="3"/>
  <c r="AC131" i="3"/>
  <c r="AC115" i="3"/>
  <c r="AC106" i="3"/>
  <c r="AC44" i="3"/>
  <c r="AB143" i="3"/>
  <c r="AC118" i="3"/>
  <c r="AC127" i="3"/>
  <c r="AB104" i="3"/>
  <c r="AC126" i="3"/>
  <c r="AD100" i="3"/>
  <c r="AC121" i="3"/>
  <c r="AD99" i="3"/>
  <c r="AC104" i="3"/>
  <c r="AC137" i="3"/>
  <c r="AC141" i="3"/>
  <c r="AD140" i="3"/>
  <c r="AC125" i="3"/>
  <c r="AD101" i="3"/>
  <c r="AC117" i="3"/>
  <c r="AD137" i="3"/>
  <c r="AD112" i="3"/>
  <c r="AE131" i="3"/>
  <c r="AC97" i="3"/>
  <c r="AB97" i="3"/>
  <c r="AD145" i="3"/>
  <c r="AD113" i="3"/>
  <c r="I31" i="14" s="1"/>
  <c r="AD125" i="3"/>
  <c r="AD134" i="3"/>
  <c r="AD135" i="3"/>
  <c r="AD106" i="3"/>
  <c r="AD141" i="3"/>
  <c r="AC138" i="3"/>
  <c r="AD107" i="3"/>
  <c r="AC144" i="3"/>
  <c r="AD116" i="3"/>
  <c r="AD121" i="3"/>
  <c r="AD142" i="3"/>
  <c r="I23" i="14" s="1"/>
  <c r="AD132" i="3"/>
  <c r="AB127" i="3"/>
  <c r="AD138" i="3"/>
  <c r="AD115" i="3"/>
  <c r="AD126" i="3"/>
  <c r="AC101" i="3"/>
  <c r="AD104" i="3"/>
  <c r="AC105" i="3"/>
  <c r="AD131" i="3"/>
  <c r="AD130" i="3" s="1"/>
  <c r="AD103" i="3"/>
  <c r="AC112" i="3"/>
  <c r="AC135" i="3"/>
  <c r="AD122" i="3"/>
  <c r="AC140" i="3"/>
  <c r="AD144" i="3"/>
  <c r="AD45" i="3"/>
  <c r="AE132" i="3"/>
  <c r="AE107" i="3"/>
  <c r="AE134" i="3"/>
  <c r="AE125" i="3"/>
  <c r="AD143" i="3"/>
  <c r="AE137" i="3"/>
  <c r="AE116" i="3"/>
  <c r="AE142" i="3"/>
  <c r="J23" i="14" s="1"/>
  <c r="AE115" i="3"/>
  <c r="AE106" i="3"/>
  <c r="AE140" i="3"/>
  <c r="AE103" i="3"/>
  <c r="AE143" i="3"/>
  <c r="AE98" i="3"/>
  <c r="J29" i="14" s="1"/>
  <c r="AE96" i="3"/>
  <c r="J26" i="14" s="1"/>
  <c r="AE101" i="3"/>
  <c r="AE97" i="3"/>
  <c r="AE122" i="3"/>
  <c r="AE113" i="3"/>
  <c r="J31" i="14" s="1"/>
  <c r="AE145" i="3"/>
  <c r="AD118" i="3"/>
  <c r="AE127" i="3"/>
  <c r="AD127" i="3"/>
  <c r="AE44" i="3"/>
  <c r="AE105" i="3"/>
  <c r="AD124" i="3"/>
  <c r="AE112" i="3"/>
  <c r="AE138" i="3"/>
  <c r="AD117" i="3"/>
  <c r="AC132" i="3"/>
  <c r="AD97" i="3"/>
  <c r="AE45" i="3"/>
  <c r="AD105" i="3"/>
  <c r="AE111" i="3"/>
  <c r="AC111" i="3"/>
  <c r="AC110" i="3" s="1"/>
  <c r="AC96" i="3"/>
  <c r="H26" i="14" s="1"/>
  <c r="AE121" i="3"/>
  <c r="AE126" i="3"/>
  <c r="AD111" i="3"/>
  <c r="AE124" i="3"/>
  <c r="AE102" i="3"/>
  <c r="J30" i="14" s="1"/>
  <c r="AD96" i="3"/>
  <c r="I26" i="14" s="1"/>
  <c r="AE110" i="3"/>
  <c r="AE100" i="3"/>
  <c r="AE135" i="3"/>
  <c r="AF44" i="3"/>
  <c r="AF134" i="3"/>
  <c r="AE141" i="3"/>
  <c r="AF99" i="3"/>
  <c r="AF126" i="3"/>
  <c r="AE144" i="3"/>
  <c r="AF97" i="3"/>
  <c r="AE118" i="3"/>
  <c r="AE99" i="3"/>
  <c r="AF110" i="3"/>
  <c r="AF115" i="3"/>
  <c r="AF117" i="3"/>
  <c r="AF141" i="3"/>
  <c r="AE117" i="3"/>
  <c r="AE104" i="3"/>
  <c r="AF112" i="3"/>
  <c r="AF100" i="3"/>
  <c r="AF135" i="3"/>
  <c r="AF101" i="3"/>
  <c r="AF116" i="3"/>
  <c r="AF107" i="3"/>
  <c r="AF137" i="3"/>
  <c r="AF145" i="3"/>
  <c r="AF118" i="3"/>
  <c r="AF132" i="3"/>
  <c r="AF140" i="3"/>
  <c r="AF130" i="3"/>
  <c r="AF45" i="3"/>
  <c r="AF138" i="3"/>
  <c r="AF124" i="3"/>
  <c r="AF111" i="3"/>
  <c r="AF139" i="3"/>
  <c r="AF105" i="3"/>
  <c r="AF143" i="3"/>
  <c r="AF133" i="3"/>
  <c r="AF125" i="3"/>
  <c r="AF127" i="3"/>
  <c r="AF131" i="3"/>
  <c r="AF103" i="3"/>
  <c r="AF104" i="3"/>
  <c r="AF144" i="3"/>
  <c r="T57" i="28"/>
  <c r="V12" i="3"/>
  <c r="V170" i="3"/>
  <c r="V165" i="3" s="1"/>
  <c r="V189" i="3" s="1"/>
  <c r="X12" i="3"/>
  <c r="X63" i="3" s="1"/>
  <c r="X170" i="3"/>
  <c r="X165" i="3" s="1"/>
  <c r="X189" i="3" s="1"/>
  <c r="W170" i="3"/>
  <c r="W165" i="3" s="1"/>
  <c r="W189" i="3" s="1"/>
  <c r="W12" i="3"/>
  <c r="W63" i="3" s="1"/>
  <c r="T56" i="28"/>
  <c r="H14" i="15"/>
  <c r="I14" i="15" s="1"/>
  <c r="W439" i="28"/>
  <c r="AG301" i="28"/>
  <c r="AH301" i="28" s="1"/>
  <c r="T216" i="28"/>
  <c r="T436" i="28"/>
  <c r="AG533" i="28"/>
  <c r="AH533" i="28" s="1"/>
  <c r="U670" i="28"/>
  <c r="V670" i="28"/>
  <c r="W670" i="28"/>
  <c r="X670" i="28"/>
  <c r="AG306" i="28"/>
  <c r="AH306" i="28" s="1"/>
  <c r="W445" i="28"/>
  <c r="AG308" i="28"/>
  <c r="AH308" i="28" s="1"/>
  <c r="H19" i="15"/>
  <c r="I19" i="15" s="1"/>
  <c r="AE541" i="28"/>
  <c r="AE708" i="28"/>
  <c r="V445" i="28"/>
  <c r="U445" i="28"/>
  <c r="H22" i="15"/>
  <c r="X439" i="28"/>
  <c r="V439" i="28"/>
  <c r="AG302" i="28"/>
  <c r="AH302" i="28" s="1"/>
  <c r="V453" i="28"/>
  <c r="U661" i="28"/>
  <c r="W656" i="28"/>
  <c r="X656" i="28"/>
  <c r="U656" i="28"/>
  <c r="V656" i="28"/>
  <c r="AE229" i="28"/>
  <c r="AG215" i="28"/>
  <c r="AH215" i="28" s="1"/>
  <c r="H13" i="15"/>
  <c r="I13" i="15" s="1"/>
  <c r="W657" i="28"/>
  <c r="AE629" i="28"/>
  <c r="AE517" i="28"/>
  <c r="AE211" i="28"/>
  <c r="AE216" i="28" s="1"/>
  <c r="AE222" i="28" s="1"/>
  <c r="AE223" i="28" s="1"/>
  <c r="AE616" i="28"/>
  <c r="W658" i="28"/>
  <c r="X658" i="28"/>
  <c r="U658" i="28"/>
  <c r="X663" i="28"/>
  <c r="X703" i="28" s="1"/>
  <c r="V663" i="28"/>
  <c r="U663" i="28"/>
  <c r="W663" i="28"/>
  <c r="AE205" i="28"/>
  <c r="AG309" i="28"/>
  <c r="AH309" i="28" s="1"/>
  <c r="T170" i="3"/>
  <c r="V216" i="28"/>
  <c r="W293" i="28"/>
  <c r="X293" i="28"/>
  <c r="U293" i="28"/>
  <c r="V293" i="28"/>
  <c r="AE293" i="28"/>
  <c r="U438" i="28"/>
  <c r="X438" i="28"/>
  <c r="X671" i="28"/>
  <c r="V671" i="28"/>
  <c r="U671" i="28"/>
  <c r="W671" i="28"/>
  <c r="AE304" i="28"/>
  <c r="AE310" i="28" s="1"/>
  <c r="V437" i="28"/>
  <c r="AG300" i="28"/>
  <c r="AH300" i="28" s="1"/>
  <c r="AE317" i="28"/>
  <c r="V317" i="28"/>
  <c r="X317" i="28"/>
  <c r="X452" i="28"/>
  <c r="U446" i="28"/>
  <c r="V446" i="28"/>
  <c r="W446" i="28"/>
  <c r="X446" i="28"/>
  <c r="X669" i="28"/>
  <c r="V669" i="28"/>
  <c r="U669" i="28"/>
  <c r="W669" i="28"/>
  <c r="V443" i="28"/>
  <c r="X443" i="28"/>
  <c r="U443" i="28"/>
  <c r="AE528" i="28"/>
  <c r="W528" i="28"/>
  <c r="X528" i="28"/>
  <c r="AB405" i="28"/>
  <c r="AB412" i="28" s="1"/>
  <c r="T148" i="3"/>
  <c r="E33" i="13" s="1"/>
  <c r="AB711" i="28"/>
  <c r="W5" i="28"/>
  <c r="X6" i="28"/>
  <c r="N156" i="3"/>
  <c r="AC616" i="28"/>
  <c r="AE361" i="28"/>
  <c r="AD405" i="28"/>
  <c r="AD416" i="28" s="1"/>
  <c r="P157" i="28"/>
  <c r="P148" i="28" s="1"/>
  <c r="P149" i="28" s="1"/>
  <c r="AD592" i="28"/>
  <c r="AD594" i="28" s="1"/>
  <c r="AD595" i="28" s="1"/>
  <c r="AD616" i="28"/>
  <c r="AD622" i="28" s="1"/>
  <c r="AB304" i="28"/>
  <c r="AB310" i="28" s="1"/>
  <c r="AE392" i="28"/>
  <c r="AE398" i="28" s="1"/>
  <c r="AD317" i="28"/>
  <c r="AD328" i="28" s="1"/>
  <c r="AB216" i="28"/>
  <c r="AC541" i="28"/>
  <c r="AC708" i="28"/>
  <c r="AC304" i="28"/>
  <c r="AC229" i="28"/>
  <c r="AC709" i="28"/>
  <c r="AD216" i="28"/>
  <c r="AC528" i="28"/>
  <c r="AB317" i="28"/>
  <c r="AB541" i="28"/>
  <c r="AB708" i="28"/>
  <c r="AC517" i="28"/>
  <c r="AC518" i="28" s="1"/>
  <c r="Y21" i="7"/>
  <c r="Y10" i="7"/>
  <c r="Y12" i="7"/>
  <c r="Y20" i="7"/>
  <c r="Z10" i="7"/>
  <c r="Y24" i="7"/>
  <c r="Y11" i="7"/>
  <c r="Y13" i="7"/>
  <c r="Z14" i="7"/>
  <c r="Y22" i="7"/>
  <c r="Z13" i="7"/>
  <c r="Z21" i="7"/>
  <c r="Y23" i="7"/>
  <c r="Y14" i="7"/>
  <c r="AA10" i="7"/>
  <c r="Z20" i="7"/>
  <c r="AA24" i="7"/>
  <c r="Z23" i="7"/>
  <c r="Z12" i="7"/>
  <c r="Z22" i="7"/>
  <c r="Z11" i="7"/>
  <c r="AA14" i="7"/>
  <c r="AB13" i="7"/>
  <c r="Z24" i="7"/>
  <c r="AB22" i="7"/>
  <c r="AC22" i="7" s="1"/>
  <c r="AD22" i="7" s="1"/>
  <c r="AE22" i="7" s="1"/>
  <c r="AA21" i="7"/>
  <c r="AB10" i="7"/>
  <c r="AB23" i="7"/>
  <c r="AC23" i="7" s="1"/>
  <c r="AD23" i="7" s="1"/>
  <c r="AE23" i="7" s="1"/>
  <c r="AA22" i="7"/>
  <c r="AA23" i="7"/>
  <c r="AB14" i="7"/>
  <c r="AB12" i="7"/>
  <c r="AA11" i="7"/>
  <c r="AB21" i="7"/>
  <c r="AC21" i="7" s="1"/>
  <c r="AD21" i="7" s="1"/>
  <c r="AE21" i="7" s="1"/>
  <c r="AA20" i="7"/>
  <c r="AA25" i="7" s="1"/>
  <c r="AA13" i="7"/>
  <c r="AA12" i="7"/>
  <c r="AB20" i="7"/>
  <c r="AB24" i="7"/>
  <c r="AC24" i="7" s="1"/>
  <c r="AD24" i="7" s="1"/>
  <c r="AE24" i="7" s="1"/>
  <c r="AE405" i="28"/>
  <c r="AE709" i="28"/>
  <c r="AC392" i="28"/>
  <c r="AD629" i="28"/>
  <c r="AC317" i="28"/>
  <c r="AB517" i="28"/>
  <c r="AB518" i="28" s="1"/>
  <c r="P37" i="28"/>
  <c r="P90" i="28"/>
  <c r="P36" i="28"/>
  <c r="P150" i="3"/>
  <c r="AD150" i="3" s="1"/>
  <c r="Q263" i="3"/>
  <c r="Q274" i="3" s="1"/>
  <c r="P149" i="3"/>
  <c r="AD149" i="3" s="1"/>
  <c r="Q249" i="3"/>
  <c r="Q260" i="3" s="1"/>
  <c r="AD711" i="28"/>
  <c r="AD710" i="28"/>
  <c r="AB629" i="28"/>
  <c r="O154" i="3"/>
  <c r="O25" i="14" s="1"/>
  <c r="AC592" i="28"/>
  <c r="AC594" i="28" s="1"/>
  <c r="AC595" i="28" s="1"/>
  <c r="AD517" i="28"/>
  <c r="AD518" i="28" s="1"/>
  <c r="AC216" i="28"/>
  <c r="AC345" i="28"/>
  <c r="AC710" i="28"/>
  <c r="AC711" i="28"/>
  <c r="AB344" i="28"/>
  <c r="AB354" i="28"/>
  <c r="AD345" i="28"/>
  <c r="AC344" i="28"/>
  <c r="AC354" i="28"/>
  <c r="AD229" i="28"/>
  <c r="AD709" i="28"/>
  <c r="AD528" i="28"/>
  <c r="AB528" i="28"/>
  <c r="R236" i="3"/>
  <c r="R237" i="3" s="1"/>
  <c r="Q4" i="3"/>
  <c r="AB345" i="28"/>
  <c r="Q152" i="3"/>
  <c r="R286" i="3"/>
  <c r="R290" i="3" s="1"/>
  <c r="AB11" i="7"/>
  <c r="AB229" i="28"/>
  <c r="AB709" i="28"/>
  <c r="AB710" i="28"/>
  <c r="AB392" i="28"/>
  <c r="AC629" i="28"/>
  <c r="AA87" i="28"/>
  <c r="AA33" i="28"/>
  <c r="AD392" i="28"/>
  <c r="AD541" i="28"/>
  <c r="AD708" i="28"/>
  <c r="AD344" i="28"/>
  <c r="AD354" i="28"/>
  <c r="AB601" i="28"/>
  <c r="AB611" i="28"/>
  <c r="AD304" i="28"/>
  <c r="AC405" i="28"/>
  <c r="Q153" i="3"/>
  <c r="R293" i="3"/>
  <c r="R298" i="3" s="1"/>
  <c r="AB592" i="28"/>
  <c r="AB594" i="28" s="1"/>
  <c r="AB595" i="28" s="1"/>
  <c r="U63" i="13"/>
  <c r="W63" i="13"/>
  <c r="AE712" i="28" l="1"/>
  <c r="AB416" i="28"/>
  <c r="W694" i="28"/>
  <c r="N158" i="3"/>
  <c r="N3" i="3" s="1"/>
  <c r="S236" i="3"/>
  <c r="S237" i="3" s="1"/>
  <c r="AD169" i="3"/>
  <c r="AB169" i="3"/>
  <c r="AC169" i="3"/>
  <c r="AF279" i="3"/>
  <c r="AF270" i="3"/>
  <c r="AF229" i="3"/>
  <c r="AE169" i="3"/>
  <c r="AF255" i="3"/>
  <c r="AF245" i="3"/>
  <c r="AF246" i="3" s="1"/>
  <c r="AG244" i="3" s="1"/>
  <c r="AG246" i="3" s="1"/>
  <c r="AH244" i="3" s="1"/>
  <c r="AH246" i="3" s="1"/>
  <c r="AH148" i="3" s="1"/>
  <c r="AF273" i="3"/>
  <c r="AF258" i="3"/>
  <c r="AF265" i="3"/>
  <c r="AF287" i="3"/>
  <c r="AF295" i="3"/>
  <c r="AF269" i="3"/>
  <c r="AF271" i="3"/>
  <c r="AF257" i="3"/>
  <c r="AF23" i="3"/>
  <c r="AF256" i="3"/>
  <c r="AF289" i="3"/>
  <c r="AF253" i="3"/>
  <c r="AF282" i="3"/>
  <c r="AF296" i="3"/>
  <c r="AF281" i="3"/>
  <c r="AF252" i="3"/>
  <c r="AF268" i="3"/>
  <c r="AF250" i="3"/>
  <c r="AF251" i="3"/>
  <c r="AF254" i="3"/>
  <c r="AF272" i="3"/>
  <c r="AF266" i="3"/>
  <c r="AF259" i="3"/>
  <c r="AF294" i="3"/>
  <c r="AF298" i="3" s="1"/>
  <c r="AG293" i="3" s="1"/>
  <c r="AG298" i="3" s="1"/>
  <c r="AH293" i="3" s="1"/>
  <c r="AH298" i="3" s="1"/>
  <c r="AH153" i="3" s="1"/>
  <c r="AF297" i="3"/>
  <c r="AF267" i="3"/>
  <c r="AF288" i="3"/>
  <c r="AH144" i="3"/>
  <c r="AG209" i="3"/>
  <c r="AH143" i="3"/>
  <c r="U654" i="28"/>
  <c r="AE22" i="28"/>
  <c r="AD153" i="28"/>
  <c r="U170" i="3"/>
  <c r="W589" i="28"/>
  <c r="W277" i="28"/>
  <c r="W365" i="28"/>
  <c r="W501" i="28"/>
  <c r="AF670" i="28"/>
  <c r="AE97" i="28"/>
  <c r="U436" i="28"/>
  <c r="AF436" i="28" s="1"/>
  <c r="AD503" i="28"/>
  <c r="X5" i="28"/>
  <c r="X2" i="28"/>
  <c r="X1" i="28"/>
  <c r="T674" i="28"/>
  <c r="T679" i="28"/>
  <c r="T681" i="28" s="1"/>
  <c r="AD277" i="28"/>
  <c r="V654" i="28"/>
  <c r="V694" i="28" s="1"/>
  <c r="V63" i="3"/>
  <c r="W588" i="28"/>
  <c r="W364" i="28"/>
  <c r="AC652" i="28"/>
  <c r="AC692" i="28" s="1"/>
  <c r="AD500" i="28"/>
  <c r="AD136" i="28"/>
  <c r="AD4" i="28" s="1"/>
  <c r="AD367" i="28" s="1"/>
  <c r="AD10" i="28"/>
  <c r="I7" i="14" s="1"/>
  <c r="I36" i="14" s="1"/>
  <c r="AD502" i="28"/>
  <c r="AB154" i="28"/>
  <c r="AB436" i="28"/>
  <c r="AC191" i="28"/>
  <c r="AB156" i="28"/>
  <c r="AD278" i="28"/>
  <c r="AD135" i="28"/>
  <c r="AD3" i="28" s="1"/>
  <c r="AD366" i="28" s="1"/>
  <c r="AD276" i="28"/>
  <c r="AD436" i="28"/>
  <c r="AD134" i="28"/>
  <c r="AD2" i="28" s="1"/>
  <c r="AD365" i="28" s="1"/>
  <c r="AD190" i="28"/>
  <c r="AE436" i="28"/>
  <c r="T547" i="28"/>
  <c r="T549" i="28" s="1"/>
  <c r="T534" i="28"/>
  <c r="T543" i="28"/>
  <c r="AD650" i="28"/>
  <c r="AD53" i="28"/>
  <c r="AD152" i="28"/>
  <c r="AB652" i="28"/>
  <c r="AB692" i="28" s="1"/>
  <c r="AD654" i="28"/>
  <c r="AF656" i="28"/>
  <c r="AF671" i="28"/>
  <c r="AD11" i="28"/>
  <c r="AD156" i="28"/>
  <c r="AD279" i="28"/>
  <c r="AD280" i="28" s="1"/>
  <c r="AD282" i="28" s="1"/>
  <c r="AD283" i="28" s="1"/>
  <c r="AD154" i="28"/>
  <c r="AB155" i="28"/>
  <c r="AD652" i="28"/>
  <c r="AD692" i="28" s="1"/>
  <c r="AF669" i="28"/>
  <c r="AF663" i="28"/>
  <c r="AC155" i="28"/>
  <c r="AD155" i="28"/>
  <c r="AC153" i="28"/>
  <c r="R52" i="14"/>
  <c r="L59" i="13" s="1"/>
  <c r="T37" i="14"/>
  <c r="N44" i="13" s="1"/>
  <c r="N43" i="13"/>
  <c r="AD110" i="3"/>
  <c r="AB102" i="3"/>
  <c r="G30" i="14" s="1"/>
  <c r="I24" i="14"/>
  <c r="AB154" i="3"/>
  <c r="G25" i="14" s="1"/>
  <c r="AB230" i="3"/>
  <c r="AB200" i="3"/>
  <c r="AB193" i="3"/>
  <c r="AB233" i="3"/>
  <c r="AB213" i="3"/>
  <c r="AB224" i="3"/>
  <c r="AB208" i="3"/>
  <c r="AB225" i="3"/>
  <c r="G20" i="14" s="1"/>
  <c r="AB218" i="3"/>
  <c r="AB226" i="3"/>
  <c r="G19" i="14" s="1"/>
  <c r="AB210" i="3"/>
  <c r="AC197" i="3"/>
  <c r="AB223" i="3"/>
  <c r="AB229" i="3"/>
  <c r="AC194" i="3"/>
  <c r="AB191" i="3"/>
  <c r="AB217" i="3"/>
  <c r="AC202" i="3"/>
  <c r="AB198" i="3"/>
  <c r="AB195" i="3"/>
  <c r="AB188" i="3"/>
  <c r="AC198" i="3"/>
  <c r="AB190" i="3"/>
  <c r="AB196" i="3"/>
  <c r="AB202" i="3"/>
  <c r="AB199" i="3"/>
  <c r="AB209" i="3"/>
  <c r="AB189" i="3"/>
  <c r="AB201" i="3"/>
  <c r="AB206" i="3"/>
  <c r="AB194" i="3"/>
  <c r="AC210" i="3"/>
  <c r="AB219" i="3"/>
  <c r="AC205" i="3"/>
  <c r="AC226" i="3"/>
  <c r="H19" i="14" s="1"/>
  <c r="AB204" i="3"/>
  <c r="AC225" i="3"/>
  <c r="H20" i="14" s="1"/>
  <c r="AC216" i="3"/>
  <c r="AC228" i="3"/>
  <c r="AC233" i="3"/>
  <c r="AB216" i="3"/>
  <c r="AC206" i="3"/>
  <c r="AC188" i="3"/>
  <c r="AC189" i="3"/>
  <c r="AC224" i="3"/>
  <c r="AC200" i="3"/>
  <c r="AC213" i="3"/>
  <c r="AC209" i="3"/>
  <c r="AC195" i="3"/>
  <c r="AB228" i="3"/>
  <c r="AC229" i="3"/>
  <c r="AB215" i="3"/>
  <c r="AC190" i="3"/>
  <c r="AC208" i="3"/>
  <c r="AD200" i="3"/>
  <c r="AC207" i="3"/>
  <c r="AC219" i="3"/>
  <c r="AB197" i="3"/>
  <c r="AB205" i="3"/>
  <c r="AC191" i="3"/>
  <c r="AB222" i="3"/>
  <c r="G18" i="14" s="1"/>
  <c r="AD196" i="3"/>
  <c r="AC223" i="3"/>
  <c r="AC218" i="3"/>
  <c r="AC196" i="3"/>
  <c r="AB207" i="3"/>
  <c r="AC230" i="3"/>
  <c r="AC222" i="3"/>
  <c r="H18" i="14" s="1"/>
  <c r="H46" i="14" s="1"/>
  <c r="F53" i="13" s="1"/>
  <c r="AE198" i="3"/>
  <c r="AE194" i="3"/>
  <c r="AD215" i="3"/>
  <c r="AC201" i="3"/>
  <c r="AD199" i="3"/>
  <c r="AD197" i="3"/>
  <c r="AD188" i="3"/>
  <c r="AE200" i="3"/>
  <c r="AD198" i="3"/>
  <c r="AE196" i="3"/>
  <c r="AD206" i="3"/>
  <c r="AD194" i="3"/>
  <c r="AD226" i="3"/>
  <c r="I19" i="14" s="1"/>
  <c r="AD190" i="3"/>
  <c r="AD233" i="3"/>
  <c r="AD210" i="3"/>
  <c r="AC204" i="3"/>
  <c r="AC215" i="3"/>
  <c r="AD204" i="3"/>
  <c r="AD202" i="3"/>
  <c r="AD228" i="3"/>
  <c r="AD223" i="3"/>
  <c r="AC193" i="3"/>
  <c r="AD222" i="3"/>
  <c r="I18" i="14" s="1"/>
  <c r="AD209" i="3"/>
  <c r="AD191" i="3"/>
  <c r="AD213" i="3"/>
  <c r="AD207" i="3"/>
  <c r="AD225" i="3"/>
  <c r="I20" i="14" s="1"/>
  <c r="AD217" i="3"/>
  <c r="AD224" i="3"/>
  <c r="AE202" i="3"/>
  <c r="AD229" i="3"/>
  <c r="AD201" i="3"/>
  <c r="AC199" i="3"/>
  <c r="AD230" i="3"/>
  <c r="AC217" i="3"/>
  <c r="AE204" i="3"/>
  <c r="AE219" i="3"/>
  <c r="AF223" i="3"/>
  <c r="AE191" i="3"/>
  <c r="AD195" i="3"/>
  <c r="AE215" i="3"/>
  <c r="AE224" i="3"/>
  <c r="AD208" i="3"/>
  <c r="AE213" i="3"/>
  <c r="J17" i="14" s="1"/>
  <c r="AE216" i="3"/>
  <c r="AE209" i="3"/>
  <c r="AD218" i="3"/>
  <c r="AE205" i="3"/>
  <c r="AD205" i="3"/>
  <c r="AE225" i="3"/>
  <c r="J20" i="14" s="1"/>
  <c r="AE199" i="3"/>
  <c r="AE223" i="3"/>
  <c r="AE190" i="3"/>
  <c r="AE210" i="3"/>
  <c r="AE201" i="3"/>
  <c r="AE226" i="3"/>
  <c r="J19" i="14" s="1"/>
  <c r="AE228" i="3"/>
  <c r="AD189" i="3"/>
  <c r="AD219" i="3"/>
  <c r="AE195" i="3"/>
  <c r="AE230" i="3"/>
  <c r="AE197" i="3"/>
  <c r="AE222" i="3"/>
  <c r="J18" i="14" s="1"/>
  <c r="AE189" i="3"/>
  <c r="AD193" i="3"/>
  <c r="AE207" i="3"/>
  <c r="AE233" i="3"/>
  <c r="AE193" i="3"/>
  <c r="AE208" i="3"/>
  <c r="AE218" i="3"/>
  <c r="AE229" i="3"/>
  <c r="AD216" i="3"/>
  <c r="AE217" i="3"/>
  <c r="AE206" i="3"/>
  <c r="AF219" i="3"/>
  <c r="AF194" i="3"/>
  <c r="AF191" i="3"/>
  <c r="AF230" i="3"/>
  <c r="AF199" i="3"/>
  <c r="AF209" i="3"/>
  <c r="AF200" i="3"/>
  <c r="AF201" i="3"/>
  <c r="AF217" i="3"/>
  <c r="AF193" i="3"/>
  <c r="AF195" i="3"/>
  <c r="AF228" i="3"/>
  <c r="AF216" i="3"/>
  <c r="AF197" i="3"/>
  <c r="AF218" i="3"/>
  <c r="AF215" i="3"/>
  <c r="AF198" i="3"/>
  <c r="AF202" i="3"/>
  <c r="AF226" i="3"/>
  <c r="L19" i="14" s="1"/>
  <c r="AF233" i="3"/>
  <c r="AF196" i="3"/>
  <c r="AE148" i="3"/>
  <c r="J24" i="14"/>
  <c r="AB136" i="3"/>
  <c r="AC136" i="3"/>
  <c r="AC139" i="3"/>
  <c r="AB133" i="3"/>
  <c r="AE123" i="3"/>
  <c r="H24" i="14"/>
  <c r="G23" i="14"/>
  <c r="G24" i="14" s="1"/>
  <c r="AD123" i="3"/>
  <c r="AD128" i="3" s="1"/>
  <c r="AD102" i="3"/>
  <c r="I30" i="14" s="1"/>
  <c r="AB130" i="3"/>
  <c r="AC102" i="3"/>
  <c r="H30" i="14" s="1"/>
  <c r="AB110" i="3"/>
  <c r="AD133" i="3"/>
  <c r="U694" i="28"/>
  <c r="J32" i="14"/>
  <c r="AF446" i="28"/>
  <c r="AF445" i="28"/>
  <c r="AB98" i="3"/>
  <c r="G29" i="14" s="1"/>
  <c r="G32" i="14" s="1"/>
  <c r="AH125" i="3"/>
  <c r="AF123" i="3"/>
  <c r="AE130" i="3"/>
  <c r="AH133" i="3"/>
  <c r="AH107" i="3"/>
  <c r="AG44" i="3"/>
  <c r="AH44" i="3" s="1"/>
  <c r="AD136" i="3"/>
  <c r="AD98" i="3"/>
  <c r="I29" i="14" s="1"/>
  <c r="AB123" i="3"/>
  <c r="AB128" i="3" s="1"/>
  <c r="AH127" i="3"/>
  <c r="AG45" i="3"/>
  <c r="AH45" i="3" s="1"/>
  <c r="AH116" i="3"/>
  <c r="AE136" i="3"/>
  <c r="AE114" i="3"/>
  <c r="AC166" i="3"/>
  <c r="AH105" i="3"/>
  <c r="AH130" i="3"/>
  <c r="AH117" i="3"/>
  <c r="AD166" i="3"/>
  <c r="AC114" i="3"/>
  <c r="AB114" i="3"/>
  <c r="AC133" i="3"/>
  <c r="AB139" i="3"/>
  <c r="AB166" i="3"/>
  <c r="AF114" i="3"/>
  <c r="AH126" i="3"/>
  <c r="AD114" i="3"/>
  <c r="AC130" i="3"/>
  <c r="AC123" i="3"/>
  <c r="AC128" i="3" s="1"/>
  <c r="AC98" i="3"/>
  <c r="H29" i="14" s="1"/>
  <c r="AB22" i="3"/>
  <c r="AB23" i="3"/>
  <c r="AB55" i="3"/>
  <c r="AB72" i="3" s="1"/>
  <c r="AB54" i="3"/>
  <c r="AB20" i="3"/>
  <c r="AB86" i="3"/>
  <c r="AB18" i="3"/>
  <c r="AB64" i="3"/>
  <c r="AB11" i="3"/>
  <c r="AB183" i="3" s="1"/>
  <c r="AB87" i="3"/>
  <c r="AB81" i="3"/>
  <c r="AB17" i="3"/>
  <c r="AB32" i="3"/>
  <c r="AB52" i="3"/>
  <c r="AC12" i="3"/>
  <c r="AB60" i="3"/>
  <c r="AB77" i="3" s="1"/>
  <c r="AB58" i="3"/>
  <c r="AB75" i="3" s="1"/>
  <c r="AB12" i="3"/>
  <c r="AB38" i="3"/>
  <c r="AB15" i="3"/>
  <c r="AB84" i="3"/>
  <c r="AB28" i="3"/>
  <c r="AB85" i="3"/>
  <c r="AB56" i="3"/>
  <c r="AB73" i="3" s="1"/>
  <c r="AB47" i="3"/>
  <c r="AB59" i="3"/>
  <c r="AB76" i="3" s="1"/>
  <c r="AC18" i="3"/>
  <c r="AC24" i="3"/>
  <c r="AB24" i="3"/>
  <c r="AC60" i="3"/>
  <c r="AC77" i="3" s="1"/>
  <c r="AB83" i="3"/>
  <c r="AC66" i="3"/>
  <c r="AB82" i="3"/>
  <c r="AB63" i="3"/>
  <c r="AB53" i="3"/>
  <c r="AC22" i="3"/>
  <c r="AC10" i="3"/>
  <c r="AC28" i="3"/>
  <c r="AB16" i="3"/>
  <c r="AC31" i="3"/>
  <c r="AC19" i="3"/>
  <c r="AC17" i="3"/>
  <c r="AB65" i="3"/>
  <c r="AB66" i="3"/>
  <c r="AB57" i="3"/>
  <c r="AB74" i="3" s="1"/>
  <c r="AB67" i="3"/>
  <c r="AC85" i="3"/>
  <c r="AB19" i="3"/>
  <c r="AC20" i="3"/>
  <c r="AC65" i="3"/>
  <c r="AB27" i="3"/>
  <c r="AC27" i="3"/>
  <c r="AB21" i="3"/>
  <c r="AB61" i="3"/>
  <c r="AB78" i="3" s="1"/>
  <c r="AB80" i="3"/>
  <c r="AC29" i="3"/>
  <c r="AC11" i="3"/>
  <c r="AC183" i="3" s="1"/>
  <c r="AC56" i="3"/>
  <c r="AC73" i="3" s="1"/>
  <c r="AC53" i="3"/>
  <c r="AB31" i="3"/>
  <c r="AB10" i="3"/>
  <c r="AB177" i="3" s="1"/>
  <c r="AC30" i="3"/>
  <c r="AC81" i="3"/>
  <c r="AB30" i="3"/>
  <c r="AC57" i="3"/>
  <c r="AC74" i="3" s="1"/>
  <c r="AB62" i="3"/>
  <c r="AC52" i="3"/>
  <c r="AB29" i="3"/>
  <c r="AC59" i="3"/>
  <c r="AC76" i="3" s="1"/>
  <c r="AD81" i="3"/>
  <c r="AD32" i="3"/>
  <c r="AC54" i="3"/>
  <c r="AD84" i="3"/>
  <c r="AD67" i="3"/>
  <c r="AC64" i="3"/>
  <c r="AB68" i="3"/>
  <c r="AB79" i="3" s="1"/>
  <c r="AD52" i="3"/>
  <c r="AC68" i="3"/>
  <c r="AC79" i="3" s="1"/>
  <c r="AD63" i="3"/>
  <c r="AC23" i="3"/>
  <c r="AD22" i="3"/>
  <c r="AD85" i="3"/>
  <c r="AD18" i="3"/>
  <c r="AC32" i="3"/>
  <c r="AC47" i="3"/>
  <c r="AC35" i="3"/>
  <c r="AD21" i="3"/>
  <c r="AC62" i="3"/>
  <c r="AC84" i="3"/>
  <c r="AC38" i="3"/>
  <c r="AD30" i="3"/>
  <c r="AD16" i="3"/>
  <c r="AD59" i="3"/>
  <c r="AD76" i="3" s="1"/>
  <c r="AD61" i="3"/>
  <c r="AD78" i="3" s="1"/>
  <c r="AB35" i="3"/>
  <c r="AD12" i="3"/>
  <c r="AC80" i="3"/>
  <c r="AC16" i="3"/>
  <c r="AD58" i="3"/>
  <c r="AD75" i="3" s="1"/>
  <c r="AD47" i="3"/>
  <c r="AC55" i="3"/>
  <c r="AC72" i="3" s="1"/>
  <c r="AC86" i="3"/>
  <c r="AD54" i="3"/>
  <c r="AC15" i="3"/>
  <c r="AC58" i="3"/>
  <c r="AC75" i="3" s="1"/>
  <c r="AD87" i="3"/>
  <c r="AD10" i="3"/>
  <c r="AD29" i="3"/>
  <c r="AD68" i="3"/>
  <c r="AD79" i="3" s="1"/>
  <c r="AC82" i="3"/>
  <c r="AE56" i="3"/>
  <c r="AD64" i="3"/>
  <c r="AC21" i="3"/>
  <c r="AD62" i="3"/>
  <c r="AD19" i="3"/>
  <c r="AE58" i="3"/>
  <c r="AD23" i="3"/>
  <c r="AE24" i="3"/>
  <c r="AE82" i="3"/>
  <c r="AE81" i="3"/>
  <c r="AD65" i="3"/>
  <c r="AD20" i="3"/>
  <c r="AD53" i="3"/>
  <c r="AE85" i="3"/>
  <c r="AE30" i="3"/>
  <c r="AD55" i="3"/>
  <c r="AD72" i="3" s="1"/>
  <c r="AD86" i="3"/>
  <c r="AD60" i="3"/>
  <c r="AD77" i="3" s="1"/>
  <c r="AD17" i="3"/>
  <c r="AE20" i="3"/>
  <c r="AC83" i="3"/>
  <c r="AD57" i="3"/>
  <c r="AD74" i="3" s="1"/>
  <c r="AE35" i="3"/>
  <c r="AD66" i="3"/>
  <c r="AD27" i="3"/>
  <c r="AD15" i="3"/>
  <c r="AD80" i="3"/>
  <c r="AE38" i="3"/>
  <c r="AE83" i="3"/>
  <c r="AE17" i="3"/>
  <c r="AC63" i="3"/>
  <c r="AE31" i="3"/>
  <c r="AE29" i="3"/>
  <c r="AD31" i="3"/>
  <c r="AE84" i="3"/>
  <c r="AC61" i="3"/>
  <c r="AC78" i="3" s="1"/>
  <c r="AC87" i="3"/>
  <c r="AD82" i="3"/>
  <c r="AD11" i="3"/>
  <c r="AD183" i="3" s="1"/>
  <c r="AD83" i="3"/>
  <c r="AC67" i="3"/>
  <c r="AD38" i="3"/>
  <c r="AE60" i="3"/>
  <c r="AD56" i="3"/>
  <c r="AD73" i="3" s="1"/>
  <c r="AE86" i="3"/>
  <c r="AF28" i="3"/>
  <c r="AD28" i="3"/>
  <c r="AF84" i="3"/>
  <c r="AE21" i="3"/>
  <c r="AF56" i="3"/>
  <c r="AF12" i="3"/>
  <c r="AE61" i="3"/>
  <c r="AF82" i="3"/>
  <c r="AF15" i="3"/>
  <c r="AE11" i="3"/>
  <c r="AE183" i="3" s="1"/>
  <c r="AE87" i="3"/>
  <c r="AD24" i="3"/>
  <c r="AF58" i="3"/>
  <c r="AE55" i="3"/>
  <c r="AE19" i="3"/>
  <c r="AE23" i="3"/>
  <c r="AF59" i="3"/>
  <c r="AF57" i="3"/>
  <c r="AE32" i="3"/>
  <c r="AE80" i="3"/>
  <c r="AE18" i="3"/>
  <c r="AE66" i="3"/>
  <c r="AE68" i="3"/>
  <c r="AE22" i="3"/>
  <c r="AE63" i="3"/>
  <c r="AF38" i="3"/>
  <c r="AE57" i="3"/>
  <c r="AE16" i="3"/>
  <c r="AE15" i="3"/>
  <c r="AF21" i="3"/>
  <c r="AE27" i="3"/>
  <c r="AD35" i="3"/>
  <c r="AF81" i="3"/>
  <c r="AF87" i="3"/>
  <c r="AF86" i="3"/>
  <c r="AF29" i="3"/>
  <c r="AF24" i="3"/>
  <c r="AF83" i="3"/>
  <c r="AE12" i="3"/>
  <c r="AF55" i="3"/>
  <c r="AE10" i="3"/>
  <c r="AF68" i="3"/>
  <c r="AF80" i="3"/>
  <c r="AF27" i="3"/>
  <c r="AF60" i="3"/>
  <c r="AF85" i="3"/>
  <c r="AF61" i="3"/>
  <c r="AE59" i="3"/>
  <c r="AE28" i="3"/>
  <c r="AF22" i="3"/>
  <c r="AH139" i="3"/>
  <c r="AH110" i="3"/>
  <c r="AE139" i="3"/>
  <c r="AD139" i="3"/>
  <c r="AH118" i="3"/>
  <c r="U701" i="28"/>
  <c r="AE170" i="3"/>
  <c r="T236" i="3"/>
  <c r="V616" i="28"/>
  <c r="V631" i="28" s="1"/>
  <c r="V658" i="28"/>
  <c r="AF658" i="28" s="1"/>
  <c r="U616" i="28"/>
  <c r="X547" i="28"/>
  <c r="X534" i="28"/>
  <c r="U437" i="28"/>
  <c r="U216" i="28"/>
  <c r="W205" i="28"/>
  <c r="W444" i="28"/>
  <c r="AF616" i="28"/>
  <c r="AF517" i="28"/>
  <c r="AG531" i="28"/>
  <c r="W668" i="28"/>
  <c r="W672" i="28" s="1"/>
  <c r="X181" i="28"/>
  <c r="X459" i="28"/>
  <c r="AF229" i="28"/>
  <c r="AF709" i="28"/>
  <c r="AF541" i="28"/>
  <c r="AF708" i="28"/>
  <c r="W182" i="28"/>
  <c r="W649" i="28"/>
  <c r="W703" i="28"/>
  <c r="W168" i="3" s="1"/>
  <c r="W163" i="3" s="1"/>
  <c r="W453" i="28"/>
  <c r="W711" i="28"/>
  <c r="W697" i="28"/>
  <c r="W547" i="28"/>
  <c r="W534" i="28"/>
  <c r="AG221" i="28"/>
  <c r="AF293" i="28"/>
  <c r="AG307" i="28"/>
  <c r="X437" i="28"/>
  <c r="X216" i="28"/>
  <c r="V444" i="28"/>
  <c r="V205" i="28"/>
  <c r="W655" i="28"/>
  <c r="W659" i="28" s="1"/>
  <c r="W616" i="28"/>
  <c r="AF710" i="28"/>
  <c r="U657" i="28"/>
  <c r="X229" i="28"/>
  <c r="X709" i="28"/>
  <c r="X451" i="28"/>
  <c r="U696" i="28"/>
  <c r="AG220" i="28"/>
  <c r="X541" i="28"/>
  <c r="X708" i="28"/>
  <c r="V182" i="28"/>
  <c r="V649" i="28"/>
  <c r="V711" i="28"/>
  <c r="V655" i="28"/>
  <c r="V528" i="28"/>
  <c r="W437" i="28"/>
  <c r="W216" i="28"/>
  <c r="U205" i="28"/>
  <c r="U444" i="28"/>
  <c r="V517" i="28"/>
  <c r="V662" i="28"/>
  <c r="U710" i="28"/>
  <c r="U452" i="28"/>
  <c r="W229" i="28"/>
  <c r="W709" i="28"/>
  <c r="W451" i="28"/>
  <c r="X696" i="28"/>
  <c r="U703" i="28"/>
  <c r="W541" i="28"/>
  <c r="W543" i="28" s="1"/>
  <c r="W708" i="28"/>
  <c r="U649" i="28"/>
  <c r="U711" i="28"/>
  <c r="U453" i="28"/>
  <c r="W438" i="28"/>
  <c r="W696" i="28" s="1"/>
  <c r="U655" i="28"/>
  <c r="U528" i="28"/>
  <c r="X328" i="28"/>
  <c r="X324" i="28"/>
  <c r="V222" i="28"/>
  <c r="U662" i="28"/>
  <c r="X710" i="28"/>
  <c r="U459" i="28"/>
  <c r="V229" i="28"/>
  <c r="V451" i="28"/>
  <c r="V709" i="28"/>
  <c r="X168" i="3"/>
  <c r="X163" i="3" s="1"/>
  <c r="V541" i="28"/>
  <c r="V668" i="28"/>
  <c r="V672" i="28" s="1"/>
  <c r="V708" i="28"/>
  <c r="X649" i="28"/>
  <c r="X182" i="28"/>
  <c r="V438" i="28"/>
  <c r="V696" i="28" s="1"/>
  <c r="AE547" i="28"/>
  <c r="AE534" i="28"/>
  <c r="AE543" i="28"/>
  <c r="W317" i="28"/>
  <c r="AG213" i="28"/>
  <c r="X655" i="28"/>
  <c r="X616" i="28"/>
  <c r="X517" i="28"/>
  <c r="X662" i="28"/>
  <c r="W452" i="28"/>
  <c r="W710" i="28"/>
  <c r="U229" i="28"/>
  <c r="U451" i="28"/>
  <c r="U709" i="28"/>
  <c r="AG530" i="28"/>
  <c r="W677" i="28"/>
  <c r="U541" i="28"/>
  <c r="U668" i="28"/>
  <c r="U708" i="28"/>
  <c r="T694" i="28"/>
  <c r="V661" i="28"/>
  <c r="V701" i="28" s="1"/>
  <c r="X269" i="28"/>
  <c r="X249" i="28"/>
  <c r="AG218" i="28"/>
  <c r="V328" i="28"/>
  <c r="V324" i="28"/>
  <c r="W517" i="28"/>
  <c r="W662" i="28"/>
  <c r="V710" i="28"/>
  <c r="V452" i="28"/>
  <c r="V677" i="28"/>
  <c r="V703" i="28"/>
  <c r="V168" i="3" s="1"/>
  <c r="V163" i="3" s="1"/>
  <c r="AE552" i="28"/>
  <c r="AE548" i="28"/>
  <c r="W443" i="28"/>
  <c r="AF443" i="28" s="1"/>
  <c r="T235" i="28"/>
  <c r="T237" i="28" s="1"/>
  <c r="T231" i="28"/>
  <c r="T222" i="28"/>
  <c r="W661" i="28"/>
  <c r="AG214" i="28"/>
  <c r="W269" i="28"/>
  <c r="W276" i="28" s="1"/>
  <c r="W249" i="28"/>
  <c r="AF528" i="28"/>
  <c r="AF317" i="28"/>
  <c r="U317" i="28"/>
  <c r="AG219" i="28"/>
  <c r="AF205" i="28"/>
  <c r="AF629" i="28"/>
  <c r="X657" i="28"/>
  <c r="X697" i="28" s="1"/>
  <c r="U677" i="28"/>
  <c r="AF711" i="28"/>
  <c r="U439" i="28"/>
  <c r="V269" i="28"/>
  <c r="V249" i="28"/>
  <c r="AG212" i="28"/>
  <c r="AF216" i="28"/>
  <c r="X205" i="28"/>
  <c r="X444" i="28"/>
  <c r="AE631" i="28"/>
  <c r="X668" i="28"/>
  <c r="X672" i="28" s="1"/>
  <c r="V657" i="28"/>
  <c r="V697" i="28" s="1"/>
  <c r="X677" i="28"/>
  <c r="X453" i="28"/>
  <c r="X711" i="28"/>
  <c r="X661" i="28"/>
  <c r="X701" i="28" s="1"/>
  <c r="AC622" i="28"/>
  <c r="AC632" i="28" s="1"/>
  <c r="AB319" i="28"/>
  <c r="AB323" i="28"/>
  <c r="AH582" i="28"/>
  <c r="AD148" i="28"/>
  <c r="AD149" i="28" s="1"/>
  <c r="AE407" i="28"/>
  <c r="AD412" i="28"/>
  <c r="AD712" i="28"/>
  <c r="AD324" i="28"/>
  <c r="AB222" i="28"/>
  <c r="AB223" i="28" s="1"/>
  <c r="P154" i="3"/>
  <c r="P25" i="14" s="1"/>
  <c r="R4" i="3"/>
  <c r="Q149" i="3"/>
  <c r="R249" i="3"/>
  <c r="R260" i="3" s="1"/>
  <c r="Q150" i="3"/>
  <c r="R263" i="3"/>
  <c r="R274" i="3" s="1"/>
  <c r="AB25" i="7"/>
  <c r="AC20" i="7"/>
  <c r="AC534" i="28"/>
  <c r="AC547" i="28"/>
  <c r="AC543" i="28"/>
  <c r="AC407" i="28"/>
  <c r="AC398" i="28"/>
  <c r="AC411" i="28"/>
  <c r="Z15" i="7"/>
  <c r="Z16" i="7" s="1"/>
  <c r="R152" i="3"/>
  <c r="S286" i="3"/>
  <c r="S290" i="3" s="1"/>
  <c r="Y25" i="7"/>
  <c r="AA32" i="7"/>
  <c r="AA26" i="7"/>
  <c r="AA29" i="7"/>
  <c r="P40" i="28"/>
  <c r="P59" i="28" s="1"/>
  <c r="P93" i="28"/>
  <c r="Y15" i="7"/>
  <c r="Y16" i="7" s="1"/>
  <c r="AD632" i="28"/>
  <c r="AA37" i="28"/>
  <c r="AA90" i="28"/>
  <c r="AA36" i="28"/>
  <c r="AG582" i="28"/>
  <c r="AD631" i="28"/>
  <c r="AD222" i="28"/>
  <c r="AD223" i="28" s="1"/>
  <c r="AC416" i="28"/>
  <c r="AC412" i="28"/>
  <c r="AF582" i="28"/>
  <c r="Z25" i="7"/>
  <c r="G43" i="13"/>
  <c r="AE408" i="28"/>
  <c r="AA15" i="7"/>
  <c r="AA16" i="7" s="1"/>
  <c r="AB603" i="28"/>
  <c r="AB606" i="28"/>
  <c r="AB534" i="28"/>
  <c r="AB547" i="28"/>
  <c r="AB543" i="28"/>
  <c r="O156" i="3"/>
  <c r="AB712" i="28"/>
  <c r="AB320" i="28"/>
  <c r="AB327" i="28"/>
  <c r="AC222" i="28"/>
  <c r="AC223" i="28" s="1"/>
  <c r="AB548" i="28"/>
  <c r="AB552" i="28"/>
  <c r="AB616" i="28"/>
  <c r="AD548" i="28"/>
  <c r="AD552" i="28"/>
  <c r="AC712" i="28"/>
  <c r="AC319" i="28"/>
  <c r="AC310" i="28"/>
  <c r="AD407" i="28"/>
  <c r="AD398" i="28"/>
  <c r="AD411" i="28"/>
  <c r="AD534" i="28"/>
  <c r="AD543" i="28"/>
  <c r="AD547" i="28"/>
  <c r="AB15" i="7"/>
  <c r="AB16" i="7" s="1"/>
  <c r="AC548" i="28"/>
  <c r="AC552" i="28"/>
  <c r="R153" i="3"/>
  <c r="S293" i="3"/>
  <c r="S298" i="3" s="1"/>
  <c r="AD319" i="28"/>
  <c r="AD323" i="28"/>
  <c r="AD310" i="28"/>
  <c r="AB407" i="28"/>
  <c r="AB411" i="28"/>
  <c r="AB413" i="28" s="1"/>
  <c r="AB398" i="28"/>
  <c r="AC631" i="28"/>
  <c r="AB324" i="28"/>
  <c r="AB328" i="28"/>
  <c r="U64" i="13"/>
  <c r="W64" i="13"/>
  <c r="J46" i="14" l="1"/>
  <c r="H53" i="13" s="1"/>
  <c r="AF182" i="28"/>
  <c r="AD191" i="28"/>
  <c r="AF45" i="28"/>
  <c r="X276" i="28"/>
  <c r="X188" i="28"/>
  <c r="O158" i="3"/>
  <c r="O3" i="3" s="1"/>
  <c r="AH97" i="3"/>
  <c r="AF290" i="3"/>
  <c r="AG286" i="3" s="1"/>
  <c r="AG290" i="3" s="1"/>
  <c r="AH286" i="3" s="1"/>
  <c r="AH290" i="3" s="1"/>
  <c r="AH152" i="3" s="1"/>
  <c r="AF260" i="3"/>
  <c r="AG249" i="3" s="1"/>
  <c r="AG260" i="3" s="1"/>
  <c r="AH249" i="3" s="1"/>
  <c r="AH260" i="3" s="1"/>
  <c r="AH149" i="3" s="1"/>
  <c r="AC179" i="3"/>
  <c r="AH145" i="3"/>
  <c r="AB227" i="3"/>
  <c r="U168" i="3"/>
  <c r="AD694" i="28"/>
  <c r="V684" i="28"/>
  <c r="AF662" i="28"/>
  <c r="T551" i="28"/>
  <c r="T553" i="28" s="1"/>
  <c r="T544" i="28"/>
  <c r="X588" i="28"/>
  <c r="X364" i="28"/>
  <c r="X589" i="28"/>
  <c r="X277" i="28"/>
  <c r="X365" i="28"/>
  <c r="X501" i="28"/>
  <c r="V276" i="28"/>
  <c r="U631" i="28"/>
  <c r="AC52" i="28"/>
  <c r="AB51" i="28"/>
  <c r="AB49" i="28"/>
  <c r="AB127" i="28"/>
  <c r="AB23" i="28"/>
  <c r="AB451" i="28"/>
  <c r="AB14" i="28"/>
  <c r="AC15" i="28"/>
  <c r="AB39" i="28"/>
  <c r="AB115" i="28"/>
  <c r="AB576" i="28"/>
  <c r="AB657" i="28"/>
  <c r="AC127" i="28"/>
  <c r="AC18" i="28"/>
  <c r="AC440" i="28"/>
  <c r="AB437" i="28"/>
  <c r="AC128" i="28"/>
  <c r="AC453" i="28"/>
  <c r="AB440" i="28"/>
  <c r="AB575" i="28"/>
  <c r="AB445" i="28"/>
  <c r="AB561" i="28"/>
  <c r="AB24" i="28"/>
  <c r="AC111" i="28"/>
  <c r="AB249" i="28"/>
  <c r="AB32" i="28"/>
  <c r="AB664" i="28"/>
  <c r="AC451" i="28"/>
  <c r="AB108" i="28"/>
  <c r="AB121" i="28"/>
  <c r="AB107" i="28"/>
  <c r="AB446" i="28"/>
  <c r="AC452" i="28"/>
  <c r="AB35" i="28"/>
  <c r="AB102" i="28"/>
  <c r="AB50" i="28"/>
  <c r="AB452" i="28"/>
  <c r="AB439" i="28"/>
  <c r="AC446" i="28"/>
  <c r="AB17" i="28"/>
  <c r="AB111" i="28"/>
  <c r="AB99" i="28"/>
  <c r="AB658" i="28"/>
  <c r="AB453" i="28"/>
  <c r="AC23" i="28"/>
  <c r="AB662" i="28"/>
  <c r="AB655" i="28"/>
  <c r="AB129" i="28"/>
  <c r="AB45" i="28"/>
  <c r="AB15" i="28"/>
  <c r="AB103" i="28"/>
  <c r="AB128" i="28"/>
  <c r="AC98" i="28"/>
  <c r="AB431" i="28"/>
  <c r="AB27" i="28"/>
  <c r="AB574" i="28"/>
  <c r="AB663" i="28"/>
  <c r="AB31" i="28"/>
  <c r="AC662" i="28"/>
  <c r="AB26" i="28"/>
  <c r="AC161" i="28"/>
  <c r="AD128" i="28"/>
  <c r="AB176" i="28"/>
  <c r="AC262" i="28"/>
  <c r="AC327" i="28" s="1"/>
  <c r="AC106" i="28"/>
  <c r="AB130" i="28"/>
  <c r="AC103" i="28"/>
  <c r="AD99" i="28"/>
  <c r="AC16" i="28"/>
  <c r="AC45" i="28"/>
  <c r="AD438" i="28"/>
  <c r="AC17" i="28"/>
  <c r="AC39" i="28"/>
  <c r="AC121" i="28"/>
  <c r="AC50" i="28"/>
  <c r="AB175" i="28"/>
  <c r="AC577" i="28"/>
  <c r="AC114" i="28"/>
  <c r="AB577" i="28"/>
  <c r="AC438" i="28"/>
  <c r="AB113" i="28"/>
  <c r="AB671" i="28"/>
  <c r="AD114" i="28"/>
  <c r="AC661" i="28"/>
  <c r="AB18" i="28"/>
  <c r="AC26" i="28"/>
  <c r="AC174" i="28"/>
  <c r="AC239" i="28" s="1"/>
  <c r="AB174" i="28"/>
  <c r="AB239" i="28" s="1"/>
  <c r="AB656" i="28"/>
  <c r="AB48" i="28"/>
  <c r="AC669" i="28"/>
  <c r="AC129" i="28"/>
  <c r="AD440" i="28"/>
  <c r="AC663" i="28"/>
  <c r="AD127" i="28"/>
  <c r="AC656" i="28"/>
  <c r="AB473" i="28"/>
  <c r="AC657" i="28"/>
  <c r="AB177" i="28"/>
  <c r="AC431" i="28"/>
  <c r="AD431" i="28"/>
  <c r="AB114" i="28"/>
  <c r="AB443" i="28"/>
  <c r="AC102" i="28"/>
  <c r="AB118" i="28"/>
  <c r="AC668" i="28"/>
  <c r="AC672" i="28" s="1"/>
  <c r="AB16" i="28"/>
  <c r="AC99" i="28"/>
  <c r="AB661" i="28"/>
  <c r="AC574" i="28"/>
  <c r="AC107" i="28"/>
  <c r="AC671" i="28"/>
  <c r="AC115" i="28"/>
  <c r="AC437" i="28"/>
  <c r="AB450" i="28"/>
  <c r="AC24" i="28"/>
  <c r="AD121" i="28"/>
  <c r="AB444" i="28"/>
  <c r="AB702" i="28" s="1"/>
  <c r="AB668" i="28"/>
  <c r="AB672" i="28" s="1"/>
  <c r="AC30" i="28"/>
  <c r="AB669" i="28"/>
  <c r="AC119" i="28"/>
  <c r="AC175" i="28"/>
  <c r="AC169" i="28" s="1"/>
  <c r="AD452" i="28"/>
  <c r="AC450" i="28"/>
  <c r="AC439" i="28"/>
  <c r="AC697" i="28" s="1"/>
  <c r="AF494" i="28"/>
  <c r="AD113" i="28"/>
  <c r="AD18" i="28"/>
  <c r="AD24" i="28"/>
  <c r="AD39" i="28"/>
  <c r="AC664" i="28"/>
  <c r="AB120" i="28"/>
  <c r="AC49" i="28"/>
  <c r="AD444" i="28"/>
  <c r="AD249" i="28"/>
  <c r="AB649" i="28"/>
  <c r="AE111" i="28"/>
  <c r="AE23" i="28"/>
  <c r="AD107" i="28"/>
  <c r="AD175" i="28"/>
  <c r="AD98" i="28"/>
  <c r="AC576" i="28"/>
  <c r="AC14" i="28"/>
  <c r="AB25" i="28"/>
  <c r="AC473" i="28"/>
  <c r="AB30" i="28"/>
  <c r="AE50" i="28"/>
  <c r="AD443" i="28"/>
  <c r="AC445" i="28"/>
  <c r="AC703" i="28" s="1"/>
  <c r="AC168" i="3" s="1"/>
  <c r="AD174" i="28"/>
  <c r="AD239" i="28" s="1"/>
  <c r="AD51" i="28"/>
  <c r="AC561" i="28"/>
  <c r="AD14" i="28"/>
  <c r="I9" i="14" s="1"/>
  <c r="I39" i="14" s="1"/>
  <c r="G46" i="13" s="1"/>
  <c r="AD656" i="28"/>
  <c r="AD437" i="28"/>
  <c r="AD19" i="28"/>
  <c r="AD130" i="28"/>
  <c r="AB52" i="28"/>
  <c r="AB161" i="28"/>
  <c r="AD453" i="28"/>
  <c r="AD15" i="28"/>
  <c r="AC249" i="28"/>
  <c r="AD108" i="28"/>
  <c r="AD120" i="28"/>
  <c r="AB106" i="28"/>
  <c r="AC649" i="28"/>
  <c r="AC177" i="28"/>
  <c r="AC171" i="28" s="1"/>
  <c r="AC31" i="28"/>
  <c r="AD45" i="28"/>
  <c r="AE437" i="28"/>
  <c r="AE439" i="28"/>
  <c r="AE649" i="28"/>
  <c r="AE451" i="28"/>
  <c r="AC264" i="28"/>
  <c r="AC258" i="28" s="1"/>
  <c r="AD102" i="28"/>
  <c r="AD52" i="28"/>
  <c r="AC176" i="28"/>
  <c r="AC170" i="28" s="1"/>
  <c r="AD112" i="28"/>
  <c r="AD575" i="28"/>
  <c r="AC130" i="28"/>
  <c r="AC27" i="28"/>
  <c r="AC265" i="28"/>
  <c r="AC259" i="28" s="1"/>
  <c r="AD451" i="28"/>
  <c r="AC112" i="28"/>
  <c r="AB119" i="28"/>
  <c r="AC444" i="28"/>
  <c r="AC702" i="28" s="1"/>
  <c r="AD231" i="28"/>
  <c r="AF39" i="28"/>
  <c r="AE121" i="28"/>
  <c r="AD450" i="28"/>
  <c r="AD50" i="28"/>
  <c r="AD48" i="28"/>
  <c r="AE452" i="28"/>
  <c r="AD232" i="28"/>
  <c r="AC32" i="28"/>
  <c r="AD115" i="28"/>
  <c r="AB438" i="28"/>
  <c r="AB696" i="28" s="1"/>
  <c r="AC670" i="28"/>
  <c r="AC35" i="28"/>
  <c r="AC113" i="28"/>
  <c r="AD439" i="28"/>
  <c r="AB112" i="28"/>
  <c r="AB670" i="28"/>
  <c r="AC120" i="28"/>
  <c r="AD119" i="28"/>
  <c r="AD27" i="28"/>
  <c r="AD26" i="28"/>
  <c r="AD111" i="28"/>
  <c r="AB98" i="28"/>
  <c r="AE446" i="28"/>
  <c r="AD561" i="28"/>
  <c r="AE670" i="28"/>
  <c r="AD445" i="28"/>
  <c r="AD49" i="28"/>
  <c r="AD670" i="28"/>
  <c r="AD177" i="28"/>
  <c r="AD35" i="28"/>
  <c r="I16" i="14" s="1"/>
  <c r="AD664" i="28"/>
  <c r="AE32" i="28"/>
  <c r="AE443" i="28"/>
  <c r="AD118" i="28"/>
  <c r="AE118" i="28"/>
  <c r="AE102" i="28"/>
  <c r="AD262" i="28"/>
  <c r="AD576" i="28"/>
  <c r="AD671" i="28"/>
  <c r="AC108" i="28"/>
  <c r="AE112" i="28"/>
  <c r="AC25" i="28"/>
  <c r="AD264" i="28"/>
  <c r="AE438" i="28"/>
  <c r="AD16" i="28"/>
  <c r="AD161" i="28"/>
  <c r="AD17" i="28"/>
  <c r="AD668" i="28"/>
  <c r="AD672" i="28" s="1"/>
  <c r="AE39" i="28"/>
  <c r="AD265" i="28"/>
  <c r="AE115" i="28"/>
  <c r="AD658" i="28"/>
  <c r="AB19" i="28"/>
  <c r="AE657" i="28"/>
  <c r="AD669" i="28"/>
  <c r="AC51" i="28"/>
  <c r="AE18" i="28"/>
  <c r="AD473" i="28"/>
  <c r="AE249" i="28"/>
  <c r="AD655" i="28"/>
  <c r="AD657" i="28"/>
  <c r="AD103" i="28"/>
  <c r="AE577" i="28"/>
  <c r="AF162" i="28"/>
  <c r="AE15" i="28"/>
  <c r="AE175" i="28"/>
  <c r="AE24" i="28"/>
  <c r="AC48" i="28"/>
  <c r="AE128" i="28"/>
  <c r="AE655" i="28"/>
  <c r="AD31" i="28"/>
  <c r="AD32" i="28"/>
  <c r="AC118" i="28"/>
  <c r="AC122" i="28" s="1"/>
  <c r="AC19" i="28"/>
  <c r="AE654" i="28"/>
  <c r="AD649" i="28"/>
  <c r="AE30" i="28"/>
  <c r="J15" i="14" s="1"/>
  <c r="AE575" i="28"/>
  <c r="AE174" i="28"/>
  <c r="AE49" i="28"/>
  <c r="AD30" i="28"/>
  <c r="I15" i="14" s="1"/>
  <c r="AC443" i="28"/>
  <c r="AD577" i="28"/>
  <c r="AD574" i="28"/>
  <c r="AD23" i="28"/>
  <c r="AD25" i="28"/>
  <c r="AE453" i="28"/>
  <c r="AD661" i="28"/>
  <c r="AD106" i="28"/>
  <c r="AE177" i="28"/>
  <c r="AD663" i="28"/>
  <c r="AF253" i="28"/>
  <c r="AD446" i="28"/>
  <c r="AD129" i="28"/>
  <c r="AE445" i="28"/>
  <c r="AF450" i="28"/>
  <c r="AE119" i="28"/>
  <c r="AE45" i="28"/>
  <c r="AE662" i="28"/>
  <c r="AE98" i="28"/>
  <c r="AE668" i="28"/>
  <c r="AE672" i="28" s="1"/>
  <c r="AE108" i="28"/>
  <c r="AE176" i="28"/>
  <c r="AE656" i="28"/>
  <c r="AE16" i="28"/>
  <c r="AC658" i="28"/>
  <c r="AE161" i="28"/>
  <c r="AE450" i="28"/>
  <c r="AE444" i="28"/>
  <c r="AF473" i="28"/>
  <c r="AC575" i="28"/>
  <c r="AF102" i="28"/>
  <c r="AE574" i="28"/>
  <c r="AD176" i="28"/>
  <c r="AE669" i="28"/>
  <c r="AE658" i="28"/>
  <c r="AF250" i="28"/>
  <c r="AF654" i="28"/>
  <c r="AF694" i="28" s="1"/>
  <c r="AE231" i="28"/>
  <c r="AC231" i="28"/>
  <c r="AE264" i="28"/>
  <c r="AE576" i="28"/>
  <c r="AE561" i="28"/>
  <c r="AE106" i="28"/>
  <c r="AE120" i="28"/>
  <c r="AE114" i="28"/>
  <c r="AE671" i="28"/>
  <c r="AD662" i="28"/>
  <c r="AC655" i="28"/>
  <c r="AF108" i="28"/>
  <c r="AF112" i="28"/>
  <c r="AE265" i="28"/>
  <c r="AF120" i="28"/>
  <c r="AE473" i="28"/>
  <c r="AE481" i="28" s="1"/>
  <c r="AF252" i="28"/>
  <c r="AF496" i="28"/>
  <c r="AF474" i="28"/>
  <c r="AE262" i="28"/>
  <c r="AF121" i="28"/>
  <c r="AC232" i="28"/>
  <c r="AE661" i="28"/>
  <c r="AE51" i="28"/>
  <c r="AE31" i="28"/>
  <c r="AE113" i="28"/>
  <c r="AF114" i="28"/>
  <c r="AF115" i="28"/>
  <c r="AE17" i="28"/>
  <c r="AF270" i="28"/>
  <c r="AE52" i="28"/>
  <c r="AF251" i="28"/>
  <c r="AE663" i="28"/>
  <c r="AF164" i="28"/>
  <c r="AB654" i="28"/>
  <c r="AB694" i="28" s="1"/>
  <c r="AB432" i="28"/>
  <c r="AF128" i="28"/>
  <c r="AF119" i="28"/>
  <c r="AF113" i="28"/>
  <c r="AB97" i="28"/>
  <c r="AC10" i="28"/>
  <c r="AC56" i="28" s="1"/>
  <c r="AB53" i="28"/>
  <c r="AF475" i="28"/>
  <c r="AF165" i="28"/>
  <c r="AC654" i="28"/>
  <c r="AB134" i="28"/>
  <c r="AB2" i="28" s="1"/>
  <c r="AB365" i="28" s="1"/>
  <c r="AC436" i="28"/>
  <c r="AF495" i="28"/>
  <c r="AB650" i="28"/>
  <c r="AC134" i="28"/>
  <c r="AC2" i="28" s="1"/>
  <c r="AC365" i="28" s="1"/>
  <c r="AB231" i="28"/>
  <c r="AC135" i="28"/>
  <c r="AC3" i="28" s="1"/>
  <c r="AC366" i="28" s="1"/>
  <c r="AC650" i="28"/>
  <c r="AC22" i="28"/>
  <c r="AC11" i="28"/>
  <c r="AC53" i="28"/>
  <c r="AC136" i="28"/>
  <c r="AC4" i="28" s="1"/>
  <c r="AC367" i="28" s="1"/>
  <c r="AC432" i="28"/>
  <c r="AC276" i="28"/>
  <c r="AB22" i="28"/>
  <c r="AB276" i="28"/>
  <c r="AC501" i="28"/>
  <c r="AB10" i="28"/>
  <c r="AB56" i="28" s="1"/>
  <c r="AC500" i="28"/>
  <c r="AB133" i="28"/>
  <c r="AB1" i="28" s="1"/>
  <c r="AB364" i="28" s="1"/>
  <c r="AB136" i="28"/>
  <c r="AB4" i="28" s="1"/>
  <c r="AB367" i="28" s="1"/>
  <c r="AC133" i="28"/>
  <c r="AC1" i="28" s="1"/>
  <c r="AC364" i="28" s="1"/>
  <c r="AB503" i="28"/>
  <c r="AC503" i="28"/>
  <c r="AB232" i="28"/>
  <c r="AC189" i="28"/>
  <c r="AB11" i="28"/>
  <c r="AB500" i="28"/>
  <c r="AB191" i="28"/>
  <c r="AC278" i="28"/>
  <c r="AB278" i="28"/>
  <c r="AB502" i="28"/>
  <c r="AC188" i="28"/>
  <c r="AC190" i="28"/>
  <c r="AD97" i="28"/>
  <c r="AB46" i="28"/>
  <c r="AC279" i="28"/>
  <c r="AB188" i="28"/>
  <c r="AB277" i="28"/>
  <c r="AB279" i="28"/>
  <c r="AC152" i="28"/>
  <c r="AC156" i="28"/>
  <c r="AB135" i="28"/>
  <c r="AB3" i="28" s="1"/>
  <c r="AB366" i="28" s="1"/>
  <c r="AD133" i="28"/>
  <c r="AD1" i="28" s="1"/>
  <c r="AD364" i="28" s="1"/>
  <c r="AD368" i="28" s="1"/>
  <c r="AD370" i="28" s="1"/>
  <c r="AD371" i="28" s="1"/>
  <c r="AF22" i="28"/>
  <c r="AB153" i="28"/>
  <c r="AC46" i="28"/>
  <c r="AD22" i="28"/>
  <c r="AD170" i="3" s="1"/>
  <c r="AC277" i="28"/>
  <c r="AB189" i="28"/>
  <c r="AB190" i="28"/>
  <c r="AC97" i="28"/>
  <c r="AB152" i="28"/>
  <c r="AD432" i="28"/>
  <c r="AD690" i="28" s="1"/>
  <c r="AC502" i="28"/>
  <c r="AD46" i="28"/>
  <c r="AD188" i="28"/>
  <c r="AB501" i="28"/>
  <c r="AD189" i="28"/>
  <c r="X702" i="28"/>
  <c r="AF439" i="28"/>
  <c r="AD501" i="28"/>
  <c r="AD504" i="28" s="1"/>
  <c r="AD506" i="28" s="1"/>
  <c r="AD507" i="28" s="1"/>
  <c r="AF451" i="28"/>
  <c r="AC154" i="28"/>
  <c r="AF661" i="28"/>
  <c r="AF655" i="28"/>
  <c r="AF657" i="28"/>
  <c r="AF697" i="28" s="1"/>
  <c r="W702" i="28"/>
  <c r="U672" i="28"/>
  <c r="U680" i="28" s="1"/>
  <c r="AF668" i="28"/>
  <c r="AF672" i="28" s="1"/>
  <c r="AF269" i="28"/>
  <c r="I46" i="14"/>
  <c r="G53" i="13" s="1"/>
  <c r="AB172" i="3"/>
  <c r="AB214" i="3"/>
  <c r="AB220" i="3" s="1"/>
  <c r="AC203" i="3"/>
  <c r="AE192" i="3"/>
  <c r="AD192" i="3"/>
  <c r="AE214" i="3"/>
  <c r="AD227" i="3"/>
  <c r="AD231" i="3" s="1"/>
  <c r="AD214" i="3"/>
  <c r="AD220" i="3" s="1"/>
  <c r="H17" i="14"/>
  <c r="AC91" i="3"/>
  <c r="AC172" i="3"/>
  <c r="I17" i="14"/>
  <c r="AD91" i="3"/>
  <c r="AD203" i="3"/>
  <c r="AC214" i="3"/>
  <c r="AC220" i="3" s="1"/>
  <c r="AC227" i="3"/>
  <c r="AC231" i="3" s="1"/>
  <c r="AF214" i="3"/>
  <c r="G17" i="14"/>
  <c r="AB91" i="3"/>
  <c r="AF227" i="3"/>
  <c r="AF44" i="4"/>
  <c r="AE227" i="3"/>
  <c r="AB231" i="3"/>
  <c r="AF192" i="3"/>
  <c r="AC192" i="3"/>
  <c r="AB203" i="3"/>
  <c r="AB192" i="3"/>
  <c r="AD172" i="3"/>
  <c r="AC146" i="3"/>
  <c r="AD146" i="3"/>
  <c r="AD182" i="3"/>
  <c r="I32" i="14"/>
  <c r="I55" i="14" s="1"/>
  <c r="G62" i="13" s="1"/>
  <c r="H32" i="14"/>
  <c r="H55" i="14" s="1"/>
  <c r="F62" i="13" s="1"/>
  <c r="AB108" i="3"/>
  <c r="AB119" i="3" s="1"/>
  <c r="G27" i="14" s="1"/>
  <c r="G55" i="14"/>
  <c r="E62" i="13" s="1"/>
  <c r="AD108" i="3"/>
  <c r="AD119" i="3" s="1"/>
  <c r="I27" i="14" s="1"/>
  <c r="G46" i="14"/>
  <c r="E53" i="13" s="1"/>
  <c r="G54" i="14"/>
  <c r="E61" i="13" s="1"/>
  <c r="AB179" i="3"/>
  <c r="AF437" i="28"/>
  <c r="AF453" i="28"/>
  <c r="AF444" i="28"/>
  <c r="AF702" i="28" s="1"/>
  <c r="AF649" i="28"/>
  <c r="AF452" i="28"/>
  <c r="AF438" i="28"/>
  <c r="AF696" i="28" s="1"/>
  <c r="AD43" i="28"/>
  <c r="AF63" i="3"/>
  <c r="AH115" i="3"/>
  <c r="AH114" i="3" s="1"/>
  <c r="AF189" i="3"/>
  <c r="AD179" i="3"/>
  <c r="AC182" i="3"/>
  <c r="AF78" i="3"/>
  <c r="AC43" i="28"/>
  <c r="AD177" i="3"/>
  <c r="V244" i="3"/>
  <c r="AG38" i="3"/>
  <c r="AG223" i="3" s="1"/>
  <c r="AF75" i="3"/>
  <c r="AF79" i="3"/>
  <c r="AD178" i="3"/>
  <c r="AH124" i="3"/>
  <c r="S153" i="3"/>
  <c r="T293" i="3"/>
  <c r="T298" i="3" s="1"/>
  <c r="U293" i="3" s="1"/>
  <c r="U298" i="3" s="1"/>
  <c r="U153" i="3" s="1"/>
  <c r="S152" i="3"/>
  <c r="T286" i="3"/>
  <c r="T290" i="3" s="1"/>
  <c r="U286" i="3" s="1"/>
  <c r="U290" i="3" s="1"/>
  <c r="U152" i="3" s="1"/>
  <c r="AF74" i="3"/>
  <c r="AB13" i="3"/>
  <c r="AB25" i="3" s="1"/>
  <c r="AB181" i="3"/>
  <c r="AC181" i="3"/>
  <c r="AC13" i="3"/>
  <c r="AC25" i="3" s="1"/>
  <c r="AC108" i="3"/>
  <c r="AC119" i="3" s="1"/>
  <c r="H27" i="14" s="1"/>
  <c r="AC178" i="3"/>
  <c r="AB146" i="3"/>
  <c r="AB156" i="3" s="1"/>
  <c r="AB182" i="3"/>
  <c r="AF77" i="3"/>
  <c r="AF76" i="3"/>
  <c r="AB43" i="28"/>
  <c r="AB178" i="3"/>
  <c r="AF72" i="3"/>
  <c r="AF73" i="3"/>
  <c r="AD13" i="3"/>
  <c r="AD25" i="3" s="1"/>
  <c r="AD181" i="3"/>
  <c r="AC177" i="3"/>
  <c r="J55" i="14"/>
  <c r="H62" i="13" s="1"/>
  <c r="U697" i="28"/>
  <c r="W680" i="28"/>
  <c r="W701" i="28"/>
  <c r="W695" i="28"/>
  <c r="U712" i="28"/>
  <c r="U454" i="28"/>
  <c r="AF249" i="28"/>
  <c r="AF16" i="28"/>
  <c r="AC639" i="28"/>
  <c r="U659" i="28"/>
  <c r="AG711" i="28"/>
  <c r="AG453" i="28"/>
  <c r="AF534" i="28"/>
  <c r="AF544" i="28" s="1"/>
  <c r="AF543" i="28"/>
  <c r="T232" i="28"/>
  <c r="AE232" i="28" s="1"/>
  <c r="T239" i="28"/>
  <c r="T241" i="28" s="1"/>
  <c r="W328" i="28"/>
  <c r="W324" i="28"/>
  <c r="V189" i="28"/>
  <c r="V134" i="28"/>
  <c r="X240" i="28"/>
  <c r="X236" i="28"/>
  <c r="W631" i="28"/>
  <c r="AF222" i="28"/>
  <c r="V650" i="28"/>
  <c r="W650" i="28"/>
  <c r="V232" i="28"/>
  <c r="W222" i="28"/>
  <c r="W231" i="28"/>
  <c r="X712" i="28"/>
  <c r="W674" i="28"/>
  <c r="W679" i="28"/>
  <c r="X650" i="28"/>
  <c r="AH524" i="28"/>
  <c r="AG655" i="28"/>
  <c r="AH669" i="28"/>
  <c r="AG669" i="28"/>
  <c r="X134" i="28"/>
  <c r="X189" i="28"/>
  <c r="V454" i="28"/>
  <c r="AH670" i="28"/>
  <c r="AG670" i="28"/>
  <c r="W454" i="28"/>
  <c r="X552" i="28"/>
  <c r="X548" i="28"/>
  <c r="X549" i="28" s="1"/>
  <c r="AH221" i="28"/>
  <c r="AH446" i="28" s="1"/>
  <c r="AG446" i="28"/>
  <c r="W684" i="28"/>
  <c r="X684" i="28"/>
  <c r="X680" i="28"/>
  <c r="AH212" i="28"/>
  <c r="AG437" i="28"/>
  <c r="AG216" i="28"/>
  <c r="U650" i="28"/>
  <c r="AH530" i="28"/>
  <c r="AH661" i="28" s="1"/>
  <c r="AG661" i="28"/>
  <c r="U134" i="28"/>
  <c r="V547" i="28"/>
  <c r="V543" i="28"/>
  <c r="V534" i="28"/>
  <c r="AF703" i="28"/>
  <c r="AF168" i="3" s="1"/>
  <c r="AF712" i="28"/>
  <c r="U222" i="28"/>
  <c r="U231" i="28"/>
  <c r="U235" i="28"/>
  <c r="AH219" i="28"/>
  <c r="AG205" i="28"/>
  <c r="AG444" i="28"/>
  <c r="AG16" i="28"/>
  <c r="AG45" i="28" s="1"/>
  <c r="X631" i="28"/>
  <c r="AE544" i="28"/>
  <c r="AE551" i="28"/>
  <c r="AE553" i="28" s="1"/>
  <c r="V712" i="28"/>
  <c r="U547" i="28"/>
  <c r="U534" i="28"/>
  <c r="U543" i="28"/>
  <c r="V695" i="28"/>
  <c r="V659" i="28"/>
  <c r="AH220" i="28"/>
  <c r="AH445" i="28" s="1"/>
  <c r="AG445" i="28"/>
  <c r="V702" i="28"/>
  <c r="AH531" i="28"/>
  <c r="AG662" i="28"/>
  <c r="AG517" i="28"/>
  <c r="U695" i="28"/>
  <c r="AG671" i="28"/>
  <c r="AH671" i="28"/>
  <c r="U324" i="28"/>
  <c r="U328" i="28"/>
  <c r="AH526" i="28"/>
  <c r="AH657" i="28" s="1"/>
  <c r="AG657" i="28"/>
  <c r="AH218" i="28"/>
  <c r="AH443" i="28" s="1"/>
  <c r="AG443" i="28"/>
  <c r="X659" i="28"/>
  <c r="AE549" i="28"/>
  <c r="V680" i="28"/>
  <c r="AH527" i="28"/>
  <c r="AH658" i="28" s="1"/>
  <c r="AG658" i="28"/>
  <c r="X222" i="28"/>
  <c r="X235" i="28"/>
  <c r="X231" i="28"/>
  <c r="W551" i="28"/>
  <c r="W544" i="28"/>
  <c r="W189" i="28"/>
  <c r="W134" i="28"/>
  <c r="X543" i="28"/>
  <c r="AH525" i="28"/>
  <c r="AH656" i="28" s="1"/>
  <c r="AG656" i="28"/>
  <c r="AH214" i="28"/>
  <c r="AH439" i="28" s="1"/>
  <c r="AG439" i="28"/>
  <c r="U552" i="28"/>
  <c r="U548" i="28"/>
  <c r="U240" i="28"/>
  <c r="U236" i="28"/>
  <c r="V552" i="28"/>
  <c r="V548" i="28"/>
  <c r="AH663" i="28"/>
  <c r="AG663" i="28"/>
  <c r="W712" i="28"/>
  <c r="U702" i="28"/>
  <c r="X454" i="28"/>
  <c r="AG452" i="28"/>
  <c r="AG710" i="28"/>
  <c r="X695" i="28"/>
  <c r="AG451" i="28"/>
  <c r="AG229" i="28"/>
  <c r="AG709" i="28"/>
  <c r="AF631" i="28"/>
  <c r="X544" i="28"/>
  <c r="X551" i="28"/>
  <c r="AH629" i="28"/>
  <c r="AG629" i="28"/>
  <c r="AH317" i="28"/>
  <c r="AG317" i="28"/>
  <c r="AH213" i="28"/>
  <c r="AH438" i="28" s="1"/>
  <c r="AG438" i="28"/>
  <c r="V231" i="28"/>
  <c r="W548" i="28"/>
  <c r="W549" i="28" s="1"/>
  <c r="W552" i="28"/>
  <c r="AH307" i="28"/>
  <c r="AH293" i="28" s="1"/>
  <c r="AG293" i="28"/>
  <c r="AH537" i="28"/>
  <c r="AG668" i="28"/>
  <c r="AG672" i="28" s="1"/>
  <c r="AG541" i="28"/>
  <c r="AG708" i="28"/>
  <c r="AH616" i="28"/>
  <c r="AG616" i="28"/>
  <c r="AB325" i="28"/>
  <c r="AH585" i="28"/>
  <c r="AH589" i="28"/>
  <c r="AD325" i="28"/>
  <c r="P156" i="3"/>
  <c r="AD413" i="28"/>
  <c r="AD549" i="28"/>
  <c r="AC549" i="28"/>
  <c r="AF585" i="28"/>
  <c r="AC544" i="28"/>
  <c r="AC551" i="28"/>
  <c r="AC553" i="28" s="1"/>
  <c r="AC25" i="7"/>
  <c r="AC26" i="7" s="1"/>
  <c r="AD20" i="7"/>
  <c r="AD415" i="28"/>
  <c r="AD417" i="28" s="1"/>
  <c r="AD408" i="28"/>
  <c r="AB26" i="7"/>
  <c r="AB32" i="7"/>
  <c r="AC32" i="7" s="1"/>
  <c r="AB29" i="7"/>
  <c r="AC29" i="7" s="1"/>
  <c r="R149" i="3"/>
  <c r="S249" i="3"/>
  <c r="S260" i="3" s="1"/>
  <c r="AG585" i="28"/>
  <c r="AG589" i="28"/>
  <c r="Q154" i="3"/>
  <c r="AB329" i="28"/>
  <c r="Z32" i="7"/>
  <c r="Z26" i="7"/>
  <c r="Z29" i="7"/>
  <c r="R150" i="3"/>
  <c r="S263" i="3"/>
  <c r="AA40" i="28"/>
  <c r="AA59" i="28" s="1"/>
  <c r="AA93" i="28"/>
  <c r="AD544" i="28"/>
  <c r="AD551" i="28"/>
  <c r="AD553" i="28" s="1"/>
  <c r="AD555" i="28" s="1"/>
  <c r="AB631" i="28"/>
  <c r="AB635" i="28"/>
  <c r="AB622" i="28"/>
  <c r="AB415" i="28"/>
  <c r="AB417" i="28" s="1"/>
  <c r="AB419" i="28" s="1"/>
  <c r="AB408" i="28"/>
  <c r="AD320" i="28"/>
  <c r="AD327" i="28"/>
  <c r="AD329" i="28" s="1"/>
  <c r="Y26" i="7"/>
  <c r="Y29" i="7"/>
  <c r="Y32" i="7"/>
  <c r="AC413" i="28"/>
  <c r="AB544" i="28"/>
  <c r="AB551" i="28"/>
  <c r="AB553" i="28" s="1"/>
  <c r="AC408" i="28"/>
  <c r="AC415" i="28"/>
  <c r="AC417" i="28" s="1"/>
  <c r="AC320" i="28"/>
  <c r="AB549" i="28"/>
  <c r="AF637" i="28"/>
  <c r="U65" i="13"/>
  <c r="W65" i="13"/>
  <c r="AB109" i="28" l="1"/>
  <c r="AD259" i="28"/>
  <c r="AD116" i="28"/>
  <c r="AD258" i="28"/>
  <c r="AC555" i="28"/>
  <c r="AC100" i="28"/>
  <c r="U684" i="28"/>
  <c r="AE702" i="28"/>
  <c r="AB704" i="28"/>
  <c r="AB441" i="28"/>
  <c r="AB461" i="28" s="1"/>
  <c r="AD454" i="28"/>
  <c r="AD466" i="28" s="1"/>
  <c r="AD696" i="28"/>
  <c r="AB170" i="28"/>
  <c r="AC704" i="28"/>
  <c r="AC698" i="28"/>
  <c r="AC701" i="28"/>
  <c r="AB689" i="28"/>
  <c r="AB697" i="28"/>
  <c r="AB659" i="28"/>
  <c r="AB679" i="28" s="1"/>
  <c r="AB681" i="28" s="1"/>
  <c r="AD701" i="28"/>
  <c r="AC454" i="28"/>
  <c r="AC462" i="28" s="1"/>
  <c r="AD689" i="28"/>
  <c r="AD698" i="28"/>
  <c r="AB555" i="28"/>
  <c r="AC419" i="28"/>
  <c r="AC68" i="28"/>
  <c r="AD109" i="28"/>
  <c r="AB100" i="28"/>
  <c r="AB57" i="28"/>
  <c r="P158" i="3"/>
  <c r="P3" i="3" s="1"/>
  <c r="AC104" i="28"/>
  <c r="AB504" i="28"/>
  <c r="AB506" i="28" s="1"/>
  <c r="AB507" i="28" s="1"/>
  <c r="AB368" i="28"/>
  <c r="AB370" i="28" s="1"/>
  <c r="AB371" i="28" s="1"/>
  <c r="AC61" i="28"/>
  <c r="AB331" i="28"/>
  <c r="AB68" i="28"/>
  <c r="AC504" i="28"/>
  <c r="AC506" i="28" s="1"/>
  <c r="AC507" i="28" s="1"/>
  <c r="AC89" i="28"/>
  <c r="AC84" i="28"/>
  <c r="AC83" i="28"/>
  <c r="AB84" i="28"/>
  <c r="AB81" i="28"/>
  <c r="AB76" i="28"/>
  <c r="AB75" i="28"/>
  <c r="AC75" i="28"/>
  <c r="AB447" i="28"/>
  <c r="U466" i="28"/>
  <c r="G9" i="14"/>
  <c r="AB71" i="28"/>
  <c r="AC466" i="28"/>
  <c r="AF695" i="28"/>
  <c r="G7" i="14"/>
  <c r="G36" i="14" s="1"/>
  <c r="AB65" i="28"/>
  <c r="AB67" i="28"/>
  <c r="AB12" i="28"/>
  <c r="H7" i="14"/>
  <c r="H36" i="14" s="1"/>
  <c r="AC67" i="28"/>
  <c r="AC12" i="28"/>
  <c r="AC65" i="28"/>
  <c r="AE454" i="28"/>
  <c r="AG253" i="28"/>
  <c r="AH253" i="28" s="1"/>
  <c r="AD578" i="28"/>
  <c r="AD568" i="28"/>
  <c r="AD659" i="28"/>
  <c r="AE696" i="28"/>
  <c r="AD256" i="28"/>
  <c r="AD266" i="28"/>
  <c r="AD171" i="28"/>
  <c r="AD697" i="28"/>
  <c r="AD677" i="28"/>
  <c r="AD569" i="28"/>
  <c r="AD640" i="28"/>
  <c r="AD636" i="28"/>
  <c r="AD639" i="28"/>
  <c r="AD635" i="28"/>
  <c r="AE697" i="28"/>
  <c r="AD695" i="28"/>
  <c r="AD699" i="28" s="1"/>
  <c r="AC81" i="28"/>
  <c r="AC689" i="28"/>
  <c r="AC73" i="28"/>
  <c r="AC80" i="28"/>
  <c r="AB703" i="28"/>
  <c r="AB168" i="3" s="1"/>
  <c r="AB80" i="28"/>
  <c r="AE256" i="28"/>
  <c r="AE324" i="28"/>
  <c r="AE328" i="28"/>
  <c r="AC578" i="28"/>
  <c r="AC568" i="28"/>
  <c r="AF701" i="28"/>
  <c r="AD192" i="28"/>
  <c r="AD194" i="28" s="1"/>
  <c r="AD195" i="28" s="1"/>
  <c r="AC157" i="28"/>
  <c r="AC192" i="28"/>
  <c r="AC194" i="28" s="1"/>
  <c r="AC195" i="28" s="1"/>
  <c r="AC79" i="28"/>
  <c r="AC170" i="3"/>
  <c r="AG252" i="28"/>
  <c r="AH252" i="28" s="1"/>
  <c r="AD170" i="28"/>
  <c r="AE659" i="28"/>
  <c r="AE694" i="28"/>
  <c r="AE695" i="28"/>
  <c r="G15" i="14"/>
  <c r="AB87" i="28"/>
  <c r="AB454" i="28"/>
  <c r="AB73" i="28"/>
  <c r="AB171" i="28"/>
  <c r="AB169" i="28"/>
  <c r="AB83" i="28"/>
  <c r="AB677" i="28"/>
  <c r="AB569" i="28"/>
  <c r="AB636" i="28"/>
  <c r="AB640" i="28"/>
  <c r="AD441" i="28"/>
  <c r="AG250" i="28"/>
  <c r="AH250" i="28" s="1"/>
  <c r="AD331" i="28"/>
  <c r="AG474" i="28"/>
  <c r="AH474" i="28" s="1"/>
  <c r="AD704" i="28"/>
  <c r="AD169" i="28"/>
  <c r="AB637" i="28"/>
  <c r="X553" i="28"/>
  <c r="X555" i="28" s="1"/>
  <c r="AC57" i="28"/>
  <c r="AB280" i="28"/>
  <c r="AB282" i="28" s="1"/>
  <c r="AB283" i="28" s="1"/>
  <c r="AC441" i="28"/>
  <c r="AC694" i="28"/>
  <c r="AG251" i="28"/>
  <c r="AH251" i="28" s="1"/>
  <c r="AE568" i="28"/>
  <c r="AE578" i="28"/>
  <c r="AC76" i="28"/>
  <c r="AD481" i="28"/>
  <c r="AD480" i="28"/>
  <c r="H16" i="14"/>
  <c r="AC92" i="28"/>
  <c r="AC480" i="28"/>
  <c r="AC481" i="28"/>
  <c r="AC695" i="28"/>
  <c r="AB104" i="28"/>
  <c r="AB698" i="28"/>
  <c r="AG164" i="28"/>
  <c r="AH164" i="28" s="1"/>
  <c r="AB79" i="28"/>
  <c r="AB170" i="3"/>
  <c r="AC82" i="28"/>
  <c r="AD122" i="28"/>
  <c r="AD703" i="28"/>
  <c r="AD168" i="3" s="1"/>
  <c r="AC88" i="28"/>
  <c r="AB82" i="28"/>
  <c r="AB122" i="28"/>
  <c r="AB88" i="28"/>
  <c r="AB72" i="28"/>
  <c r="G16" i="14"/>
  <c r="AB92" i="28"/>
  <c r="AB89" i="28"/>
  <c r="U2" i="28"/>
  <c r="U189" i="28" s="1"/>
  <c r="AE569" i="28"/>
  <c r="AE677" i="28"/>
  <c r="AE684" i="28" s="1"/>
  <c r="AE635" i="28"/>
  <c r="AE640" i="28"/>
  <c r="AE636" i="28"/>
  <c r="G40" i="15"/>
  <c r="H40" i="15" s="1"/>
  <c r="AD419" i="28"/>
  <c r="AB61" i="28"/>
  <c r="AB192" i="28"/>
  <c r="AB194" i="28" s="1"/>
  <c r="AB195" i="28" s="1"/>
  <c r="AC368" i="28"/>
  <c r="AC370" i="28" s="1"/>
  <c r="AC371" i="28" s="1"/>
  <c r="AC280" i="28"/>
  <c r="AC282" i="28" s="1"/>
  <c r="AC283" i="28" s="1"/>
  <c r="AC659" i="28"/>
  <c r="AC569" i="28"/>
  <c r="AC677" i="28"/>
  <c r="AC684" i="28" s="1"/>
  <c r="AC635" i="28"/>
  <c r="AC640" i="28"/>
  <c r="AC641" i="28" s="1"/>
  <c r="AC643" i="28" s="1"/>
  <c r="AC636" i="28"/>
  <c r="AG162" i="28"/>
  <c r="AH162" i="28" s="1"/>
  <c r="AD684" i="28"/>
  <c r="AD680" i="28"/>
  <c r="AE701" i="28"/>
  <c r="AD104" i="28"/>
  <c r="H9" i="14"/>
  <c r="AC71" i="28"/>
  <c r="H15" i="14"/>
  <c r="AC87" i="28"/>
  <c r="AB178" i="28"/>
  <c r="AB168" i="28"/>
  <c r="AB235" i="28"/>
  <c r="AB240" i="28"/>
  <c r="AB241" i="28" s="1"/>
  <c r="AB243" i="28" s="1"/>
  <c r="AB236" i="28"/>
  <c r="AC109" i="28"/>
  <c r="AB116" i="28"/>
  <c r="AB259" i="28"/>
  <c r="AB256" i="28"/>
  <c r="AB258" i="28"/>
  <c r="U679" i="28"/>
  <c r="AG475" i="28"/>
  <c r="AH475" i="28" s="1"/>
  <c r="AF659" i="28"/>
  <c r="AF674" i="28" s="1"/>
  <c r="AE680" i="28"/>
  <c r="AF256" i="28"/>
  <c r="AB157" i="28"/>
  <c r="AF170" i="3"/>
  <c r="AC690" i="28"/>
  <c r="AG165" i="28"/>
  <c r="AH165" i="28" s="1"/>
  <c r="AB690" i="28"/>
  <c r="AF481" i="28"/>
  <c r="AE703" i="28"/>
  <c r="AE168" i="3" s="1"/>
  <c r="AE239" i="28"/>
  <c r="AE236" i="28"/>
  <c r="AE240" i="28"/>
  <c r="AE235" i="28"/>
  <c r="AD178" i="28"/>
  <c r="AD168" i="28"/>
  <c r="AD235" i="28"/>
  <c r="AD240" i="28"/>
  <c r="AD241" i="28" s="1"/>
  <c r="AD243" i="28" s="1"/>
  <c r="AD236" i="28"/>
  <c r="AD702" i="28"/>
  <c r="AB684" i="28"/>
  <c r="AB680" i="28"/>
  <c r="AB701" i="28"/>
  <c r="AC178" i="28"/>
  <c r="AC168" i="28"/>
  <c r="AC236" i="28"/>
  <c r="AC235" i="28"/>
  <c r="AC240" i="28"/>
  <c r="AC241" i="28" s="1"/>
  <c r="AC243" i="28" s="1"/>
  <c r="AC696" i="28"/>
  <c r="AC74" i="28"/>
  <c r="AC266" i="28"/>
  <c r="AC256" i="28"/>
  <c r="AC323" i="28"/>
  <c r="AC328" i="28"/>
  <c r="AC329" i="28" s="1"/>
  <c r="AC331" i="28" s="1"/>
  <c r="AC324" i="28"/>
  <c r="AB578" i="28"/>
  <c r="AB568" i="28"/>
  <c r="AB74" i="28"/>
  <c r="AC116" i="28"/>
  <c r="AB695" i="28"/>
  <c r="AB699" i="28" s="1"/>
  <c r="AC72" i="28"/>
  <c r="U169" i="3"/>
  <c r="U172" i="3" s="1"/>
  <c r="AF231" i="28"/>
  <c r="AF650" i="28"/>
  <c r="Q25" i="14"/>
  <c r="U674" i="28"/>
  <c r="AF454" i="28"/>
  <c r="U462" i="28"/>
  <c r="U365" i="28"/>
  <c r="AC211" i="3"/>
  <c r="AD211" i="3"/>
  <c r="AB211" i="3"/>
  <c r="I21" i="14"/>
  <c r="I43" i="14"/>
  <c r="G50" i="13" s="1"/>
  <c r="AD184" i="3"/>
  <c r="AD60" i="28"/>
  <c r="AD33" i="3"/>
  <c r="AD36" i="3" s="1"/>
  <c r="AB60" i="28"/>
  <c r="AB33" i="3"/>
  <c r="AB36" i="3" s="1"/>
  <c r="AH38" i="3"/>
  <c r="AG39" i="28"/>
  <c r="AG281" i="3"/>
  <c r="AH209" i="3"/>
  <c r="AH123" i="3"/>
  <c r="S149" i="3"/>
  <c r="T249" i="3"/>
  <c r="T260" i="3" s="1"/>
  <c r="U249" i="3" s="1"/>
  <c r="U260" i="3" s="1"/>
  <c r="U149" i="3" s="1"/>
  <c r="AC33" i="3"/>
  <c r="AC36" i="3" s="1"/>
  <c r="AC60" i="28"/>
  <c r="V246" i="3"/>
  <c r="AC184" i="3"/>
  <c r="AB158" i="3"/>
  <c r="AB3" i="3" s="1"/>
  <c r="U681" i="28"/>
  <c r="W681" i="28"/>
  <c r="AF134" i="28"/>
  <c r="X237" i="28"/>
  <c r="AG701" i="28"/>
  <c r="AH701" i="28"/>
  <c r="AG695" i="28"/>
  <c r="X145" i="28"/>
  <c r="W652" i="28"/>
  <c r="V652" i="28"/>
  <c r="AH696" i="28"/>
  <c r="AH541" i="28"/>
  <c r="AH708" i="28"/>
  <c r="AH668" i="28"/>
  <c r="AH672" i="28" s="1"/>
  <c r="AH697" i="28"/>
  <c r="X674" i="28"/>
  <c r="X679" i="28"/>
  <c r="X681" i="28" s="1"/>
  <c r="AH517" i="28"/>
  <c r="AH662" i="28"/>
  <c r="U239" i="28"/>
  <c r="U232" i="28"/>
  <c r="AG231" i="28"/>
  <c r="AG222" i="28"/>
  <c r="AG232" i="28" s="1"/>
  <c r="AG696" i="28"/>
  <c r="X239" i="28"/>
  <c r="X241" i="28" s="1"/>
  <c r="X243" i="28" s="1"/>
  <c r="X232" i="28"/>
  <c r="AG631" i="28"/>
  <c r="AH710" i="28"/>
  <c r="AH452" i="28"/>
  <c r="U551" i="28"/>
  <c r="U544" i="28"/>
  <c r="AH437" i="28"/>
  <c r="AH216" i="28"/>
  <c r="X652" i="28"/>
  <c r="AH631" i="28"/>
  <c r="X462" i="28"/>
  <c r="X466" i="28"/>
  <c r="AG703" i="28"/>
  <c r="AG168" i="3" s="1"/>
  <c r="U549" i="28"/>
  <c r="AG702" i="28"/>
  <c r="V551" i="28"/>
  <c r="V553" i="28" s="1"/>
  <c r="V555" i="28" s="1"/>
  <c r="V544" i="28"/>
  <c r="W232" i="28"/>
  <c r="AG712" i="28"/>
  <c r="AH229" i="28"/>
  <c r="AH451" i="28"/>
  <c r="AH709" i="28"/>
  <c r="W145" i="28"/>
  <c r="AH703" i="28"/>
  <c r="AH168" i="3" s="1"/>
  <c r="AH163" i="3" s="1"/>
  <c r="AG534" i="28"/>
  <c r="AG544" i="28" s="1"/>
  <c r="AG543" i="28"/>
  <c r="V145" i="28"/>
  <c r="AG454" i="28"/>
  <c r="V679" i="28"/>
  <c r="V681" i="28" s="1"/>
  <c r="V674" i="28"/>
  <c r="AH205" i="28"/>
  <c r="AH444" i="28"/>
  <c r="AH16" i="28"/>
  <c r="AH45" i="28" s="1"/>
  <c r="V549" i="28"/>
  <c r="AG659" i="28"/>
  <c r="AG674" i="28" s="1"/>
  <c r="AG697" i="28"/>
  <c r="W553" i="28"/>
  <c r="W555" i="28" s="1"/>
  <c r="U237" i="28"/>
  <c r="AH655" i="28"/>
  <c r="AH659" i="28" s="1"/>
  <c r="AH528" i="28"/>
  <c r="AH453" i="28"/>
  <c r="AH711" i="28"/>
  <c r="T152" i="3"/>
  <c r="AE152" i="3" s="1"/>
  <c r="T153" i="3"/>
  <c r="AE153" i="3" s="1"/>
  <c r="AD25" i="7"/>
  <c r="AD26" i="7" s="1"/>
  <c r="AE20" i="7"/>
  <c r="AE25" i="7" s="1"/>
  <c r="AE26" i="7" s="1"/>
  <c r="AB632" i="28"/>
  <c r="AB639" i="28"/>
  <c r="AB641" i="28" s="1"/>
  <c r="AB643" i="28" s="1"/>
  <c r="R154" i="3"/>
  <c r="R25" i="14" s="1"/>
  <c r="R54" i="14" s="1"/>
  <c r="L61" i="13" s="1"/>
  <c r="AD29" i="7"/>
  <c r="AC28" i="7"/>
  <c r="AC31" i="7"/>
  <c r="AD32" i="7"/>
  <c r="Q156" i="3"/>
  <c r="AD157" i="28"/>
  <c r="AD462" i="28" l="1"/>
  <c r="AB674" i="28"/>
  <c r="AB665" i="28"/>
  <c r="AE237" i="28"/>
  <c r="AC680" i="28"/>
  <c r="G21" i="14"/>
  <c r="AC699" i="28"/>
  <c r="AC705" i="28" s="1"/>
  <c r="AC715" i="28" s="1"/>
  <c r="Q158" i="3"/>
  <c r="Q3" i="3" s="1"/>
  <c r="AD641" i="28"/>
  <c r="AD643" i="28" s="1"/>
  <c r="G43" i="14"/>
  <c r="E50" i="13" s="1"/>
  <c r="H43" i="14"/>
  <c r="F50" i="13" s="1"/>
  <c r="H39" i="14"/>
  <c r="F46" i="13" s="1"/>
  <c r="AB237" i="28"/>
  <c r="H21" i="14"/>
  <c r="AB714" i="28"/>
  <c r="AB705" i="28"/>
  <c r="AB715" i="28" s="1"/>
  <c r="U589" i="28"/>
  <c r="AE637" i="28"/>
  <c r="AB462" i="28"/>
  <c r="AB466" i="28"/>
  <c r="AD679" i="28"/>
  <c r="AD681" i="28" s="1"/>
  <c r="AD674" i="28"/>
  <c r="AD665" i="28"/>
  <c r="AC461" i="28"/>
  <c r="AC463" i="28" s="1"/>
  <c r="AC456" i="28"/>
  <c r="AC447" i="28"/>
  <c r="U553" i="28"/>
  <c r="AC237" i="28"/>
  <c r="AE241" i="28"/>
  <c r="I37" i="14"/>
  <c r="G44" i="13" s="1"/>
  <c r="H37" i="14"/>
  <c r="F44" i="13" s="1"/>
  <c r="F43" i="13"/>
  <c r="AB456" i="28"/>
  <c r="AF232" i="28"/>
  <c r="AB235" i="3"/>
  <c r="AB237" i="3" s="1"/>
  <c r="AC674" i="28"/>
  <c r="AC665" i="28"/>
  <c r="AC679" i="28"/>
  <c r="AC681" i="28" s="1"/>
  <c r="G8" i="14"/>
  <c r="G38" i="14" s="1"/>
  <c r="E45" i="13" s="1"/>
  <c r="AB69" i="28"/>
  <c r="AB20" i="28"/>
  <c r="AB463" i="28"/>
  <c r="U277" i="28"/>
  <c r="AD461" i="28"/>
  <c r="AD463" i="28" s="1"/>
  <c r="AD447" i="28"/>
  <c r="AD456" i="28"/>
  <c r="H8" i="14"/>
  <c r="H38" i="14" s="1"/>
  <c r="F45" i="13" s="1"/>
  <c r="AC20" i="28"/>
  <c r="AC69" i="28"/>
  <c r="U241" i="28"/>
  <c r="AD90" i="3"/>
  <c r="AD92" i="3" s="1"/>
  <c r="AC325" i="28"/>
  <c r="AD237" i="28"/>
  <c r="AG481" i="28"/>
  <c r="AH481" i="28" s="1"/>
  <c r="AD705" i="28"/>
  <c r="AD715" i="28" s="1"/>
  <c r="AD714" i="28"/>
  <c r="AB465" i="28"/>
  <c r="AB467" i="28" s="1"/>
  <c r="AB469" i="28" s="1"/>
  <c r="AB457" i="28"/>
  <c r="AC90" i="3"/>
  <c r="AC92" i="3" s="1"/>
  <c r="U501" i="28"/>
  <c r="AF189" i="28"/>
  <c r="AG256" i="28"/>
  <c r="AH256" i="28" s="1"/>
  <c r="AC637" i="28"/>
  <c r="AE674" i="28"/>
  <c r="AE679" i="28"/>
  <c r="AE681" i="28" s="1"/>
  <c r="AD637" i="28"/>
  <c r="AE462" i="28"/>
  <c r="AE466" i="28"/>
  <c r="E43" i="13"/>
  <c r="G37" i="14"/>
  <c r="E44" i="13" s="1"/>
  <c r="G39" i="14"/>
  <c r="E46" i="13" s="1"/>
  <c r="R48" i="14"/>
  <c r="L55" i="13" s="1"/>
  <c r="AD235" i="3"/>
  <c r="AC235" i="3"/>
  <c r="AB90" i="3"/>
  <c r="AB92" i="3" s="1"/>
  <c r="AH674" i="28"/>
  <c r="AH281" i="3"/>
  <c r="AH39" i="28"/>
  <c r="AH223" i="3"/>
  <c r="W244" i="3"/>
  <c r="AB51" i="3"/>
  <c r="AB69" i="3" s="1"/>
  <c r="AB39" i="3"/>
  <c r="AC39" i="3"/>
  <c r="AC51" i="3"/>
  <c r="AC69" i="3" s="1"/>
  <c r="AD39" i="3"/>
  <c r="AD51" i="3"/>
  <c r="AD69" i="3" s="1"/>
  <c r="AF145" i="28"/>
  <c r="AH637" i="28"/>
  <c r="AH543" i="28"/>
  <c r="AH534" i="28"/>
  <c r="AH544" i="28" s="1"/>
  <c r="AH454" i="28"/>
  <c r="AG163" i="3"/>
  <c r="AH231" i="28"/>
  <c r="AH222" i="28"/>
  <c r="AH232" i="28" s="1"/>
  <c r="AG637" i="28"/>
  <c r="AH695" i="28"/>
  <c r="AH702" i="28"/>
  <c r="AH712" i="28"/>
  <c r="T149" i="3"/>
  <c r="AE149" i="3" s="1"/>
  <c r="AD154" i="3"/>
  <c r="I25" i="14" s="1"/>
  <c r="I54" i="14" s="1"/>
  <c r="G61" i="13" s="1"/>
  <c r="R156" i="3"/>
  <c r="AE32" i="7"/>
  <c r="AE31" i="7" s="1"/>
  <c r="AD31" i="7"/>
  <c r="AE29" i="7"/>
  <c r="AE28" i="7" s="1"/>
  <c r="AD28" i="7"/>
  <c r="AB675" i="28"/>
  <c r="AB683" i="28"/>
  <c r="AB685" i="28" s="1"/>
  <c r="I13" i="14" l="1"/>
  <c r="AC714" i="28"/>
  <c r="U652" i="28"/>
  <c r="R158" i="3"/>
  <c r="R3" i="3" s="1"/>
  <c r="AC236" i="3"/>
  <c r="AB239" i="3"/>
  <c r="AB4" i="3" s="1"/>
  <c r="H13" i="14"/>
  <c r="H45" i="14" s="1"/>
  <c r="F52" i="13" s="1"/>
  <c r="AB58" i="28"/>
  <c r="AD465" i="28"/>
  <c r="AD467" i="28" s="1"/>
  <c r="AD469" i="28" s="1"/>
  <c r="AD457" i="28"/>
  <c r="AC683" i="28"/>
  <c r="AC685" i="28" s="1"/>
  <c r="AC675" i="28"/>
  <c r="AD675" i="28"/>
  <c r="AD683" i="28"/>
  <c r="AD685" i="28" s="1"/>
  <c r="AC58" i="28"/>
  <c r="AF277" i="28"/>
  <c r="AF501" i="28"/>
  <c r="G11" i="14"/>
  <c r="AB28" i="28"/>
  <c r="AB77" i="28"/>
  <c r="U555" i="28"/>
  <c r="AF652" i="28"/>
  <c r="H11" i="14"/>
  <c r="AC28" i="28"/>
  <c r="AC77" i="28"/>
  <c r="AC457" i="28"/>
  <c r="AC465" i="28"/>
  <c r="AC467" i="28" s="1"/>
  <c r="AC469" i="28" s="1"/>
  <c r="G13" i="14"/>
  <c r="G45" i="14" s="1"/>
  <c r="E52" i="13" s="1"/>
  <c r="AC237" i="3"/>
  <c r="I44" i="14"/>
  <c r="G51" i="13" s="1"/>
  <c r="I45" i="14"/>
  <c r="G52" i="13" s="1"/>
  <c r="AD71" i="3"/>
  <c r="AD88" i="3" s="1"/>
  <c r="AD42" i="3"/>
  <c r="AD41" i="3"/>
  <c r="W246" i="3"/>
  <c r="AC42" i="3"/>
  <c r="AC41" i="3"/>
  <c r="AC71" i="3"/>
  <c r="AC88" i="3" s="1"/>
  <c r="V293" i="3"/>
  <c r="V286" i="3"/>
  <c r="AB42" i="3"/>
  <c r="AB41" i="3"/>
  <c r="AB71" i="3"/>
  <c r="AB88" i="3" s="1"/>
  <c r="AD156" i="3"/>
  <c r="AD158" i="3" s="1"/>
  <c r="AD3" i="3" s="1"/>
  <c r="E75" i="13"/>
  <c r="F75" i="13"/>
  <c r="G75" i="13"/>
  <c r="H75" i="13"/>
  <c r="I75" i="13"/>
  <c r="J75" i="13"/>
  <c r="H44" i="14" l="1"/>
  <c r="F51" i="13" s="1"/>
  <c r="AD236" i="3"/>
  <c r="AD237" i="3" s="1"/>
  <c r="AD239" i="3" s="1"/>
  <c r="AD4" i="3" s="1"/>
  <c r="AC239" i="3"/>
  <c r="H10" i="14"/>
  <c r="AC33" i="28"/>
  <c r="AC85" i="28"/>
  <c r="G51" i="14"/>
  <c r="E58" i="13" s="1"/>
  <c r="G41" i="14"/>
  <c r="E48" i="13" s="1"/>
  <c r="G49" i="14"/>
  <c r="E56" i="13" s="1"/>
  <c r="G42" i="14"/>
  <c r="E49" i="13" s="1"/>
  <c r="G50" i="14"/>
  <c r="E57" i="13" s="1"/>
  <c r="G53" i="14"/>
  <c r="E60" i="13" s="1"/>
  <c r="H49" i="14"/>
  <c r="F56" i="13" s="1"/>
  <c r="H42" i="14"/>
  <c r="F49" i="13" s="1"/>
  <c r="H51" i="14"/>
  <c r="F58" i="13" s="1"/>
  <c r="H50" i="14"/>
  <c r="F57" i="13" s="1"/>
  <c r="H41" i="14"/>
  <c r="F48" i="13" s="1"/>
  <c r="H53" i="14"/>
  <c r="F60" i="13" s="1"/>
  <c r="G10" i="14"/>
  <c r="AB85" i="28"/>
  <c r="AB33" i="28"/>
  <c r="G44" i="14"/>
  <c r="E51" i="13" s="1"/>
  <c r="AC4" i="3"/>
  <c r="V290" i="3"/>
  <c r="W148" i="3"/>
  <c r="X244" i="3"/>
  <c r="V249" i="3"/>
  <c r="V298" i="3"/>
  <c r="C76" i="13"/>
  <c r="E28" i="13"/>
  <c r="G76" i="13"/>
  <c r="F28" i="13" s="1"/>
  <c r="K76" i="13"/>
  <c r="AE236" i="3" l="1"/>
  <c r="H47" i="14"/>
  <c r="F54" i="13" s="1"/>
  <c r="H52" i="14"/>
  <c r="F59" i="13" s="1"/>
  <c r="H40" i="14"/>
  <c r="F47" i="13" s="1"/>
  <c r="G47" i="14"/>
  <c r="E54" i="13" s="1"/>
  <c r="G52" i="14"/>
  <c r="E59" i="13" s="1"/>
  <c r="G48" i="14"/>
  <c r="E55" i="13" s="1"/>
  <c r="G40" i="14"/>
  <c r="E47" i="13" s="1"/>
  <c r="AB37" i="28"/>
  <c r="AB90" i="28"/>
  <c r="AB36" i="28"/>
  <c r="AC37" i="28"/>
  <c r="AC90" i="28"/>
  <c r="AC36" i="28"/>
  <c r="V260" i="3"/>
  <c r="X246" i="3"/>
  <c r="W293" i="3"/>
  <c r="W286" i="3"/>
  <c r="I76" i="13"/>
  <c r="H28" i="13" s="1"/>
  <c r="L76" i="13"/>
  <c r="AB40" i="28" l="1"/>
  <c r="AB59" i="28" s="1"/>
  <c r="AB93" i="28"/>
  <c r="AC93" i="28"/>
  <c r="AC40" i="28"/>
  <c r="AC59" i="28" s="1"/>
  <c r="W298" i="3"/>
  <c r="X148" i="3"/>
  <c r="AF148" i="3" s="1"/>
  <c r="W290" i="3"/>
  <c r="W249" i="3"/>
  <c r="J76" i="13"/>
  <c r="I28" i="13" s="1"/>
  <c r="W260" i="3" l="1"/>
  <c r="X286" i="3"/>
  <c r="W152" i="3"/>
  <c r="W153" i="3"/>
  <c r="X293" i="3"/>
  <c r="AD61" i="28"/>
  <c r="AD57" i="28"/>
  <c r="X290" i="3" l="1"/>
  <c r="X298" i="3"/>
  <c r="X249" i="3"/>
  <c r="W149" i="3"/>
  <c r="AD12" i="28"/>
  <c r="I8" i="14" s="1"/>
  <c r="I38" i="14" s="1"/>
  <c r="G45" i="13" s="1"/>
  <c r="AD56" i="28"/>
  <c r="AD100" i="28"/>
  <c r="AD89" i="28"/>
  <c r="AD82" i="28"/>
  <c r="AD73" i="28"/>
  <c r="AD80" i="28"/>
  <c r="AD68" i="28"/>
  <c r="AD84" i="28"/>
  <c r="AD71" i="28"/>
  <c r="AD75" i="28"/>
  <c r="AD65" i="28"/>
  <c r="AD67" i="28"/>
  <c r="AD79" i="28"/>
  <c r="AD87" i="28"/>
  <c r="AD72" i="28"/>
  <c r="AD76" i="28"/>
  <c r="AD88" i="28"/>
  <c r="AD92" i="28"/>
  <c r="AD83" i="28"/>
  <c r="AD74" i="28"/>
  <c r="AD81" i="28"/>
  <c r="X153" i="3" l="1"/>
  <c r="AF153" i="3" s="1"/>
  <c r="X152" i="3"/>
  <c r="AF152" i="3" s="1"/>
  <c r="X260" i="3"/>
  <c r="AD20" i="28"/>
  <c r="AD69" i="28"/>
  <c r="AD58" i="28" l="1"/>
  <c r="I11" i="14"/>
  <c r="X149" i="3"/>
  <c r="AD28" i="28"/>
  <c r="AD77" i="28"/>
  <c r="AF149" i="3" l="1"/>
  <c r="AC149" i="3"/>
  <c r="AC154" i="3" s="1"/>
  <c r="AD33" i="28"/>
  <c r="AD36" i="28" s="1"/>
  <c r="I10" i="14"/>
  <c r="I41" i="14"/>
  <c r="G48" i="13" s="1"/>
  <c r="I49" i="14"/>
  <c r="G56" i="13" s="1"/>
  <c r="I51" i="14"/>
  <c r="G58" i="13" s="1"/>
  <c r="I53" i="14"/>
  <c r="G60" i="13" s="1"/>
  <c r="I42" i="14"/>
  <c r="G49" i="13" s="1"/>
  <c r="I50" i="14"/>
  <c r="G57" i="13" s="1"/>
  <c r="AD85" i="28"/>
  <c r="H25" i="14" l="1"/>
  <c r="I48" i="14" s="1"/>
  <c r="G55" i="13" s="1"/>
  <c r="AC156" i="3"/>
  <c r="AC158" i="3" s="1"/>
  <c r="AC3" i="3" s="1"/>
  <c r="AD37" i="28"/>
  <c r="AD93" i="28" s="1"/>
  <c r="AD90" i="28"/>
  <c r="I52" i="14"/>
  <c r="G59" i="13" s="1"/>
  <c r="I40" i="14"/>
  <c r="G47" i="13" s="1"/>
  <c r="I47" i="14"/>
  <c r="G54" i="13" s="1"/>
  <c r="H54" i="14" l="1"/>
  <c r="F61" i="13" s="1"/>
  <c r="H48" i="14"/>
  <c r="F55" i="13" s="1"/>
  <c r="AD40" i="28"/>
  <c r="AD59" i="28" s="1"/>
  <c r="S91" i="3"/>
  <c r="S274" i="3" l="1"/>
  <c r="S150" i="3" l="1"/>
  <c r="T263" i="3"/>
  <c r="T274" i="3" s="1"/>
  <c r="U263" i="3" s="1"/>
  <c r="U274" i="3" s="1"/>
  <c r="U150" i="3" s="1"/>
  <c r="S283" i="3"/>
  <c r="S151" i="3" l="1"/>
  <c r="S154" i="3" s="1"/>
  <c r="S25" i="14" s="1"/>
  <c r="T283" i="3"/>
  <c r="S4" i="3"/>
  <c r="S47" i="3"/>
  <c r="S14" i="28"/>
  <c r="S90" i="3"/>
  <c r="S92" i="3" s="1"/>
  <c r="S13" i="14" s="1"/>
  <c r="S48" i="28" l="1"/>
  <c r="S53" i="28" s="1"/>
  <c r="S9" i="14"/>
  <c r="S45" i="14"/>
  <c r="M52" i="13" s="1"/>
  <c r="S54" i="14"/>
  <c r="M61" i="13" s="1"/>
  <c r="S156" i="3"/>
  <c r="S158" i="3" l="1"/>
  <c r="S3" i="3" s="1"/>
  <c r="S13" i="4" l="1"/>
  <c r="S35" i="28" l="1"/>
  <c r="S16" i="14" s="1"/>
  <c r="S21" i="14" s="1"/>
  <c r="K21" i="14" l="1"/>
  <c r="K16" i="14"/>
  <c r="AE35" i="28"/>
  <c r="J16" i="14" s="1"/>
  <c r="J21" i="14" s="1"/>
  <c r="R61" i="28"/>
  <c r="S2" i="28"/>
  <c r="S189" i="28" s="1"/>
  <c r="S3" i="28"/>
  <c r="S502" i="28" s="1"/>
  <c r="S4" i="28"/>
  <c r="S279" i="28" s="1"/>
  <c r="S149" i="28"/>
  <c r="S589" i="28" l="1"/>
  <c r="S501" i="28"/>
  <c r="S555" i="28"/>
  <c r="S277" i="28"/>
  <c r="S591" i="28"/>
  <c r="S278" i="28"/>
  <c r="S590" i="28"/>
  <c r="S367" i="28"/>
  <c r="S191" i="28"/>
  <c r="S365" i="28"/>
  <c r="S190" i="28"/>
  <c r="S366" i="28"/>
  <c r="S503" i="28"/>
  <c r="S652" i="28" l="1"/>
  <c r="S201" i="28" l="1"/>
  <c r="S203" i="28" l="1"/>
  <c r="S168" i="28"/>
  <c r="S169" i="28"/>
  <c r="V169" i="28" s="1"/>
  <c r="S170" i="28"/>
  <c r="S171" i="28"/>
  <c r="W169" i="28" l="1"/>
  <c r="X169" i="28" l="1"/>
  <c r="V168" i="28"/>
  <c r="W168" i="28" l="1"/>
  <c r="AE168" i="28"/>
  <c r="AE169" i="28"/>
  <c r="X168" i="28" l="1"/>
  <c r="X161" i="28" s="1"/>
  <c r="X163" i="28" l="1"/>
  <c r="T13" i="4" l="1"/>
  <c r="AE13" i="4" s="1"/>
  <c r="AE116" i="28" l="1"/>
  <c r="T53" i="3" l="1"/>
  <c r="AE53" i="3" s="1"/>
  <c r="S12" i="4"/>
  <c r="S15" i="4"/>
  <c r="T13" i="3" l="1"/>
  <c r="AE220" i="3" l="1"/>
  <c r="AE182" i="3"/>
  <c r="AE179" i="3"/>
  <c r="AE13" i="3"/>
  <c r="AE177" i="3"/>
  <c r="AE181" i="3"/>
  <c r="AE203" i="3"/>
  <c r="AE178" i="3"/>
  <c r="AE91" i="3"/>
  <c r="AE172" i="3"/>
  <c r="T91" i="3"/>
  <c r="AE184" i="3" l="1"/>
  <c r="AE128" i="3"/>
  <c r="AE166" i="3"/>
  <c r="AE43" i="28"/>
  <c r="T62" i="3"/>
  <c r="T25" i="3"/>
  <c r="T33" i="3" s="1"/>
  <c r="T65" i="3" l="1"/>
  <c r="AE62" i="3"/>
  <c r="AE25" i="3"/>
  <c r="T54" i="3"/>
  <c r="AE54" i="3" s="1"/>
  <c r="T25" i="28" l="1"/>
  <c r="T107" i="28"/>
  <c r="AE65" i="3"/>
  <c r="AE33" i="3"/>
  <c r="T36" i="3"/>
  <c r="T52" i="3"/>
  <c r="AE52" i="3" s="1"/>
  <c r="T211" i="3" l="1"/>
  <c r="AE188" i="3"/>
  <c r="T109" i="28"/>
  <c r="T19" i="28" s="1"/>
  <c r="AE107" i="28"/>
  <c r="AE36" i="3"/>
  <c r="AE39" i="3" s="1"/>
  <c r="T51" i="3"/>
  <c r="T39" i="3"/>
  <c r="T71" i="3" s="1"/>
  <c r="T88" i="3" s="1"/>
  <c r="T235" i="3" l="1"/>
  <c r="T237" i="3" s="1"/>
  <c r="U236" i="3"/>
  <c r="U237" i="3" s="1"/>
  <c r="U239" i="3" s="1"/>
  <c r="AE51" i="3"/>
  <c r="AE41" i="3"/>
  <c r="AE42" i="3"/>
  <c r="T41" i="3"/>
  <c r="T42" i="3"/>
  <c r="V236" i="3" l="1"/>
  <c r="AE71" i="3"/>
  <c r="AE88" i="3" s="1"/>
  <c r="AE146" i="3"/>
  <c r="AE108" i="3" l="1"/>
  <c r="AE119" i="3" s="1"/>
  <c r="J27" i="14" l="1"/>
  <c r="S25" i="28"/>
  <c r="AE25" i="28" s="1"/>
  <c r="S26" i="28"/>
  <c r="AE26" i="28" s="1"/>
  <c r="S27" i="28"/>
  <c r="S19" i="28"/>
  <c r="AE19" i="28" s="1"/>
  <c r="S11" i="28" l="1"/>
  <c r="T4" i="3" l="1"/>
  <c r="T47" i="3"/>
  <c r="AE47" i="3" s="1"/>
  <c r="T64" i="3"/>
  <c r="T90" i="3"/>
  <c r="T92" i="3" s="1"/>
  <c r="T13" i="14" s="1"/>
  <c r="AE211" i="3"/>
  <c r="AE231" i="3"/>
  <c r="AF277" i="3"/>
  <c r="T45" i="14" l="1"/>
  <c r="N52" i="13" s="1"/>
  <c r="T44" i="14"/>
  <c r="N51" i="13" s="1"/>
  <c r="T103" i="28"/>
  <c r="AE64" i="3"/>
  <c r="AE90" i="3"/>
  <c r="AE92" i="3" s="1"/>
  <c r="AE235" i="3"/>
  <c r="AE237" i="3" s="1"/>
  <c r="AE239" i="3" s="1"/>
  <c r="T151" i="3"/>
  <c r="AE151" i="3" s="1"/>
  <c r="J13" i="14" l="1"/>
  <c r="J45" i="14" s="1"/>
  <c r="H52" i="13" s="1"/>
  <c r="T104" i="28"/>
  <c r="T14" i="28" s="1"/>
  <c r="AE103" i="28"/>
  <c r="AE104" i="28" s="1"/>
  <c r="AF236" i="3"/>
  <c r="AF42" i="4" s="1"/>
  <c r="AE4" i="3"/>
  <c r="T48" i="28" l="1"/>
  <c r="T9" i="14"/>
  <c r="T39" i="14" s="1"/>
  <c r="N46" i="13" s="1"/>
  <c r="AE48" i="28"/>
  <c r="AE14" i="28"/>
  <c r="J9" i="14" s="1"/>
  <c r="AF263" i="3" l="1"/>
  <c r="T150" i="3"/>
  <c r="T154" i="3" l="1"/>
  <c r="T25" i="14" s="1"/>
  <c r="T54" i="14" s="1"/>
  <c r="N61" i="13" s="1"/>
  <c r="AE150" i="3"/>
  <c r="AE154" i="3" s="1"/>
  <c r="J25" i="14" s="1"/>
  <c r="J54" i="14" s="1"/>
  <c r="H61" i="13" s="1"/>
  <c r="AE57" i="28"/>
  <c r="AE109" i="28"/>
  <c r="AE122" i="28"/>
  <c r="T156" i="3" l="1"/>
  <c r="AE156" i="3"/>
  <c r="S289" i="28"/>
  <c r="S294" i="28" s="1"/>
  <c r="T158" i="3" l="1"/>
  <c r="T3" i="3" s="1"/>
  <c r="AE158" i="3"/>
  <c r="AE3" i="3" s="1"/>
  <c r="S291" i="28"/>
  <c r="R304" i="28"/>
  <c r="R319" i="28" s="1"/>
  <c r="S304" i="28"/>
  <c r="S310" i="28" s="1"/>
  <c r="S320" i="28" s="1"/>
  <c r="R310" i="28"/>
  <c r="R320" i="28" s="1"/>
  <c r="R440" i="28"/>
  <c r="S440" i="28"/>
  <c r="S698" i="28" s="1"/>
  <c r="S699" i="28" s="1"/>
  <c r="S714" i="28" s="1"/>
  <c r="R323" i="28" l="1"/>
  <c r="R325" i="28" s="1"/>
  <c r="S327" i="28"/>
  <c r="S329" i="28" s="1"/>
  <c r="R698" i="28"/>
  <c r="R699" i="28" s="1"/>
  <c r="R714" i="28" s="1"/>
  <c r="R705" i="28"/>
  <c r="R715" i="28" s="1"/>
  <c r="R441" i="28"/>
  <c r="R447" i="28" s="1"/>
  <c r="R327" i="28"/>
  <c r="R329" i="28" s="1"/>
  <c r="R331" i="28" s="1"/>
  <c r="S441" i="28"/>
  <c r="S319" i="28"/>
  <c r="S323" i="28"/>
  <c r="S325" i="28" s="1"/>
  <c r="R456" i="28" l="1"/>
  <c r="R461" i="28"/>
  <c r="R463" i="28" s="1"/>
  <c r="R457" i="28"/>
  <c r="R465" i="28"/>
  <c r="R467" i="28" s="1"/>
  <c r="R469" i="28" s="1"/>
  <c r="S447" i="28"/>
  <c r="S461" i="28"/>
  <c r="S463" i="28" s="1"/>
  <c r="S456" i="28"/>
  <c r="S457" i="28" l="1"/>
  <c r="S465" i="28"/>
  <c r="S467" i="28" s="1"/>
  <c r="R154" i="28"/>
  <c r="R157" i="28" s="1"/>
  <c r="R371" i="28"/>
  <c r="AE373" i="28"/>
  <c r="S377" i="28"/>
  <c r="S382" i="28" s="1"/>
  <c r="T377" i="28"/>
  <c r="T382" i="28" s="1"/>
  <c r="S434" i="28"/>
  <c r="S692" i="28" s="1"/>
  <c r="AE377" i="28" l="1"/>
  <c r="AE379" i="28" s="1"/>
  <c r="AE434" i="28"/>
  <c r="AE385" i="28"/>
  <c r="S431" i="28"/>
  <c r="S480" i="28"/>
  <c r="S490" i="28"/>
  <c r="S689" i="28" l="1"/>
  <c r="AE382" i="28"/>
  <c r="S432" i="28"/>
  <c r="S690" i="28" s="1"/>
  <c r="S1" i="28" l="1"/>
  <c r="S331" i="28" l="1"/>
  <c r="S188" i="28"/>
  <c r="S243" i="28"/>
  <c r="S364" i="28"/>
  <c r="S368" i="28" s="1"/>
  <c r="S370" i="28" s="1"/>
  <c r="S154" i="28" s="1"/>
  <c r="S276" i="28"/>
  <c r="S588" i="28"/>
  <c r="S592" i="28" s="1"/>
  <c r="S594" i="28" s="1"/>
  <c r="S595" i="28" s="1"/>
  <c r="S500" i="28"/>
  <c r="S504" i="28" s="1"/>
  <c r="S469" i="28"/>
  <c r="S192" i="28" l="1"/>
  <c r="S194" i="28" s="1"/>
  <c r="S280" i="28"/>
  <c r="S282" i="28" s="1"/>
  <c r="S156" i="28" l="1"/>
  <c r="S152" i="28"/>
  <c r="S195" i="28"/>
  <c r="S283" i="28"/>
  <c r="S153" i="28"/>
  <c r="S601" i="28" l="1"/>
  <c r="S606" i="28" s="1"/>
  <c r="S603" i="28" l="1"/>
  <c r="S10" i="28"/>
  <c r="S506" i="28"/>
  <c r="S155" i="28" s="1"/>
  <c r="S515" i="28"/>
  <c r="S7" i="14" l="1"/>
  <c r="S72" i="28"/>
  <c r="S43" i="14"/>
  <c r="M50" i="13" s="1"/>
  <c r="S36" i="14"/>
  <c r="S44" i="14"/>
  <c r="M51" i="13" s="1"/>
  <c r="S39" i="14"/>
  <c r="M46" i="13" s="1"/>
  <c r="S92" i="28"/>
  <c r="S56" i="28"/>
  <c r="AE10" i="28"/>
  <c r="J7" i="14" s="1"/>
  <c r="S89" i="28"/>
  <c r="S87" i="28"/>
  <c r="S83" i="28"/>
  <c r="S82" i="28"/>
  <c r="S71" i="28"/>
  <c r="S507" i="28"/>
  <c r="S65" i="28"/>
  <c r="S157" i="28"/>
  <c r="S67" i="28"/>
  <c r="S75" i="28"/>
  <c r="S79" i="28"/>
  <c r="S88" i="28"/>
  <c r="S84" i="28"/>
  <c r="S12" i="28"/>
  <c r="S8" i="14" s="1"/>
  <c r="S38" i="14" s="1"/>
  <c r="M45" i="13" s="1"/>
  <c r="S68" i="28"/>
  <c r="S80" i="28"/>
  <c r="S73" i="28"/>
  <c r="S76" i="28"/>
  <c r="S74" i="28"/>
  <c r="S81" i="28"/>
  <c r="M43" i="13" l="1"/>
  <c r="S37" i="14"/>
  <c r="M44" i="13" s="1"/>
  <c r="J43" i="14"/>
  <c r="H50" i="13" s="1"/>
  <c r="J36" i="14"/>
  <c r="J44" i="14"/>
  <c r="H51" i="13" s="1"/>
  <c r="J39" i="14"/>
  <c r="H46" i="13" s="1"/>
  <c r="S20" i="28"/>
  <c r="S11" i="14" s="1"/>
  <c r="S69" i="28"/>
  <c r="S41" i="14" l="1"/>
  <c r="M48" i="13" s="1"/>
  <c r="S42" i="14"/>
  <c r="M49" i="13" s="1"/>
  <c r="S49" i="14"/>
  <c r="M56" i="13" s="1"/>
  <c r="S50" i="14"/>
  <c r="M57" i="13" s="1"/>
  <c r="S53" i="14"/>
  <c r="M60" i="13" s="1"/>
  <c r="S51" i="14"/>
  <c r="M58" i="13" s="1"/>
  <c r="J37" i="14"/>
  <c r="H44" i="13" s="1"/>
  <c r="H43" i="13"/>
  <c r="S58" i="28"/>
  <c r="S28" i="28"/>
  <c r="S10" i="14" s="1"/>
  <c r="S77" i="28"/>
  <c r="S40" i="14" l="1"/>
  <c r="M47" i="13" s="1"/>
  <c r="S52" i="14"/>
  <c r="M59" i="13" s="1"/>
  <c r="S47" i="14"/>
  <c r="M54" i="13" s="1"/>
  <c r="S48" i="14"/>
  <c r="M55" i="13" s="1"/>
  <c r="S33" i="28"/>
  <c r="S85" i="28"/>
  <c r="S37" i="28" l="1"/>
  <c r="S90" i="28"/>
  <c r="S36" i="28"/>
  <c r="S40" i="28" l="1"/>
  <c r="S59" i="28" s="1"/>
  <c r="S93" i="28"/>
  <c r="S518" i="28" l="1"/>
  <c r="S521" i="28"/>
  <c r="S609" i="28"/>
  <c r="S206" i="28"/>
  <c r="S209" i="28"/>
  <c r="S297" i="28"/>
  <c r="T170" i="28"/>
  <c r="AE170" i="28"/>
  <c r="S46" i="28" l="1"/>
  <c r="S61" i="28" s="1"/>
  <c r="T171" i="28"/>
  <c r="AE171" i="28"/>
  <c r="T178" i="28"/>
  <c r="AE185" i="28" l="1"/>
  <c r="AE178" i="28"/>
  <c r="AE201" i="28" l="1"/>
  <c r="T206" i="28"/>
  <c r="T209" i="28"/>
  <c r="AE209" i="28" l="1"/>
  <c r="AE203" i="28"/>
  <c r="AE206" i="28"/>
  <c r="T203" i="28"/>
  <c r="T258" i="28"/>
  <c r="AE258" i="28"/>
  <c r="T136" i="28" l="1"/>
  <c r="AE136" i="28" s="1"/>
  <c r="AE130" i="28"/>
  <c r="T259" i="28" l="1"/>
  <c r="AE259" i="28"/>
  <c r="T266" i="28"/>
  <c r="AE273" i="28"/>
  <c r="AE266" i="28" l="1"/>
  <c r="AE129" i="28"/>
  <c r="T135" i="28"/>
  <c r="AE135" i="28" s="1"/>
  <c r="AE297" i="28" l="1"/>
  <c r="T297" i="28"/>
  <c r="T434" i="28"/>
  <c r="AE289" i="28" l="1"/>
  <c r="AE291" i="28" s="1"/>
  <c r="T291" i="28"/>
  <c r="T127" i="28"/>
  <c r="AE127" i="28" s="1"/>
  <c r="T431" i="28"/>
  <c r="T480" i="28"/>
  <c r="AE480" i="28"/>
  <c r="T490" i="28"/>
  <c r="T689" i="28" l="1"/>
  <c r="AE431" i="28"/>
  <c r="AE689" i="28" s="1"/>
  <c r="AE294" i="28"/>
  <c r="AF548" i="28"/>
  <c r="AF240" i="28"/>
  <c r="AF236" i="28"/>
  <c r="AF239" i="28"/>
  <c r="AF235" i="28"/>
  <c r="AF328" i="28"/>
  <c r="V480" i="28"/>
  <c r="AE490" i="28"/>
  <c r="V181" i="28" l="1"/>
  <c r="V235" i="28"/>
  <c r="V459" i="28"/>
  <c r="V239" i="28"/>
  <c r="V236" i="28"/>
  <c r="V240" i="28"/>
  <c r="V161" i="28"/>
  <c r="AF324" i="28"/>
  <c r="AF459" i="28"/>
  <c r="AF581" i="28"/>
  <c r="AF578" i="28"/>
  <c r="AF551" i="28"/>
  <c r="AF497" i="28"/>
  <c r="AF552" i="28"/>
  <c r="AF241" i="28"/>
  <c r="G45" i="15" s="1"/>
  <c r="H45" i="15" s="1"/>
  <c r="I45" i="15" s="1"/>
  <c r="AH581" i="28"/>
  <c r="AH588" i="28" s="1"/>
  <c r="G18" i="15"/>
  <c r="H18" i="15" s="1"/>
  <c r="I18" i="15" s="1"/>
  <c r="AF677" i="28"/>
  <c r="AF547" i="28"/>
  <c r="AF237" i="28"/>
  <c r="G36" i="15" s="1"/>
  <c r="H36" i="15" s="1"/>
  <c r="I36" i="15" s="1"/>
  <c r="AF462" i="28"/>
  <c r="AF466" i="28"/>
  <c r="AG581" i="28"/>
  <c r="AG588" i="28" s="1"/>
  <c r="W480" i="28"/>
  <c r="AH493" i="28"/>
  <c r="AH500" i="28" s="1"/>
  <c r="U490" i="28"/>
  <c r="U689" i="28"/>
  <c r="AG493" i="28"/>
  <c r="AG500" i="28" l="1"/>
  <c r="AF549" i="28"/>
  <c r="V237" i="28"/>
  <c r="V241" i="28"/>
  <c r="V466" i="28"/>
  <c r="V462" i="28"/>
  <c r="V188" i="28"/>
  <c r="W181" i="28"/>
  <c r="W459" i="28"/>
  <c r="W235" i="28"/>
  <c r="W240" i="28"/>
  <c r="W236" i="28"/>
  <c r="W239" i="28"/>
  <c r="W161" i="28"/>
  <c r="V163" i="28"/>
  <c r="AF553" i="28"/>
  <c r="AF679" i="28"/>
  <c r="AF680" i="28"/>
  <c r="AF684" i="28"/>
  <c r="X480" i="28"/>
  <c r="U133" i="28"/>
  <c r="U432" i="28"/>
  <c r="AF181" i="28" l="1"/>
  <c r="G48" i="15"/>
  <c r="H48" i="15" s="1"/>
  <c r="I48" i="15" s="1"/>
  <c r="V243" i="28"/>
  <c r="U1" i="28"/>
  <c r="U500" i="28" s="1"/>
  <c r="W237" i="28"/>
  <c r="G39" i="15"/>
  <c r="H39" i="15" s="1"/>
  <c r="I39" i="15" s="1"/>
  <c r="U588" i="28"/>
  <c r="U364" i="28"/>
  <c r="U690" i="28"/>
  <c r="W241" i="28"/>
  <c r="W243" i="28" s="1"/>
  <c r="W188" i="28"/>
  <c r="W462" i="28"/>
  <c r="W466" i="28"/>
  <c r="AF161" i="28"/>
  <c r="AF168" i="28" s="1"/>
  <c r="W163" i="28"/>
  <c r="AF163" i="28" s="1"/>
  <c r="AF681" i="28"/>
  <c r="U188" i="28" l="1"/>
  <c r="U276" i="28"/>
  <c r="AF188" i="28"/>
  <c r="G41" i="15"/>
  <c r="H41" i="15" s="1"/>
  <c r="I41" i="15" s="1"/>
  <c r="AF276" i="28"/>
  <c r="U243" i="28"/>
  <c r="AH168" i="28"/>
  <c r="AF169" i="28"/>
  <c r="AH169" i="28" l="1"/>
  <c r="T515" i="28"/>
  <c r="T521" i="28"/>
  <c r="T518" i="28" l="1"/>
  <c r="T46" i="28" s="1"/>
  <c r="AE513" i="28"/>
  <c r="AE521" i="28"/>
  <c r="AE46" i="28" l="1"/>
  <c r="AE515" i="28"/>
  <c r="AE518" i="28"/>
  <c r="V304" i="28"/>
  <c r="W304" i="28"/>
  <c r="W319" i="28" s="1"/>
  <c r="U304" i="28"/>
  <c r="T304" i="28"/>
  <c r="T310" i="28" s="1"/>
  <c r="T320" i="28" s="1"/>
  <c r="AE323" i="28"/>
  <c r="AE325" i="28" s="1"/>
  <c r="T440" i="28"/>
  <c r="U323" i="28" l="1"/>
  <c r="T441" i="28"/>
  <c r="T447" i="28" s="1"/>
  <c r="AE440" i="28"/>
  <c r="AE441" i="28" s="1"/>
  <c r="AE461" i="28" s="1"/>
  <c r="AE463" i="28" s="1"/>
  <c r="T698" i="28"/>
  <c r="T699" i="28" s="1"/>
  <c r="T714" i="28" s="1"/>
  <c r="V440" i="28"/>
  <c r="V441" i="28" s="1"/>
  <c r="V461" i="28" s="1"/>
  <c r="V463" i="28" s="1"/>
  <c r="W440" i="28"/>
  <c r="W698" i="28" s="1"/>
  <c r="W699" i="28" s="1"/>
  <c r="W714" i="28" s="1"/>
  <c r="T323" i="28"/>
  <c r="T325" i="28" s="1"/>
  <c r="T319" i="28"/>
  <c r="AE319" i="28"/>
  <c r="AG303" i="28"/>
  <c r="AF304" i="28"/>
  <c r="U310" i="28"/>
  <c r="U319" i="28"/>
  <c r="W323" i="28"/>
  <c r="W325" i="28" s="1"/>
  <c r="W310" i="28"/>
  <c r="V310" i="28"/>
  <c r="V319" i="28"/>
  <c r="V323" i="28"/>
  <c r="V325" i="28" s="1"/>
  <c r="U440" i="28"/>
  <c r="T327" i="28"/>
  <c r="T329" i="28" s="1"/>
  <c r="T461" i="28" l="1"/>
  <c r="T463" i="28" s="1"/>
  <c r="T456" i="28"/>
  <c r="U325" i="28"/>
  <c r="AE456" i="28"/>
  <c r="AE698" i="28"/>
  <c r="AE699" i="28" s="1"/>
  <c r="AE714" i="28" s="1"/>
  <c r="AE447" i="28"/>
  <c r="AE457" i="28" s="1"/>
  <c r="AF440" i="28"/>
  <c r="V456" i="28"/>
  <c r="V447" i="28"/>
  <c r="V465" i="28" s="1"/>
  <c r="V467" i="28" s="1"/>
  <c r="V469" i="28" s="1"/>
  <c r="W441" i="28"/>
  <c r="W447" i="28" s="1"/>
  <c r="W465" i="28" s="1"/>
  <c r="W467" i="28" s="1"/>
  <c r="W469" i="28" s="1"/>
  <c r="V698" i="28"/>
  <c r="V699" i="28" s="1"/>
  <c r="AH303" i="28"/>
  <c r="AG304" i="28"/>
  <c r="AG440" i="28"/>
  <c r="V327" i="28"/>
  <c r="V329" i="28" s="1"/>
  <c r="V331" i="28" s="1"/>
  <c r="V320" i="28"/>
  <c r="AE320" i="28"/>
  <c r="AE327" i="28"/>
  <c r="AE329" i="28" s="1"/>
  <c r="T465" i="28"/>
  <c r="T467" i="28" s="1"/>
  <c r="T457" i="28"/>
  <c r="W320" i="28"/>
  <c r="W327" i="28"/>
  <c r="W329" i="28" s="1"/>
  <c r="W331" i="28" s="1"/>
  <c r="X304" i="28"/>
  <c r="X440" i="28"/>
  <c r="AF310" i="28"/>
  <c r="AF319" i="28"/>
  <c r="AF323" i="28"/>
  <c r="AF325" i="28" s="1"/>
  <c r="G37" i="15" s="1"/>
  <c r="H37" i="15" s="1"/>
  <c r="I37" i="15" s="1"/>
  <c r="U441" i="28"/>
  <c r="U698" i="28"/>
  <c r="U327" i="28"/>
  <c r="U320" i="28"/>
  <c r="U329" i="28" l="1"/>
  <c r="U699" i="28"/>
  <c r="AE465" i="28"/>
  <c r="AE467" i="28" s="1"/>
  <c r="AF698" i="28"/>
  <c r="AF699" i="28" s="1"/>
  <c r="AF714" i="28" s="1"/>
  <c r="AF441" i="28"/>
  <c r="W461" i="28"/>
  <c r="W463" i="28" s="1"/>
  <c r="W456" i="28"/>
  <c r="V457" i="28"/>
  <c r="W457" i="28"/>
  <c r="V714" i="28"/>
  <c r="U714" i="28"/>
  <c r="U447" i="28"/>
  <c r="U456" i="28"/>
  <c r="U461" i="28"/>
  <c r="AG698" i="28"/>
  <c r="AG699" i="28" s="1"/>
  <c r="AG441" i="28"/>
  <c r="X323" i="28"/>
  <c r="X319" i="28"/>
  <c r="X310" i="28"/>
  <c r="AF320" i="28"/>
  <c r="AF327" i="28"/>
  <c r="AF329" i="28" s="1"/>
  <c r="G46" i="15" s="1"/>
  <c r="H46" i="15" s="1"/>
  <c r="I46" i="15" s="1"/>
  <c r="AG310" i="28"/>
  <c r="AG319" i="28"/>
  <c r="X441" i="28"/>
  <c r="X698" i="28"/>
  <c r="X699" i="28" s="1"/>
  <c r="AH304" i="28"/>
  <c r="AH440" i="28"/>
  <c r="X325" i="28" l="1"/>
  <c r="U463" i="28"/>
  <c r="U331" i="28"/>
  <c r="AF456" i="28"/>
  <c r="AF461" i="28"/>
  <c r="AF463" i="28" s="1"/>
  <c r="G38" i="15" s="1"/>
  <c r="H38" i="15" s="1"/>
  <c r="I38" i="15" s="1"/>
  <c r="AF447" i="28"/>
  <c r="AG714" i="28"/>
  <c r="AG447" i="28"/>
  <c r="AG456" i="28"/>
  <c r="X461" i="28"/>
  <c r="X463" i="28" s="1"/>
  <c r="X456" i="28"/>
  <c r="X447" i="28"/>
  <c r="AH441" i="28"/>
  <c r="AH698" i="28"/>
  <c r="AH699" i="28" s="1"/>
  <c r="U457" i="28"/>
  <c r="U465" i="28"/>
  <c r="AG320" i="28"/>
  <c r="AH310" i="28"/>
  <c r="AH319" i="28"/>
  <c r="X320" i="28"/>
  <c r="X327" i="28"/>
  <c r="X714" i="28"/>
  <c r="X329" i="28" l="1"/>
  <c r="U467" i="28"/>
  <c r="AF457" i="28"/>
  <c r="AF465" i="28"/>
  <c r="AF467" i="28" s="1"/>
  <c r="G47" i="15" s="1"/>
  <c r="H47" i="15" s="1"/>
  <c r="I47" i="15" s="1"/>
  <c r="X465" i="28"/>
  <c r="X467" i="28" s="1"/>
  <c r="X469" i="28" s="1"/>
  <c r="X457" i="28"/>
  <c r="AH320" i="28"/>
  <c r="AG457" i="28"/>
  <c r="AH714" i="28"/>
  <c r="AH447" i="28"/>
  <c r="AH456" i="28"/>
  <c r="U469" i="28" l="1"/>
  <c r="X331" i="28"/>
  <c r="AH457" i="28"/>
  <c r="T74" i="28"/>
  <c r="AE601" i="28"/>
  <c r="AE603" i="28" l="1"/>
  <c r="AE606" i="28"/>
  <c r="AE609" i="28"/>
  <c r="T88" i="28"/>
  <c r="T75" i="28"/>
  <c r="T81" i="28"/>
  <c r="T71" i="28"/>
  <c r="T76" i="28"/>
  <c r="T72" i="28"/>
  <c r="T87" i="28"/>
  <c r="T73" i="28"/>
  <c r="T79" i="28"/>
  <c r="T67" i="28"/>
  <c r="T83" i="28"/>
  <c r="T82" i="28"/>
  <c r="T80" i="28"/>
  <c r="T89" i="28"/>
  <c r="T92" i="28"/>
  <c r="T65" i="28"/>
  <c r="AE56" i="28" l="1"/>
  <c r="AE83" i="28"/>
  <c r="AE75" i="28"/>
  <c r="AE87" i="28"/>
  <c r="AE73" i="28"/>
  <c r="AE79" i="28"/>
  <c r="AE65" i="28"/>
  <c r="AE76" i="28"/>
  <c r="AE82" i="28"/>
  <c r="AE67" i="28"/>
  <c r="AE72" i="28"/>
  <c r="AE81" i="28"/>
  <c r="AE71" i="28"/>
  <c r="AE74" i="28"/>
  <c r="AE80" i="28"/>
  <c r="AE88" i="28"/>
  <c r="AE92" i="28"/>
  <c r="AE89" i="28"/>
  <c r="AE61" i="28"/>
  <c r="T133" i="28" l="1"/>
  <c r="AE133" i="28" s="1"/>
  <c r="T134" i="28"/>
  <c r="AE134" i="28" s="1"/>
  <c r="T650" i="28" l="1"/>
  <c r="AE650" i="28" s="1"/>
  <c r="T432" i="28"/>
  <c r="AE432" i="28" s="1"/>
  <c r="T497" i="28"/>
  <c r="AE690" i="28" l="1"/>
  <c r="T690" i="28"/>
  <c r="AE1" i="28"/>
  <c r="AE243" i="28" s="1"/>
  <c r="AE2" i="28"/>
  <c r="AE365" i="28" s="1"/>
  <c r="AE3" i="28"/>
  <c r="AE366" i="28" s="1"/>
  <c r="AE4" i="28"/>
  <c r="AE364" i="28" l="1"/>
  <c r="AE555" i="28"/>
  <c r="AE469" i="28"/>
  <c r="AE331" i="28"/>
  <c r="AE367" i="28"/>
  <c r="AE368" i="28" l="1"/>
  <c r="AE370" i="28" s="1"/>
  <c r="AE371" i="28" s="1"/>
  <c r="T1" i="28" l="1"/>
  <c r="T276" i="28" s="1"/>
  <c r="AE276" i="28" s="1"/>
  <c r="T2" i="28"/>
  <c r="T365" i="28" s="1"/>
  <c r="T3" i="28"/>
  <c r="T4" i="28"/>
  <c r="T591" i="28" l="1"/>
  <c r="AE591" i="28" s="1"/>
  <c r="T503" i="28"/>
  <c r="AE503" i="28" s="1"/>
  <c r="T367" i="28"/>
  <c r="T279" i="28"/>
  <c r="AE279" i="28" s="1"/>
  <c r="T364" i="28"/>
  <c r="T588" i="28"/>
  <c r="AE588" i="28" s="1"/>
  <c r="T589" i="28"/>
  <c r="AE589" i="28" s="1"/>
  <c r="T502" i="28"/>
  <c r="AE502" i="28" s="1"/>
  <c r="T331" i="28"/>
  <c r="T501" i="28"/>
  <c r="AE501" i="28" s="1"/>
  <c r="T555" i="28"/>
  <c r="T500" i="28"/>
  <c r="AE500" i="28" s="1"/>
  <c r="T243" i="28"/>
  <c r="T469" i="28"/>
  <c r="T191" i="28"/>
  <c r="AE191" i="28" s="1"/>
  <c r="T366" i="28"/>
  <c r="T590" i="28"/>
  <c r="AE590" i="28" s="1"/>
  <c r="T190" i="28"/>
  <c r="AE190" i="28" s="1"/>
  <c r="T189" i="28"/>
  <c r="AE189" i="28" s="1"/>
  <c r="T278" i="28"/>
  <c r="AE278" i="28" s="1"/>
  <c r="T188" i="28"/>
  <c r="AE188" i="28" s="1"/>
  <c r="T277" i="28"/>
  <c r="AE277" i="28" s="1"/>
  <c r="AE280" i="28" l="1"/>
  <c r="AE282" i="28" s="1"/>
  <c r="AE283" i="28" s="1"/>
  <c r="T368" i="28"/>
  <c r="T370" i="28" s="1"/>
  <c r="T154" i="28" s="1"/>
  <c r="AE154" i="28" s="1"/>
  <c r="T280" i="28"/>
  <c r="T282" i="28" s="1"/>
  <c r="T283" i="28" s="1"/>
  <c r="AE592" i="28"/>
  <c r="AE594" i="28" s="1"/>
  <c r="AE595" i="28" s="1"/>
  <c r="T504" i="28"/>
  <c r="T506" i="28" s="1"/>
  <c r="AE504" i="28"/>
  <c r="AE506" i="28" s="1"/>
  <c r="AE507" i="28" s="1"/>
  <c r="T592" i="28"/>
  <c r="T594" i="28" s="1"/>
  <c r="T156" i="28" s="1"/>
  <c r="AE156" i="28" s="1"/>
  <c r="T652" i="28"/>
  <c r="T192" i="28"/>
  <c r="T194" i="28" s="1"/>
  <c r="AE192" i="28"/>
  <c r="AE194" i="28" s="1"/>
  <c r="AE195" i="28" s="1"/>
  <c r="T692" i="28" l="1"/>
  <c r="AE652" i="28"/>
  <c r="AE692" i="28" s="1"/>
  <c r="T153" i="28"/>
  <c r="AE153" i="28" s="1"/>
  <c r="T595" i="28"/>
  <c r="T155" i="28"/>
  <c r="AE155" i="28" s="1"/>
  <c r="T507" i="28"/>
  <c r="T152" i="28"/>
  <c r="AE152" i="28" s="1"/>
  <c r="T195" i="28"/>
  <c r="AE157" i="28" l="1"/>
  <c r="T157" i="28"/>
  <c r="T148" i="28" s="1"/>
  <c r="T149" i="28" l="1"/>
  <c r="AE148" i="28"/>
  <c r="AE149" i="28" s="1"/>
  <c r="V263" i="3" l="1"/>
  <c r="U103" i="28"/>
  <c r="U104" i="28" s="1"/>
  <c r="U14" i="28" s="1"/>
  <c r="U48" i="28" l="1"/>
  <c r="U53" i="28" s="1"/>
  <c r="AF53" i="28" s="1"/>
  <c r="U9" i="14"/>
  <c r="K9" i="14" s="1"/>
  <c r="V162" i="3"/>
  <c r="U91" i="3"/>
  <c r="V664" i="28" l="1"/>
  <c r="AE621" i="28"/>
  <c r="S622" i="28"/>
  <c r="S632" i="28" s="1"/>
  <c r="T622" i="28"/>
  <c r="T639" i="28" s="1"/>
  <c r="T641" i="28" s="1"/>
  <c r="T643" i="28" s="1"/>
  <c r="S639" i="28"/>
  <c r="S641" i="28" s="1"/>
  <c r="S643" i="28" s="1"/>
  <c r="S664" i="28"/>
  <c r="AE664" i="28" s="1"/>
  <c r="AE665" i="28" s="1"/>
  <c r="AE683" i="28" s="1"/>
  <c r="AE685" i="28" s="1"/>
  <c r="T664" i="28"/>
  <c r="T665" i="28" s="1"/>
  <c r="S665" i="28"/>
  <c r="S675" i="28" s="1"/>
  <c r="S704" i="28" l="1"/>
  <c r="S705" i="28" s="1"/>
  <c r="S715" i="28" s="1"/>
  <c r="AE704" i="28"/>
  <c r="AE705" i="28" s="1"/>
  <c r="AE715" i="28" s="1"/>
  <c r="T704" i="28"/>
  <c r="T705" i="28" s="1"/>
  <c r="T715" i="28" s="1"/>
  <c r="S683" i="28"/>
  <c r="S685" i="28" s="1"/>
  <c r="AE675" i="28"/>
  <c r="V665" i="28"/>
  <c r="V704" i="28"/>
  <c r="V705" i="28" s="1"/>
  <c r="V715" i="28" s="1"/>
  <c r="AF622" i="28"/>
  <c r="T675" i="28"/>
  <c r="T683" i="28"/>
  <c r="T685" i="28" s="1"/>
  <c r="T632" i="28"/>
  <c r="V622" i="28"/>
  <c r="AE622" i="28"/>
  <c r="U664" i="28" l="1"/>
  <c r="U622" i="28"/>
  <c r="W622" i="28"/>
  <c r="W664" i="28"/>
  <c r="AG622" i="28"/>
  <c r="AG664" i="28"/>
  <c r="AE632" i="28"/>
  <c r="AE639" i="28"/>
  <c r="AE641" i="28" s="1"/>
  <c r="AF632" i="28"/>
  <c r="AF641" i="28"/>
  <c r="X622" i="28"/>
  <c r="X664" i="28"/>
  <c r="V632" i="28"/>
  <c r="V675" i="28"/>
  <c r="V683" i="28"/>
  <c r="V685" i="28" s="1"/>
  <c r="G49" i="15" l="1"/>
  <c r="AF664" i="28"/>
  <c r="AF704" i="28" s="1"/>
  <c r="AF705" i="28" s="1"/>
  <c r="AF715" i="28" s="1"/>
  <c r="AG641" i="28"/>
  <c r="AG632" i="28"/>
  <c r="W632" i="28"/>
  <c r="X665" i="28"/>
  <c r="X704" i="28"/>
  <c r="X705" i="28" s="1"/>
  <c r="X715" i="28" s="1"/>
  <c r="X632" i="28"/>
  <c r="AH622" i="28"/>
  <c r="AH664" i="28"/>
  <c r="W704" i="28"/>
  <c r="W705" i="28" s="1"/>
  <c r="W715" i="28" s="1"/>
  <c r="W665" i="28"/>
  <c r="H49" i="15"/>
  <c r="AE643" i="28"/>
  <c r="U632" i="28"/>
  <c r="AG665" i="28"/>
  <c r="AG704" i="28"/>
  <c r="AG705" i="28" s="1"/>
  <c r="AG715" i="28" s="1"/>
  <c r="U665" i="28"/>
  <c r="U704" i="28"/>
  <c r="AF665" i="28" l="1"/>
  <c r="AF675" i="28" s="1"/>
  <c r="U705" i="28"/>
  <c r="W683" i="28"/>
  <c r="W685" i="28" s="1"/>
  <c r="W675" i="28"/>
  <c r="X683" i="28"/>
  <c r="X685" i="28" s="1"/>
  <c r="X675" i="28"/>
  <c r="U675" i="28"/>
  <c r="U683" i="28"/>
  <c r="AG675" i="28"/>
  <c r="AH641" i="28"/>
  <c r="AH632" i="28"/>
  <c r="AH665" i="28"/>
  <c r="AH704" i="28"/>
  <c r="AH705" i="28" s="1"/>
  <c r="AH715" i="28" s="1"/>
  <c r="AF683" i="28" l="1"/>
  <c r="AF685" i="28" s="1"/>
  <c r="G50" i="15" s="1"/>
  <c r="H50" i="15" s="1"/>
  <c r="I50" i="15" s="1"/>
  <c r="U685" i="28"/>
  <c r="U715" i="28"/>
  <c r="AH675" i="28"/>
  <c r="AE60" i="28"/>
  <c r="Q42" i="28" l="1"/>
  <c r="Q60" i="28" s="1"/>
  <c r="Q53" i="28"/>
  <c r="T54" i="28"/>
  <c r="T42" i="28" l="1"/>
  <c r="T60" i="28" s="1"/>
  <c r="T53" i="28"/>
  <c r="T61" i="28"/>
  <c r="AE53" i="28"/>
  <c r="U60" i="28" l="1"/>
  <c r="AF2" i="28"/>
  <c r="AF589" i="28" s="1"/>
  <c r="AF555" i="28" l="1"/>
  <c r="AF365" i="28"/>
  <c r="AF377" i="28" l="1"/>
  <c r="AF382" i="28" l="1"/>
  <c r="AB480" i="28" l="1"/>
  <c r="AB481" i="28"/>
  <c r="V19" i="4" l="1"/>
  <c r="W19" i="4"/>
  <c r="W21" i="4" s="1"/>
  <c r="W47" i="4" s="1"/>
  <c r="X19" i="4"/>
  <c r="V21" i="4"/>
  <c r="V47" i="4" s="1"/>
  <c r="X21" i="4"/>
  <c r="AF21" i="4"/>
  <c r="AG21" i="4"/>
  <c r="AH21" i="4"/>
  <c r="X47" i="4"/>
  <c r="AF47" i="4"/>
  <c r="AG47" i="4"/>
  <c r="AH47" i="4"/>
  <c r="W28" i="13"/>
  <c r="W29" i="13"/>
  <c r="W30" i="13"/>
  <c r="V10" i="4" l="1"/>
  <c r="W10" i="4" l="1"/>
  <c r="W25" i="4"/>
  <c r="V25" i="4"/>
  <c r="V33" i="4" l="1"/>
  <c r="W33" i="4"/>
  <c r="X10" i="4"/>
  <c r="X25" i="4" s="1"/>
  <c r="X33" i="4" l="1"/>
  <c r="AF10" i="4"/>
  <c r="AF25" i="4" l="1"/>
  <c r="AG10" i="4"/>
  <c r="AG25" i="4" s="1"/>
  <c r="AF33" i="4"/>
  <c r="AH10" i="4" l="1"/>
  <c r="AH25" i="4"/>
  <c r="AG33" i="4"/>
  <c r="AH33" i="4" l="1"/>
  <c r="U71" i="3"/>
  <c r="U88" i="3" s="1"/>
  <c r="U90" i="3" l="1"/>
  <c r="U92" i="3" s="1"/>
  <c r="U13" i="14" s="1"/>
  <c r="U45" i="14" l="1"/>
  <c r="O52" i="13" s="1"/>
  <c r="K13" i="14"/>
  <c r="U151" i="3"/>
  <c r="V277" i="3"/>
  <c r="U154" i="3" l="1"/>
  <c r="U156" i="3" s="1"/>
  <c r="U158" i="3" s="1"/>
  <c r="K45" i="14"/>
  <c r="I52" i="13" s="1"/>
  <c r="U25" i="14"/>
  <c r="U4" i="3"/>
  <c r="U47" i="3"/>
  <c r="V47" i="3" s="1"/>
  <c r="V43" i="4"/>
  <c r="V42" i="4"/>
  <c r="W47" i="3" l="1"/>
  <c r="W280" i="3" s="1"/>
  <c r="V280" i="3"/>
  <c r="U3" i="3"/>
  <c r="K25" i="14"/>
  <c r="K54" i="14" s="1"/>
  <c r="I61" i="13" s="1"/>
  <c r="U54" i="14"/>
  <c r="O61" i="13" s="1"/>
  <c r="X47" i="3"/>
  <c r="W222" i="3"/>
  <c r="AF47" i="3"/>
  <c r="AG47" i="3" s="1"/>
  <c r="AG222" i="3" s="1"/>
  <c r="AF280" i="3" l="1"/>
  <c r="W43" i="4"/>
  <c r="X280" i="3"/>
  <c r="X222" i="3"/>
  <c r="AG280" i="3" l="1"/>
  <c r="AH47" i="3"/>
  <c r="X43" i="4"/>
  <c r="AF222" i="3"/>
  <c r="L18" i="14" l="1"/>
  <c r="AF43" i="4"/>
  <c r="AH222" i="3"/>
  <c r="AH280" i="3"/>
  <c r="M18" i="14"/>
  <c r="AG43" i="4"/>
  <c r="AH43" i="4" l="1"/>
  <c r="U171" i="28"/>
  <c r="V171" i="28" s="1"/>
  <c r="W171" i="28" s="1"/>
  <c r="X171" i="28" l="1"/>
  <c r="U170" i="28" l="1"/>
  <c r="V170" i="28" s="1"/>
  <c r="U178" i="28"/>
  <c r="U185" i="28"/>
  <c r="W170" i="28" l="1"/>
  <c r="X170" i="28" l="1"/>
  <c r="U201" i="28" l="1"/>
  <c r="U206" i="28" s="1"/>
  <c r="AF206" i="28" s="1"/>
  <c r="U203" i="28" l="1"/>
  <c r="U209" i="28" l="1"/>
  <c r="U149" i="28" l="1"/>
  <c r="U258" i="28"/>
  <c r="U135" i="28"/>
  <c r="V258" i="28" l="1"/>
  <c r="W258" i="28" s="1"/>
  <c r="U3" i="28"/>
  <c r="X258" i="28"/>
  <c r="X264" i="28" s="1"/>
  <c r="W264" i="28"/>
  <c r="V264" i="28"/>
  <c r="V271" i="28" l="1"/>
  <c r="AF264" i="28"/>
  <c r="W271" i="28"/>
  <c r="X271" i="28"/>
  <c r="V3" i="28"/>
  <c r="U190" i="28"/>
  <c r="U502" i="28"/>
  <c r="U590" i="28"/>
  <c r="U278" i="28"/>
  <c r="U366" i="28"/>
  <c r="W3" i="28" l="1"/>
  <c r="V502" i="28"/>
  <c r="V590" i="28"/>
  <c r="V278" i="28"/>
  <c r="V366" i="28"/>
  <c r="AF258" i="28"/>
  <c r="AF271" i="28"/>
  <c r="AG258" i="28" l="1"/>
  <c r="AH258" i="28"/>
  <c r="X3" i="28"/>
  <c r="W278" i="28"/>
  <c r="W366" i="28"/>
  <c r="W502" i="28"/>
  <c r="W590" i="28"/>
  <c r="X278" i="28" l="1"/>
  <c r="X366" i="28"/>
  <c r="X502" i="28"/>
  <c r="X590" i="28"/>
  <c r="AF502" i="28"/>
  <c r="AF278" i="28" l="1"/>
  <c r="U259" i="28" l="1"/>
  <c r="U266" i="28"/>
  <c r="V259" i="28" l="1"/>
  <c r="U273" i="28"/>
  <c r="U136" i="28"/>
  <c r="V265" i="28"/>
  <c r="W259" i="28"/>
  <c r="X259" i="28" l="1"/>
  <c r="X265" i="28" s="1"/>
  <c r="W265" i="28"/>
  <c r="U4" i="28"/>
  <c r="V272" i="28"/>
  <c r="V266" i="28"/>
  <c r="AF265" i="28"/>
  <c r="AF266" i="28" l="1"/>
  <c r="AF259" i="28"/>
  <c r="AG259" i="28" s="1"/>
  <c r="V273" i="28"/>
  <c r="AF272" i="28"/>
  <c r="AF273" i="28" s="1"/>
  <c r="W272" i="28"/>
  <c r="W266" i="28"/>
  <c r="V4" i="28"/>
  <c r="U503" i="28"/>
  <c r="U191" i="28"/>
  <c r="U279" i="28"/>
  <c r="U367" i="28"/>
  <c r="U368" i="28" s="1"/>
  <c r="U591" i="28"/>
  <c r="U592" i="28" s="1"/>
  <c r="U594" i="28" s="1"/>
  <c r="U595" i="28" s="1"/>
  <c r="X272" i="28"/>
  <c r="X266" i="28"/>
  <c r="U156" i="28" l="1"/>
  <c r="X273" i="28"/>
  <c r="W273" i="28"/>
  <c r="U370" i="28"/>
  <c r="U154" i="28" s="1"/>
  <c r="U504" i="28"/>
  <c r="AH259" i="28"/>
  <c r="U280" i="28"/>
  <c r="U192" i="28"/>
  <c r="W4" i="28"/>
  <c r="V591" i="28"/>
  <c r="V592" i="28" s="1"/>
  <c r="V279" i="28"/>
  <c r="V280" i="28" s="1"/>
  <c r="V503" i="28"/>
  <c r="V367" i="28"/>
  <c r="V368" i="28" s="1"/>
  <c r="U194" i="28" l="1"/>
  <c r="U195" i="28" s="1"/>
  <c r="V195" i="28" s="1"/>
  <c r="W195" i="28" s="1"/>
  <c r="X195" i="28" s="1"/>
  <c r="U282" i="28"/>
  <c r="U506" i="28"/>
  <c r="U155" i="28" s="1"/>
  <c r="V594" i="28"/>
  <c r="V156" i="28" s="1"/>
  <c r="W367" i="28"/>
  <c r="W368" i="28" s="1"/>
  <c r="W503" i="28"/>
  <c r="W591" i="28"/>
  <c r="W592" i="28" s="1"/>
  <c r="X4" i="28"/>
  <c r="W279" i="28"/>
  <c r="U373" i="28"/>
  <c r="V370" i="28"/>
  <c r="V154" i="28" s="1"/>
  <c r="U601" i="28"/>
  <c r="U606" i="28" l="1"/>
  <c r="AF606" i="28" s="1"/>
  <c r="V597" i="28"/>
  <c r="U152" i="28"/>
  <c r="U283" i="28"/>
  <c r="U153" i="28"/>
  <c r="U507" i="28"/>
  <c r="U513" i="28"/>
  <c r="W280" i="28"/>
  <c r="X279" i="28"/>
  <c r="X280" i="28" s="1"/>
  <c r="X367" i="28"/>
  <c r="X368" i="28" s="1"/>
  <c r="X503" i="28"/>
  <c r="X591" i="28"/>
  <c r="X592" i="28" s="1"/>
  <c r="W594" i="28"/>
  <c r="W156" i="28" s="1"/>
  <c r="U377" i="28"/>
  <c r="U434" i="28"/>
  <c r="U692" i="28" s="1"/>
  <c r="AF503" i="28"/>
  <c r="U10" i="28"/>
  <c r="U7" i="14" s="1"/>
  <c r="U289" i="28"/>
  <c r="V373" i="28"/>
  <c r="W370" i="28"/>
  <c r="W154" i="28" s="1"/>
  <c r="U157" i="28" l="1"/>
  <c r="V601" i="28"/>
  <c r="V507" i="28"/>
  <c r="U294" i="28"/>
  <c r="U36" i="14"/>
  <c r="U43" i="14"/>
  <c r="O50" i="13" s="1"/>
  <c r="U39" i="14"/>
  <c r="O46" i="13" s="1"/>
  <c r="K7" i="14"/>
  <c r="U44" i="14"/>
  <c r="O51" i="13" s="1"/>
  <c r="U382" i="28"/>
  <c r="U518" i="28"/>
  <c r="V283" i="28"/>
  <c r="W597" i="28"/>
  <c r="W601" i="28" s="1"/>
  <c r="W607" i="28" s="1"/>
  <c r="AL46" i="28" s="1"/>
  <c r="U521" i="28"/>
  <c r="U515" i="28"/>
  <c r="X594" i="28"/>
  <c r="X156" i="28" s="1"/>
  <c r="AF156" i="28" s="1"/>
  <c r="AF279" i="28"/>
  <c r="AF280" i="28" s="1"/>
  <c r="U291" i="28"/>
  <c r="E234" i="15"/>
  <c r="U73" i="28"/>
  <c r="U79" i="28"/>
  <c r="U81" i="28"/>
  <c r="V81" i="28" s="1"/>
  <c r="U75" i="28"/>
  <c r="U56" i="28"/>
  <c r="U88" i="28"/>
  <c r="U92" i="28"/>
  <c r="U67" i="28"/>
  <c r="U72" i="28"/>
  <c r="U87" i="28"/>
  <c r="U71" i="28"/>
  <c r="U74" i="28"/>
  <c r="U65" i="28"/>
  <c r="U89" i="28"/>
  <c r="V89" i="28" s="1"/>
  <c r="U80" i="28"/>
  <c r="W373" i="28"/>
  <c r="V377" i="28"/>
  <c r="V382" i="28" s="1"/>
  <c r="X370" i="28"/>
  <c r="X154" i="28" s="1"/>
  <c r="AF154" i="28" s="1"/>
  <c r="U46" i="28" l="1"/>
  <c r="AJ48" i="28" s="1"/>
  <c r="O43" i="13"/>
  <c r="U37" i="14"/>
  <c r="O44" i="13" s="1"/>
  <c r="W507" i="28"/>
  <c r="V607" i="28"/>
  <c r="AK46" i="28" s="1"/>
  <c r="K36" i="14"/>
  <c r="K43" i="14"/>
  <c r="I50" i="13" s="1"/>
  <c r="K39" i="14"/>
  <c r="I46" i="13" s="1"/>
  <c r="K44" i="14"/>
  <c r="I51" i="13" s="1"/>
  <c r="W283" i="28"/>
  <c r="V282" i="28"/>
  <c r="AF294" i="28"/>
  <c r="U61" i="28"/>
  <c r="X597" i="28"/>
  <c r="W89" i="28"/>
  <c r="W377" i="28"/>
  <c r="W382" i="28" s="1"/>
  <c r="U297" i="28"/>
  <c r="X373" i="28"/>
  <c r="W81" i="28"/>
  <c r="I43" i="13" l="1"/>
  <c r="L33" i="13" s="1"/>
  <c r="O33" i="13" s="1"/>
  <c r="K37" i="14"/>
  <c r="I44" i="13" s="1"/>
  <c r="X507" i="28"/>
  <c r="V153" i="28"/>
  <c r="V285" i="28"/>
  <c r="X283" i="28"/>
  <c r="X282" i="28" s="1"/>
  <c r="W282" i="28"/>
  <c r="L28" i="13"/>
  <c r="O28" i="13" s="1"/>
  <c r="X601" i="28"/>
  <c r="AF597" i="28"/>
  <c r="AF601" i="28" s="1"/>
  <c r="AF607" i="28" s="1"/>
  <c r="AO46" i="28" s="1"/>
  <c r="X89" i="28"/>
  <c r="X377" i="28"/>
  <c r="X382" i="28" s="1"/>
  <c r="X81" i="28"/>
  <c r="L31" i="13" l="1"/>
  <c r="O31" i="13" s="1"/>
  <c r="X153" i="28"/>
  <c r="X285" i="28"/>
  <c r="X289" i="28" s="1"/>
  <c r="W153" i="28"/>
  <c r="W285" i="28"/>
  <c r="W289" i="28" s="1"/>
  <c r="X607" i="28"/>
  <c r="AM46" i="28" s="1"/>
  <c r="V289" i="28"/>
  <c r="AF153" i="28"/>
  <c r="W295" i="28" l="1"/>
  <c r="W291" i="28"/>
  <c r="X295" i="28"/>
  <c r="X291" i="28"/>
  <c r="V291" i="28"/>
  <c r="V295" i="28"/>
  <c r="AF285" i="28"/>
  <c r="X297" i="28" l="1"/>
  <c r="AM43" i="28"/>
  <c r="V297" i="28"/>
  <c r="AK43" i="28"/>
  <c r="W297" i="28"/>
  <c r="AL43" i="28"/>
  <c r="AF282" i="28"/>
  <c r="AF289" i="28"/>
  <c r="U13" i="4"/>
  <c r="V56" i="4"/>
  <c r="T12" i="4"/>
  <c r="T15" i="4" s="1"/>
  <c r="AE12" i="4"/>
  <c r="AF51" i="4"/>
  <c r="AF283" i="28" l="1"/>
  <c r="AF295" i="28"/>
  <c r="AO43" i="28" s="1"/>
  <c r="AN43" i="28" s="1"/>
  <c r="AF291" i="28"/>
  <c r="AE15" i="4"/>
  <c r="AF297" i="28" l="1"/>
  <c r="AF518" i="28"/>
  <c r="V127" i="28" l="1"/>
  <c r="W127" i="28"/>
  <c r="X127" i="28"/>
  <c r="V431" i="28"/>
  <c r="V689" i="28" s="1"/>
  <c r="W431" i="28"/>
  <c r="W689" i="28" s="1"/>
  <c r="X431" i="28"/>
  <c r="X689" i="28" s="1"/>
  <c r="W432" i="28"/>
  <c r="W690" i="28" s="1"/>
  <c r="AF486" i="28"/>
  <c r="V490" i="28"/>
  <c r="W490" i="28"/>
  <c r="X490" i="28"/>
  <c r="V493" i="28"/>
  <c r="W493" i="28"/>
  <c r="W133" i="28" s="1"/>
  <c r="X493" i="28"/>
  <c r="X432" i="28" s="1"/>
  <c r="X690" i="28" s="1"/>
  <c r="W500" i="28"/>
  <c r="W144" i="28" s="1"/>
  <c r="X500" i="28" l="1"/>
  <c r="X144" i="28" s="1"/>
  <c r="AF480" i="28"/>
  <c r="X504" i="28"/>
  <c r="W504" i="28"/>
  <c r="AG480" i="28"/>
  <c r="AH480" i="28" s="1"/>
  <c r="AF431" i="28"/>
  <c r="V500" i="28"/>
  <c r="V133" i="28"/>
  <c r="AF493" i="28"/>
  <c r="V432" i="28"/>
  <c r="X133" i="28"/>
  <c r="AF490" i="28"/>
  <c r="AF127" i="28"/>
  <c r="W506" i="28" l="1"/>
  <c r="W155" i="28" s="1"/>
  <c r="X506" i="28"/>
  <c r="X155" i="28" s="1"/>
  <c r="V144" i="28"/>
  <c r="V504" i="28"/>
  <c r="AF500" i="28"/>
  <c r="G12" i="15"/>
  <c r="H12" i="15" s="1"/>
  <c r="I12" i="15" s="1"/>
  <c r="AF689" i="28"/>
  <c r="AF432" i="28"/>
  <c r="AF690" i="28" s="1"/>
  <c r="V690" i="28"/>
  <c r="AG175" i="28"/>
  <c r="AH262" i="28"/>
  <c r="AH175" i="28"/>
  <c r="AG263" i="28"/>
  <c r="AH263" i="28"/>
  <c r="AG487" i="28"/>
  <c r="AH174" i="28"/>
  <c r="AG262" i="28"/>
  <c r="AH487" i="28"/>
  <c r="AF133" i="28"/>
  <c r="AF504" i="28" l="1"/>
  <c r="X509" i="28"/>
  <c r="X513" i="28" s="1"/>
  <c r="X519" i="28" s="1"/>
  <c r="W509" i="28"/>
  <c r="W513" i="28" s="1"/>
  <c r="AG161" i="28"/>
  <c r="AG163" i="28" s="1"/>
  <c r="AG239" i="28"/>
  <c r="AG431" i="28"/>
  <c r="AG459" i="28"/>
  <c r="AG235" i="28"/>
  <c r="AG240" i="28"/>
  <c r="AG236" i="28"/>
  <c r="AH649" i="28"/>
  <c r="AH324" i="28"/>
  <c r="AH269" i="28"/>
  <c r="AH327" i="28"/>
  <c r="AH249" i="28"/>
  <c r="AH323" i="28"/>
  <c r="AH328" i="28"/>
  <c r="AG269" i="28"/>
  <c r="AG327" i="28"/>
  <c r="AG329" i="28" s="1"/>
  <c r="AG331" i="28" s="1"/>
  <c r="AG249" i="28"/>
  <c r="AG323" i="28"/>
  <c r="AG325" i="28" s="1"/>
  <c r="AG328" i="28"/>
  <c r="AG324" i="28"/>
  <c r="AG649" i="28"/>
  <c r="V506" i="28"/>
  <c r="AH490" i="28"/>
  <c r="AH677" i="28"/>
  <c r="AH551" i="28"/>
  <c r="AH473" i="28"/>
  <c r="AH547" i="28"/>
  <c r="AH552" i="28"/>
  <c r="AH494" i="28"/>
  <c r="AH548" i="28"/>
  <c r="AH236" i="28"/>
  <c r="AH161" i="28"/>
  <c r="AH239" i="28"/>
  <c r="AH431" i="28"/>
  <c r="AH459" i="28"/>
  <c r="AH235" i="28"/>
  <c r="AH240" i="28"/>
  <c r="AG494" i="28"/>
  <c r="AG490" i="28"/>
  <c r="AG473" i="28"/>
  <c r="AG677" i="28"/>
  <c r="AG551" i="28"/>
  <c r="AG547" i="28"/>
  <c r="AG552" i="28"/>
  <c r="AG548" i="28"/>
  <c r="AF144" i="28"/>
  <c r="AH689" i="28" l="1"/>
  <c r="AH241" i="28"/>
  <c r="AH243" i="28" s="1"/>
  <c r="AH549" i="28"/>
  <c r="X515" i="28"/>
  <c r="W515" i="28"/>
  <c r="W519" i="28"/>
  <c r="AM45" i="28"/>
  <c r="X521" i="28"/>
  <c r="AF1" i="28"/>
  <c r="AH462" i="28"/>
  <c r="AH465" i="28"/>
  <c r="AH461" i="28"/>
  <c r="AH463" i="28" s="1"/>
  <c r="AH466" i="28"/>
  <c r="V155" i="28"/>
  <c r="AG264" i="28"/>
  <c r="AG265" i="28"/>
  <c r="AH501" i="28"/>
  <c r="AH650" i="28"/>
  <c r="AH497" i="28"/>
  <c r="AG237" i="28"/>
  <c r="AG497" i="28"/>
  <c r="AG501" i="28"/>
  <c r="AG650" i="28"/>
  <c r="AG276" i="28"/>
  <c r="AH553" i="28"/>
  <c r="AH555" i="28" s="1"/>
  <c r="AG134" i="28"/>
  <c r="AG189" i="28"/>
  <c r="AH163" i="28"/>
  <c r="AG462" i="28"/>
  <c r="AG465" i="28"/>
  <c r="AG461" i="28"/>
  <c r="AG466" i="28"/>
  <c r="AG683" i="28"/>
  <c r="AG679" i="28"/>
  <c r="AG684" i="28"/>
  <c r="AG680" i="28"/>
  <c r="AH276" i="28"/>
  <c r="AH683" i="28"/>
  <c r="AH679" i="28"/>
  <c r="AH684" i="28"/>
  <c r="AH680" i="28"/>
  <c r="AH325" i="28"/>
  <c r="AH134" i="28"/>
  <c r="AH189" i="28"/>
  <c r="AG689" i="28"/>
  <c r="AH133" i="28"/>
  <c r="AH188" i="28"/>
  <c r="AH432" i="28"/>
  <c r="AH264" i="28"/>
  <c r="AH265" i="28"/>
  <c r="AH272" i="28" s="1"/>
  <c r="AG241" i="28"/>
  <c r="AG243" i="28" s="1"/>
  <c r="AG549" i="28"/>
  <c r="AG553" i="28"/>
  <c r="AG555" i="28" s="1"/>
  <c r="AH237" i="28"/>
  <c r="V509" i="28"/>
  <c r="AH329" i="28"/>
  <c r="AH331" i="28" s="1"/>
  <c r="AG133" i="28"/>
  <c r="AG188" i="28"/>
  <c r="AG432" i="28"/>
  <c r="AG690" i="28" s="1"/>
  <c r="AG685" i="28" l="1"/>
  <c r="AG463" i="28"/>
  <c r="AG272" i="28"/>
  <c r="AG681" i="28"/>
  <c r="AH690" i="28"/>
  <c r="AH145" i="28"/>
  <c r="AL45" i="28"/>
  <c r="W521" i="28"/>
  <c r="AF509" i="28"/>
  <c r="V513" i="28"/>
  <c r="AF155" i="28"/>
  <c r="AG652" i="28"/>
  <c r="AH685" i="28"/>
  <c r="AH681" i="28"/>
  <c r="AG467" i="28"/>
  <c r="AG469" i="28" s="1"/>
  <c r="AH467" i="28"/>
  <c r="AH469" i="28" s="1"/>
  <c r="AH652" i="28"/>
  <c r="AH144" i="28"/>
  <c r="AG144" i="28"/>
  <c r="AH271" i="28"/>
  <c r="AH273" i="28" s="1"/>
  <c r="AH266" i="28"/>
  <c r="AG145" i="28"/>
  <c r="AG271" i="28"/>
  <c r="AG266" i="28"/>
  <c r="AF243" i="28"/>
  <c r="AF331" i="28"/>
  <c r="AF469" i="28"/>
  <c r="AF364" i="28"/>
  <c r="AF588" i="28"/>
  <c r="AG273" i="28" l="1"/>
  <c r="V519" i="28"/>
  <c r="AK45" i="28" s="1"/>
  <c r="V515" i="28"/>
  <c r="AF513" i="28"/>
  <c r="AF506" i="28"/>
  <c r="V521" i="28" l="1"/>
  <c r="AF507" i="28"/>
  <c r="AF519" i="28"/>
  <c r="AF515" i="28"/>
  <c r="AF521" i="28" l="1"/>
  <c r="AO45" i="28"/>
  <c r="AN45" i="28" s="1"/>
  <c r="AN46" i="28"/>
  <c r="AB184" i="3"/>
  <c r="M30" i="14"/>
  <c r="AH205" i="3"/>
  <c r="AH207" i="3"/>
  <c r="Z184" i="3"/>
  <c r="AA184" i="3"/>
  <c r="U25" i="28" l="1"/>
  <c r="U82" i="28" s="1"/>
  <c r="V82" i="28" s="1"/>
  <c r="W82" i="28" s="1"/>
  <c r="X82" i="28" s="1"/>
  <c r="U26" i="28"/>
  <c r="U83" i="28" s="1"/>
  <c r="U98" i="28"/>
  <c r="U107" i="28"/>
  <c r="U109" i="28" l="1"/>
  <c r="U19" i="28" s="1"/>
  <c r="U76" i="28" l="1"/>
  <c r="A1" i="14"/>
  <c r="L7" i="14"/>
  <c r="M7" i="14"/>
  <c r="V7" i="14"/>
  <c r="J8" i="14"/>
  <c r="K8" i="14"/>
  <c r="L8" i="14"/>
  <c r="M8" i="14"/>
  <c r="T8" i="14"/>
  <c r="U8" i="14"/>
  <c r="V8" i="14"/>
  <c r="L9" i="14"/>
  <c r="M9" i="14"/>
  <c r="V9" i="14"/>
  <c r="J10" i="14"/>
  <c r="K10" i="14"/>
  <c r="L10" i="14"/>
  <c r="M10" i="14"/>
  <c r="T10" i="14"/>
  <c r="U10" i="14"/>
  <c r="V10" i="14"/>
  <c r="J11" i="14"/>
  <c r="K11" i="14"/>
  <c r="L11" i="14"/>
  <c r="M11" i="14"/>
  <c r="T11" i="14"/>
  <c r="U11" i="14"/>
  <c r="V11" i="14"/>
  <c r="L13" i="14"/>
  <c r="M13" i="14"/>
  <c r="V13" i="14"/>
  <c r="L15" i="14"/>
  <c r="M15" i="14"/>
  <c r="V15" i="14"/>
  <c r="L16" i="14"/>
  <c r="M16" i="14"/>
  <c r="V16" i="14"/>
  <c r="L17" i="14"/>
  <c r="M17" i="14"/>
  <c r="V17" i="14"/>
  <c r="L20" i="14"/>
  <c r="M20" i="14"/>
  <c r="V20" i="14"/>
  <c r="L21" i="14"/>
  <c r="M21" i="14"/>
  <c r="V21" i="14"/>
  <c r="L23" i="14"/>
  <c r="M23" i="14"/>
  <c r="V23" i="14"/>
  <c r="L24" i="14"/>
  <c r="M24" i="14"/>
  <c r="V24" i="14"/>
  <c r="L25" i="14"/>
  <c r="M25" i="14"/>
  <c r="V25" i="14"/>
  <c r="L26" i="14"/>
  <c r="M26" i="14"/>
  <c r="V26" i="14"/>
  <c r="L27" i="14"/>
  <c r="M27" i="14"/>
  <c r="V27" i="14"/>
  <c r="L29" i="14"/>
  <c r="M29" i="14"/>
  <c r="V29" i="14"/>
  <c r="L30" i="14"/>
  <c r="V30" i="14"/>
  <c r="L31" i="14"/>
  <c r="M31" i="14"/>
  <c r="V31" i="14"/>
  <c r="L32" i="14"/>
  <c r="M32" i="14"/>
  <c r="V32" i="14"/>
  <c r="L36" i="14"/>
  <c r="M36" i="14"/>
  <c r="V36" i="14"/>
  <c r="L37" i="14"/>
  <c r="M37" i="14"/>
  <c r="V37" i="14"/>
  <c r="J38" i="14"/>
  <c r="K38" i="14"/>
  <c r="L38" i="14"/>
  <c r="M38" i="14"/>
  <c r="T38" i="14"/>
  <c r="U38" i="14"/>
  <c r="V38" i="14"/>
  <c r="L39" i="14"/>
  <c r="M39" i="14"/>
  <c r="V39" i="14"/>
  <c r="J40" i="14"/>
  <c r="K40" i="14"/>
  <c r="L40" i="14"/>
  <c r="M40" i="14"/>
  <c r="T40" i="14"/>
  <c r="U40" i="14"/>
  <c r="V40" i="14"/>
  <c r="J41" i="14"/>
  <c r="K41" i="14"/>
  <c r="L41" i="14"/>
  <c r="M41" i="14"/>
  <c r="T41" i="14"/>
  <c r="U41" i="14"/>
  <c r="V41" i="14"/>
  <c r="J42" i="14"/>
  <c r="K42" i="14"/>
  <c r="L42" i="14"/>
  <c r="M42" i="14"/>
  <c r="T42" i="14"/>
  <c r="U42" i="14"/>
  <c r="V42" i="14"/>
  <c r="L43" i="14"/>
  <c r="M43" i="14"/>
  <c r="V43" i="14"/>
  <c r="L44" i="14"/>
  <c r="M44" i="14"/>
  <c r="V44" i="14"/>
  <c r="L45" i="14"/>
  <c r="M45" i="14"/>
  <c r="V45" i="14"/>
  <c r="L46" i="14"/>
  <c r="M46" i="14"/>
  <c r="V46" i="14"/>
  <c r="J47" i="14"/>
  <c r="K47" i="14"/>
  <c r="L47" i="14"/>
  <c r="M47" i="14"/>
  <c r="T47" i="14"/>
  <c r="U47" i="14"/>
  <c r="V47" i="14"/>
  <c r="J48" i="14"/>
  <c r="K48" i="14"/>
  <c r="L48" i="14"/>
  <c r="M48" i="14"/>
  <c r="T48" i="14"/>
  <c r="U48" i="14"/>
  <c r="V48" i="14"/>
  <c r="J49" i="14"/>
  <c r="K49" i="14"/>
  <c r="L49" i="14"/>
  <c r="M49" i="14"/>
  <c r="T49" i="14"/>
  <c r="U49" i="14"/>
  <c r="V49" i="14"/>
  <c r="J50" i="14"/>
  <c r="K50" i="14"/>
  <c r="L50" i="14"/>
  <c r="M50" i="14"/>
  <c r="T50" i="14"/>
  <c r="U50" i="14"/>
  <c r="V50" i="14"/>
  <c r="J51" i="14"/>
  <c r="K51" i="14"/>
  <c r="L51" i="14"/>
  <c r="M51" i="14"/>
  <c r="T51" i="14"/>
  <c r="U51" i="14"/>
  <c r="V51" i="14"/>
  <c r="J52" i="14"/>
  <c r="K52" i="14"/>
  <c r="L52" i="14"/>
  <c r="M52" i="14"/>
  <c r="T52" i="14"/>
  <c r="U52" i="14"/>
  <c r="V52" i="14"/>
  <c r="J53" i="14"/>
  <c r="K53" i="14"/>
  <c r="L53" i="14"/>
  <c r="M53" i="14"/>
  <c r="T53" i="14"/>
  <c r="U53" i="14"/>
  <c r="V53" i="14"/>
  <c r="L54" i="14"/>
  <c r="M54" i="14"/>
  <c r="V54" i="14"/>
  <c r="L55" i="14"/>
  <c r="M55" i="14"/>
  <c r="V55" i="14"/>
  <c r="C60" i="14"/>
  <c r="C83" i="14"/>
  <c r="A1" i="4"/>
  <c r="U12" i="4"/>
  <c r="V12" i="4"/>
  <c r="W12" i="4"/>
  <c r="X12" i="4"/>
  <c r="AF12" i="4"/>
  <c r="AG12" i="4"/>
  <c r="AH12" i="4"/>
  <c r="D13" i="4"/>
  <c r="V13" i="4"/>
  <c r="W13" i="4"/>
  <c r="X13" i="4"/>
  <c r="AF13" i="4"/>
  <c r="AG13" i="4"/>
  <c r="AH13" i="4"/>
  <c r="U15" i="4"/>
  <c r="V15" i="4"/>
  <c r="W15" i="4"/>
  <c r="X15" i="4"/>
  <c r="AF15" i="4"/>
  <c r="AG15" i="4"/>
  <c r="AH15" i="4"/>
  <c r="V27" i="4"/>
  <c r="W27" i="4"/>
  <c r="X27" i="4"/>
  <c r="AF27" i="4"/>
  <c r="AG27" i="4"/>
  <c r="AH27" i="4"/>
  <c r="V28" i="4"/>
  <c r="W28" i="4"/>
  <c r="X28" i="4"/>
  <c r="AF28" i="4"/>
  <c r="AG28" i="4"/>
  <c r="AH28" i="4"/>
  <c r="V29" i="4"/>
  <c r="W29" i="4"/>
  <c r="X29" i="4"/>
  <c r="AF29" i="4"/>
  <c r="AG29" i="4"/>
  <c r="AH29" i="4"/>
  <c r="V35" i="4"/>
  <c r="W35" i="4"/>
  <c r="X35" i="4"/>
  <c r="AF35" i="4"/>
  <c r="AG35" i="4"/>
  <c r="AH35" i="4"/>
  <c r="V36" i="4"/>
  <c r="W36" i="4"/>
  <c r="X36" i="4"/>
  <c r="AF36" i="4"/>
  <c r="AG36" i="4"/>
  <c r="AH36" i="4"/>
  <c r="V37" i="4"/>
  <c r="W37" i="4"/>
  <c r="X37" i="4"/>
  <c r="AF37" i="4"/>
  <c r="AG37" i="4"/>
  <c r="AH37" i="4"/>
  <c r="V41" i="4"/>
  <c r="W41" i="4"/>
  <c r="X41" i="4"/>
  <c r="AF41" i="4"/>
  <c r="AG41" i="4"/>
  <c r="AH41" i="4"/>
  <c r="W42" i="4"/>
  <c r="X42" i="4"/>
  <c r="AG42" i="4"/>
  <c r="AH42" i="4"/>
  <c r="V46" i="4"/>
  <c r="W46" i="4"/>
  <c r="X46" i="4"/>
  <c r="AF46" i="4"/>
  <c r="AG46" i="4"/>
  <c r="AH46" i="4"/>
  <c r="V48" i="4"/>
  <c r="W48" i="4"/>
  <c r="X48" i="4"/>
  <c r="AF48" i="4"/>
  <c r="AG48" i="4"/>
  <c r="AH48" i="4"/>
  <c r="V51" i="4"/>
  <c r="W51" i="4"/>
  <c r="X51" i="4"/>
  <c r="AG51" i="4"/>
  <c r="AH51" i="4"/>
  <c r="V52" i="4"/>
  <c r="W52" i="4"/>
  <c r="X52" i="4"/>
  <c r="AF52" i="4"/>
  <c r="AG52" i="4"/>
  <c r="AH52" i="4"/>
  <c r="U53" i="4"/>
  <c r="V53" i="4"/>
  <c r="W53" i="4"/>
  <c r="X53" i="4"/>
  <c r="AF53" i="4"/>
  <c r="AG53" i="4"/>
  <c r="AH53" i="4"/>
  <c r="W56" i="4"/>
  <c r="X56" i="4"/>
  <c r="AG56" i="4"/>
  <c r="AH56" i="4"/>
  <c r="V57" i="4"/>
  <c r="W57" i="4"/>
  <c r="X57" i="4"/>
  <c r="AG57" i="4"/>
  <c r="AH57" i="4"/>
  <c r="V58" i="4"/>
  <c r="W58" i="4"/>
  <c r="X58" i="4"/>
  <c r="AG58" i="4"/>
  <c r="AH58" i="4"/>
  <c r="A1" i="3"/>
  <c r="V3" i="3"/>
  <c r="W3" i="3"/>
  <c r="X3" i="3"/>
  <c r="AF3" i="3"/>
  <c r="AG3" i="3"/>
  <c r="AH3" i="3"/>
  <c r="V4" i="3"/>
  <c r="W4" i="3"/>
  <c r="X4" i="3"/>
  <c r="AF4" i="3"/>
  <c r="AG4" i="3"/>
  <c r="AH4" i="3"/>
  <c r="V10" i="3"/>
  <c r="W10" i="3"/>
  <c r="X10" i="3"/>
  <c r="AF10" i="3"/>
  <c r="AG10" i="3"/>
  <c r="AH10" i="3"/>
  <c r="V11" i="3"/>
  <c r="W11" i="3"/>
  <c r="X11" i="3"/>
  <c r="AF11" i="3"/>
  <c r="V13" i="3"/>
  <c r="W13" i="3"/>
  <c r="X13" i="3"/>
  <c r="AF13" i="3"/>
  <c r="AG13" i="3"/>
  <c r="AH13" i="3"/>
  <c r="V16" i="3"/>
  <c r="W16" i="3"/>
  <c r="X16" i="3"/>
  <c r="AF16" i="3"/>
  <c r="AG16" i="3"/>
  <c r="AH16" i="3"/>
  <c r="V17" i="3"/>
  <c r="W17" i="3"/>
  <c r="X17" i="3"/>
  <c r="AF17" i="3"/>
  <c r="AG17" i="3"/>
  <c r="AH17" i="3"/>
  <c r="V18" i="3"/>
  <c r="W18" i="3"/>
  <c r="X18" i="3"/>
  <c r="AF18" i="3"/>
  <c r="AG18" i="3"/>
  <c r="AH18" i="3"/>
  <c r="V19" i="3"/>
  <c r="W19" i="3"/>
  <c r="X19" i="3"/>
  <c r="AF19" i="3"/>
  <c r="AG19" i="3"/>
  <c r="AH19" i="3"/>
  <c r="V20" i="3"/>
  <c r="W20" i="3"/>
  <c r="X20" i="3"/>
  <c r="AF20" i="3"/>
  <c r="AG20" i="3"/>
  <c r="AH20" i="3"/>
  <c r="V25" i="3"/>
  <c r="W25" i="3"/>
  <c r="X25" i="3"/>
  <c r="AF25" i="3"/>
  <c r="AG25" i="3"/>
  <c r="AH25" i="3"/>
  <c r="V30" i="3"/>
  <c r="W30" i="3"/>
  <c r="X30" i="3"/>
  <c r="AF30" i="3"/>
  <c r="AG30" i="3"/>
  <c r="AH30" i="3"/>
  <c r="V31" i="3"/>
  <c r="W31" i="3"/>
  <c r="X31" i="3"/>
  <c r="AF31" i="3"/>
  <c r="AG31" i="3"/>
  <c r="AH31" i="3"/>
  <c r="V32" i="3"/>
  <c r="W32" i="3"/>
  <c r="X32" i="3"/>
  <c r="AF32" i="3"/>
  <c r="AG32" i="3"/>
  <c r="AH32" i="3"/>
  <c r="V33" i="3"/>
  <c r="W33" i="3"/>
  <c r="X33" i="3"/>
  <c r="AF33" i="3"/>
  <c r="AG33" i="3"/>
  <c r="AH33" i="3"/>
  <c r="V35" i="3"/>
  <c r="W35" i="3"/>
  <c r="X35" i="3"/>
  <c r="AF35" i="3"/>
  <c r="AG35" i="3"/>
  <c r="AH35" i="3"/>
  <c r="V36" i="3"/>
  <c r="W36" i="3"/>
  <c r="X36" i="3"/>
  <c r="AF36" i="3"/>
  <c r="AG36" i="3"/>
  <c r="AH36" i="3"/>
  <c r="V39" i="3"/>
  <c r="W39" i="3"/>
  <c r="X39" i="3"/>
  <c r="AF39" i="3"/>
  <c r="AG39" i="3"/>
  <c r="AH39" i="3"/>
  <c r="V41" i="3"/>
  <c r="W41" i="3"/>
  <c r="X41" i="3"/>
  <c r="AF41" i="3"/>
  <c r="AG41" i="3"/>
  <c r="AH41" i="3"/>
  <c r="V42" i="3"/>
  <c r="W42" i="3"/>
  <c r="X42" i="3"/>
  <c r="AF42" i="3"/>
  <c r="AG42" i="3"/>
  <c r="AH42" i="3"/>
  <c r="V51" i="3"/>
  <c r="W51" i="3"/>
  <c r="X51" i="3"/>
  <c r="AF51" i="3"/>
  <c r="AG51" i="3"/>
  <c r="AH51" i="3"/>
  <c r="V52" i="3"/>
  <c r="W52" i="3"/>
  <c r="X52" i="3"/>
  <c r="AF52" i="3"/>
  <c r="AG52" i="3"/>
  <c r="AH52" i="3"/>
  <c r="V53" i="3"/>
  <c r="W53" i="3"/>
  <c r="X53" i="3"/>
  <c r="AF53" i="3"/>
  <c r="AG53" i="3"/>
  <c r="AH53" i="3"/>
  <c r="V54" i="3"/>
  <c r="W54" i="3"/>
  <c r="X54" i="3"/>
  <c r="AF54" i="3"/>
  <c r="AG54" i="3"/>
  <c r="AH54" i="3"/>
  <c r="V62" i="3"/>
  <c r="W62" i="3"/>
  <c r="X62" i="3"/>
  <c r="AF62" i="3"/>
  <c r="AG62" i="3"/>
  <c r="AH62" i="3"/>
  <c r="V64" i="3"/>
  <c r="W64" i="3"/>
  <c r="X64" i="3"/>
  <c r="AF64" i="3"/>
  <c r="AG64" i="3"/>
  <c r="AH64" i="3"/>
  <c r="V65" i="3"/>
  <c r="W65" i="3"/>
  <c r="X65" i="3"/>
  <c r="AF65" i="3"/>
  <c r="AG65" i="3"/>
  <c r="AH65" i="3"/>
  <c r="V66" i="3"/>
  <c r="W66" i="3"/>
  <c r="X66" i="3"/>
  <c r="AF66" i="3"/>
  <c r="T67" i="3"/>
  <c r="U67" i="3"/>
  <c r="V67" i="3"/>
  <c r="W67" i="3"/>
  <c r="X67" i="3"/>
  <c r="AE67" i="3"/>
  <c r="AF67" i="3"/>
  <c r="T69" i="3"/>
  <c r="U69" i="3"/>
  <c r="V69" i="3"/>
  <c r="W69" i="3"/>
  <c r="X69" i="3"/>
  <c r="AE69" i="3"/>
  <c r="AF69" i="3"/>
  <c r="AG69" i="3"/>
  <c r="AH69" i="3"/>
  <c r="V71" i="3"/>
  <c r="W71" i="3"/>
  <c r="X71" i="3"/>
  <c r="AF71" i="3"/>
  <c r="AG71" i="3"/>
  <c r="AH71" i="3"/>
  <c r="V88" i="3"/>
  <c r="W88" i="3"/>
  <c r="X88" i="3"/>
  <c r="AF88" i="3"/>
  <c r="AG88" i="3"/>
  <c r="AH88" i="3"/>
  <c r="V90" i="3"/>
  <c r="W90" i="3"/>
  <c r="X90" i="3"/>
  <c r="AF90" i="3"/>
  <c r="AG90" i="3"/>
  <c r="AH90" i="3"/>
  <c r="V91" i="3"/>
  <c r="W91" i="3"/>
  <c r="X91" i="3"/>
  <c r="AF91" i="3"/>
  <c r="AG91" i="3"/>
  <c r="AH91" i="3"/>
  <c r="V92" i="3"/>
  <c r="W92" i="3"/>
  <c r="X92" i="3"/>
  <c r="AF92" i="3"/>
  <c r="AG92" i="3"/>
  <c r="AH92" i="3"/>
  <c r="V96" i="3"/>
  <c r="W96" i="3"/>
  <c r="X96" i="3"/>
  <c r="AF96" i="3"/>
  <c r="AG96" i="3"/>
  <c r="AH96" i="3"/>
  <c r="V98" i="3"/>
  <c r="W98" i="3"/>
  <c r="X98" i="3"/>
  <c r="AF98" i="3"/>
  <c r="AG98" i="3"/>
  <c r="AH98" i="3"/>
  <c r="V102" i="3"/>
  <c r="W102" i="3"/>
  <c r="X102" i="3"/>
  <c r="AF102" i="3"/>
  <c r="V106" i="3"/>
  <c r="W106" i="3"/>
  <c r="X106" i="3"/>
  <c r="AF106" i="3"/>
  <c r="AG106" i="3"/>
  <c r="AH106" i="3"/>
  <c r="V108" i="3"/>
  <c r="W108" i="3"/>
  <c r="X108" i="3"/>
  <c r="AF108" i="3"/>
  <c r="AG108" i="3"/>
  <c r="AH108" i="3"/>
  <c r="V113" i="3"/>
  <c r="W113" i="3"/>
  <c r="X113" i="3"/>
  <c r="AF113" i="3"/>
  <c r="AG113" i="3"/>
  <c r="AH113" i="3"/>
  <c r="V119" i="3"/>
  <c r="W119" i="3"/>
  <c r="X119" i="3"/>
  <c r="AF119" i="3"/>
  <c r="AG119" i="3"/>
  <c r="AH119" i="3"/>
  <c r="V121" i="3"/>
  <c r="W121" i="3"/>
  <c r="X121" i="3"/>
  <c r="AF121" i="3"/>
  <c r="V122" i="3"/>
  <c r="W122" i="3"/>
  <c r="X122" i="3"/>
  <c r="AF122" i="3"/>
  <c r="AG122" i="3"/>
  <c r="AH122" i="3"/>
  <c r="V128" i="3"/>
  <c r="W128" i="3"/>
  <c r="X128" i="3"/>
  <c r="AF128" i="3"/>
  <c r="AG128" i="3"/>
  <c r="AH128" i="3"/>
  <c r="V136" i="3"/>
  <c r="W136" i="3"/>
  <c r="X136" i="3"/>
  <c r="AF136" i="3"/>
  <c r="AG136" i="3"/>
  <c r="AH136" i="3"/>
  <c r="V142" i="3"/>
  <c r="W142" i="3"/>
  <c r="X142" i="3"/>
  <c r="AF142" i="3"/>
  <c r="AG142" i="3"/>
  <c r="AH142" i="3"/>
  <c r="V146" i="3"/>
  <c r="W146" i="3"/>
  <c r="X146" i="3"/>
  <c r="AF146" i="3"/>
  <c r="AG146" i="3"/>
  <c r="AH146" i="3"/>
  <c r="V150" i="3"/>
  <c r="W150" i="3"/>
  <c r="X150" i="3"/>
  <c r="AF150" i="3"/>
  <c r="AG150" i="3"/>
  <c r="AH150" i="3"/>
  <c r="V151" i="3"/>
  <c r="W151" i="3"/>
  <c r="X151" i="3"/>
  <c r="AF151" i="3"/>
  <c r="AG151" i="3"/>
  <c r="AH151" i="3"/>
  <c r="V154" i="3"/>
  <c r="W154" i="3"/>
  <c r="X154" i="3"/>
  <c r="AF154" i="3"/>
  <c r="AG154" i="3"/>
  <c r="AH154" i="3"/>
  <c r="V156" i="3"/>
  <c r="W156" i="3"/>
  <c r="X156" i="3"/>
  <c r="AF156" i="3"/>
  <c r="AG156" i="3"/>
  <c r="AH156" i="3"/>
  <c r="V158" i="3"/>
  <c r="W158" i="3"/>
  <c r="X158" i="3"/>
  <c r="AF158" i="3"/>
  <c r="AG158" i="3"/>
  <c r="AH158" i="3"/>
  <c r="W162" i="3"/>
  <c r="X162" i="3"/>
  <c r="AG162" i="3"/>
  <c r="AH162" i="3"/>
  <c r="V164" i="3"/>
  <c r="W164" i="3"/>
  <c r="X164" i="3"/>
  <c r="AG164" i="3"/>
  <c r="AH164" i="3"/>
  <c r="V166" i="3"/>
  <c r="W166" i="3"/>
  <c r="X166" i="3"/>
  <c r="AF166" i="3"/>
  <c r="AG166" i="3"/>
  <c r="AH166" i="3"/>
  <c r="V169" i="3"/>
  <c r="W169" i="3"/>
  <c r="X169" i="3"/>
  <c r="AF169" i="3"/>
  <c r="AG169" i="3"/>
  <c r="AH169" i="3"/>
  <c r="AF172" i="3"/>
  <c r="AF177" i="3"/>
  <c r="AF178" i="3"/>
  <c r="AF179" i="3"/>
  <c r="AF181" i="3"/>
  <c r="AF182" i="3"/>
  <c r="AF183" i="3"/>
  <c r="AF184" i="3"/>
  <c r="V188" i="3"/>
  <c r="W188" i="3"/>
  <c r="X188" i="3"/>
  <c r="AF188" i="3"/>
  <c r="AG188" i="3"/>
  <c r="AH188" i="3"/>
  <c r="V190" i="3"/>
  <c r="W190" i="3"/>
  <c r="X190" i="3"/>
  <c r="AF190" i="3"/>
  <c r="AG190" i="3"/>
  <c r="AH190" i="3"/>
  <c r="V203" i="3"/>
  <c r="W203" i="3"/>
  <c r="X203" i="3"/>
  <c r="AF203" i="3"/>
  <c r="AG203" i="3"/>
  <c r="AH203" i="3"/>
  <c r="V204" i="3"/>
  <c r="W204" i="3"/>
  <c r="X204" i="3"/>
  <c r="AF204" i="3"/>
  <c r="AG204" i="3"/>
  <c r="AH204" i="3"/>
  <c r="V205" i="3"/>
  <c r="W205" i="3"/>
  <c r="X205" i="3"/>
  <c r="AF205" i="3"/>
  <c r="AG205" i="3"/>
  <c r="V206" i="3"/>
  <c r="W206" i="3"/>
  <c r="X206" i="3"/>
  <c r="AF206" i="3"/>
  <c r="AG206" i="3"/>
  <c r="AH206" i="3"/>
  <c r="V207" i="3"/>
  <c r="W207" i="3"/>
  <c r="X207" i="3"/>
  <c r="AF207" i="3"/>
  <c r="AG207" i="3"/>
  <c r="V208" i="3"/>
  <c r="W208" i="3"/>
  <c r="X208" i="3"/>
  <c r="AF208" i="3"/>
  <c r="AG208" i="3"/>
  <c r="AH208" i="3"/>
  <c r="V210" i="3"/>
  <c r="W210" i="3"/>
  <c r="X210" i="3"/>
  <c r="AF210" i="3"/>
  <c r="AG210" i="3"/>
  <c r="AH210" i="3"/>
  <c r="V211" i="3"/>
  <c r="W211" i="3"/>
  <c r="X211" i="3"/>
  <c r="AF211" i="3"/>
  <c r="AG211" i="3"/>
  <c r="AH211" i="3"/>
  <c r="V213" i="3"/>
  <c r="W213" i="3"/>
  <c r="X213" i="3"/>
  <c r="AF213" i="3"/>
  <c r="AG213" i="3"/>
  <c r="AH213" i="3"/>
  <c r="V220" i="3"/>
  <c r="W220" i="3"/>
  <c r="X220" i="3"/>
  <c r="AF220" i="3"/>
  <c r="AG220" i="3"/>
  <c r="AH220" i="3"/>
  <c r="V224" i="3"/>
  <c r="W224" i="3"/>
  <c r="X224" i="3"/>
  <c r="AF224" i="3"/>
  <c r="AG224" i="3"/>
  <c r="AH224" i="3"/>
  <c r="V225" i="3"/>
  <c r="W225" i="3"/>
  <c r="X225" i="3"/>
  <c r="AF225" i="3"/>
  <c r="AG225" i="3"/>
  <c r="AH225" i="3"/>
  <c r="V231" i="3"/>
  <c r="W231" i="3"/>
  <c r="X231" i="3"/>
  <c r="AF231" i="3"/>
  <c r="AG231" i="3"/>
  <c r="AH231" i="3"/>
  <c r="V235" i="3"/>
  <c r="W235" i="3"/>
  <c r="X235" i="3"/>
  <c r="AF235" i="3"/>
  <c r="AG235" i="3"/>
  <c r="AH235" i="3"/>
  <c r="W236" i="3"/>
  <c r="X236" i="3"/>
  <c r="AG236" i="3"/>
  <c r="AH236" i="3"/>
  <c r="V237" i="3"/>
  <c r="W237" i="3"/>
  <c r="X237" i="3"/>
  <c r="AF237" i="3"/>
  <c r="AG237" i="3"/>
  <c r="AH237" i="3"/>
  <c r="V239" i="3"/>
  <c r="W239" i="3"/>
  <c r="X239" i="3"/>
  <c r="AF239" i="3"/>
  <c r="AG239" i="3"/>
  <c r="AH239" i="3"/>
  <c r="W263" i="3"/>
  <c r="X263" i="3"/>
  <c r="AG263" i="3"/>
  <c r="AH263" i="3"/>
  <c r="V264" i="3"/>
  <c r="W264" i="3"/>
  <c r="X264" i="3"/>
  <c r="AF264" i="3"/>
  <c r="AG264" i="3"/>
  <c r="AH264" i="3"/>
  <c r="V274" i="3"/>
  <c r="W274" i="3"/>
  <c r="X274" i="3"/>
  <c r="AF274" i="3"/>
  <c r="AG274" i="3"/>
  <c r="AH274" i="3"/>
  <c r="W277" i="3"/>
  <c r="X277" i="3"/>
  <c r="AG277" i="3"/>
  <c r="AH277" i="3"/>
  <c r="V278" i="3"/>
  <c r="W278" i="3"/>
  <c r="X278" i="3"/>
  <c r="AF278" i="3"/>
  <c r="AG278" i="3"/>
  <c r="AH278" i="3"/>
  <c r="V283" i="3"/>
  <c r="W283" i="3"/>
  <c r="X283" i="3"/>
  <c r="AF283" i="3"/>
  <c r="AG283" i="3"/>
  <c r="AH283" i="3"/>
  <c r="A1" i="15"/>
  <c r="G52" i="15"/>
  <c r="H52" i="15"/>
  <c r="I52" i="15"/>
  <c r="G53" i="15"/>
  <c r="H53" i="15"/>
  <c r="I53" i="15"/>
  <c r="G54" i="15"/>
  <c r="H54" i="15"/>
  <c r="I54" i="15"/>
  <c r="D224" i="15" a="1"/>
  <c r="D224" i="15"/>
  <c r="E224" i="15"/>
  <c r="F224" i="15"/>
  <c r="G224" i="15"/>
  <c r="H224" i="15" a="1"/>
  <c r="H224" i="15"/>
  <c r="I224" i="15"/>
  <c r="J224" i="15"/>
  <c r="K224" i="15"/>
  <c r="L224" i="15" a="1"/>
  <c r="L224" i="15"/>
  <c r="M224" i="15"/>
  <c r="N224" i="15"/>
  <c r="O224" i="15"/>
  <c r="AF224" i="15" a="1"/>
  <c r="AF224" i="15"/>
  <c r="AG224" i="15"/>
  <c r="AH224" i="15"/>
  <c r="AI224" i="15"/>
  <c r="D225" i="15" a="1"/>
  <c r="D225" i="15"/>
  <c r="E225" i="15"/>
  <c r="F225" i="15"/>
  <c r="G225" i="15"/>
  <c r="H225" i="15" a="1"/>
  <c r="H225" i="15"/>
  <c r="I225" i="15"/>
  <c r="J225" i="15"/>
  <c r="K225" i="15"/>
  <c r="L225" i="15" a="1"/>
  <c r="L225" i="15"/>
  <c r="M225" i="15"/>
  <c r="N225" i="15"/>
  <c r="O225" i="15"/>
  <c r="AF225" i="15" a="1"/>
  <c r="AF225" i="15"/>
  <c r="AG225" i="15"/>
  <c r="AH225" i="15"/>
  <c r="AI225" i="15"/>
  <c r="D226" i="15" a="1"/>
  <c r="D226" i="15"/>
  <c r="E226" i="15"/>
  <c r="F226" i="15"/>
  <c r="G226" i="15"/>
  <c r="H226" i="15" a="1"/>
  <c r="H226" i="15"/>
  <c r="I226" i="15"/>
  <c r="J226" i="15"/>
  <c r="K226" i="15"/>
  <c r="L226" i="15" a="1"/>
  <c r="L226" i="15"/>
  <c r="M226" i="15"/>
  <c r="N226" i="15"/>
  <c r="O226" i="15"/>
  <c r="AF226" i="15" a="1"/>
  <c r="AF226" i="15"/>
  <c r="AG226" i="15"/>
  <c r="AH226" i="15"/>
  <c r="AI226" i="15"/>
  <c r="D228" i="15"/>
  <c r="E228" i="15"/>
  <c r="F228" i="15"/>
  <c r="G228" i="15"/>
  <c r="H228" i="15"/>
  <c r="I228" i="15"/>
  <c r="J228" i="15"/>
  <c r="K228" i="15"/>
  <c r="L228" i="15"/>
  <c r="M228" i="15"/>
  <c r="N228" i="15"/>
  <c r="O228" i="15"/>
  <c r="AF228" i="15"/>
  <c r="AG228" i="15"/>
  <c r="AH228" i="15"/>
  <c r="AI228" i="15"/>
  <c r="D229" i="15"/>
  <c r="E229" i="15"/>
  <c r="F229" i="15"/>
  <c r="G229" i="15"/>
  <c r="H229" i="15"/>
  <c r="I229" i="15"/>
  <c r="J229" i="15"/>
  <c r="K229" i="15"/>
  <c r="L229" i="15"/>
  <c r="M229" i="15"/>
  <c r="N229" i="15"/>
  <c r="O229" i="15"/>
  <c r="AF229" i="15"/>
  <c r="AG229" i="15"/>
  <c r="AH229" i="15"/>
  <c r="AI229" i="15"/>
  <c r="D234" i="15" a="1"/>
  <c r="D234" i="15"/>
  <c r="F234" i="15"/>
  <c r="G234" i="15"/>
  <c r="H234" i="15" a="1"/>
  <c r="H234" i="15"/>
  <c r="I234" i="15"/>
  <c r="J234" i="15"/>
  <c r="K234" i="15"/>
  <c r="L234" i="15" a="1"/>
  <c r="L234" i="15"/>
  <c r="M234" i="15"/>
  <c r="N234" i="15"/>
  <c r="O234" i="15"/>
  <c r="P234" i="15" a="1"/>
  <c r="P234" i="15"/>
  <c r="Q234" i="15"/>
  <c r="R234" i="15"/>
  <c r="S234" i="15"/>
  <c r="D235" i="15" a="1"/>
  <c r="D235" i="15"/>
  <c r="E235" i="15"/>
  <c r="F235" i="15"/>
  <c r="G235" i="15"/>
  <c r="H235" i="15" a="1"/>
  <c r="H235" i="15"/>
  <c r="I235" i="15"/>
  <c r="J235" i="15"/>
  <c r="K235" i="15"/>
  <c r="L235" i="15" a="1"/>
  <c r="L235" i="15"/>
  <c r="M235" i="15"/>
  <c r="N235" i="15"/>
  <c r="O235" i="15"/>
  <c r="P235" i="15" a="1"/>
  <c r="P235" i="15"/>
  <c r="Q235" i="15"/>
  <c r="R235" i="15"/>
  <c r="S235" i="15"/>
  <c r="D236" i="15" a="1"/>
  <c r="D236" i="15"/>
  <c r="E236" i="15"/>
  <c r="F236" i="15"/>
  <c r="G236" i="15"/>
  <c r="H236" i="15" a="1"/>
  <c r="H236" i="15"/>
  <c r="I236" i="15"/>
  <c r="J236" i="15"/>
  <c r="K236" i="15"/>
  <c r="L236" i="15" a="1"/>
  <c r="L236" i="15"/>
  <c r="M236" i="15"/>
  <c r="N236" i="15"/>
  <c r="O236" i="15"/>
  <c r="P236" i="15" a="1"/>
  <c r="P236" i="15"/>
  <c r="Q236" i="15"/>
  <c r="R236" i="15"/>
  <c r="S236" i="15"/>
  <c r="D237" i="15" a="1"/>
  <c r="D237" i="15"/>
  <c r="E237" i="15"/>
  <c r="F237" i="15"/>
  <c r="G237" i="15"/>
  <c r="H237" i="15" a="1"/>
  <c r="H237" i="15"/>
  <c r="I237" i="15"/>
  <c r="J237" i="15"/>
  <c r="K237" i="15"/>
  <c r="L237" i="15" a="1"/>
  <c r="L237" i="15"/>
  <c r="M237" i="15"/>
  <c r="N237" i="15"/>
  <c r="O237" i="15"/>
  <c r="P237" i="15" a="1"/>
  <c r="P237" i="15"/>
  <c r="Q237" i="15"/>
  <c r="R237" i="15"/>
  <c r="S237" i="15"/>
  <c r="D238" i="15" a="1"/>
  <c r="D238" i="15"/>
  <c r="E238" i="15"/>
  <c r="F238" i="15"/>
  <c r="G238" i="15"/>
  <c r="H238" i="15" a="1"/>
  <c r="H238" i="15"/>
  <c r="I238" i="15"/>
  <c r="J238" i="15"/>
  <c r="K238" i="15"/>
  <c r="L238" i="15" a="1"/>
  <c r="L238" i="15"/>
  <c r="M238" i="15"/>
  <c r="N238" i="15"/>
  <c r="O238" i="15"/>
  <c r="P238" i="15" a="1"/>
  <c r="P238" i="15"/>
  <c r="Q238" i="15"/>
  <c r="R238" i="15"/>
  <c r="S238" i="15"/>
  <c r="D240" i="15"/>
  <c r="E240" i="15"/>
  <c r="F240" i="15"/>
  <c r="G240" i="15"/>
  <c r="H240" i="15"/>
  <c r="I240" i="15"/>
  <c r="J240" i="15"/>
  <c r="K240" i="15"/>
  <c r="L240" i="15"/>
  <c r="M240" i="15"/>
  <c r="N240" i="15"/>
  <c r="O240" i="15"/>
  <c r="P240" i="15"/>
  <c r="Q240" i="15"/>
  <c r="R240" i="15"/>
  <c r="S240" i="15"/>
  <c r="D241" i="15"/>
  <c r="E241" i="15"/>
  <c r="F241" i="15"/>
  <c r="G241" i="15"/>
  <c r="H241" i="15"/>
  <c r="I241" i="15"/>
  <c r="J241" i="15"/>
  <c r="K241" i="15"/>
  <c r="L241" i="15"/>
  <c r="M241" i="15"/>
  <c r="N241" i="15"/>
  <c r="O241" i="15"/>
  <c r="P241" i="15"/>
  <c r="Q241" i="15"/>
  <c r="R241" i="15"/>
  <c r="S241" i="15"/>
  <c r="D242" i="15"/>
  <c r="E242" i="15"/>
  <c r="F242" i="15"/>
  <c r="G242" i="15"/>
  <c r="H242" i="15"/>
  <c r="I242" i="15"/>
  <c r="J242" i="15"/>
  <c r="K242" i="15"/>
  <c r="L242" i="15"/>
  <c r="M242" i="15"/>
  <c r="N242" i="15"/>
  <c r="O242" i="15"/>
  <c r="P242" i="15"/>
  <c r="Q242" i="15"/>
  <c r="R242" i="15"/>
  <c r="S242" i="15"/>
  <c r="D243" i="15"/>
  <c r="E243" i="15"/>
  <c r="F243" i="15"/>
  <c r="G243" i="15"/>
  <c r="H243" i="15"/>
  <c r="I243" i="15"/>
  <c r="J243" i="15"/>
  <c r="K243" i="15"/>
  <c r="L243" i="15"/>
  <c r="M243" i="15"/>
  <c r="N243" i="15"/>
  <c r="O243" i="15"/>
  <c r="P243" i="15"/>
  <c r="Q243" i="15"/>
  <c r="R243" i="15"/>
  <c r="S243" i="15"/>
  <c r="D2" i="13"/>
  <c r="W2" i="13"/>
  <c r="M3" i="13"/>
  <c r="W3" i="13"/>
  <c r="I4" i="13"/>
  <c r="M4" i="13"/>
  <c r="W4" i="13"/>
  <c r="M5" i="13"/>
  <c r="W5" i="13"/>
  <c r="C8" i="13"/>
  <c r="E8" i="13"/>
  <c r="F8" i="13"/>
  <c r="G8" i="13"/>
  <c r="H8" i="13"/>
  <c r="I8" i="13"/>
  <c r="J8" i="13"/>
  <c r="L8" i="13"/>
  <c r="N9" i="13"/>
  <c r="O9" i="13"/>
  <c r="N10" i="13"/>
  <c r="O10" i="13"/>
  <c r="J28" i="13"/>
  <c r="K28" i="13"/>
  <c r="M28" i="13"/>
  <c r="N28" i="13"/>
  <c r="P28" i="13"/>
  <c r="D29" i="13"/>
  <c r="E29" i="13"/>
  <c r="F29" i="13"/>
  <c r="G29" i="13"/>
  <c r="H29" i="13"/>
  <c r="I29" i="13"/>
  <c r="J29" i="13"/>
  <c r="K29" i="13"/>
  <c r="L29" i="13"/>
  <c r="M29" i="13"/>
  <c r="N29" i="13"/>
  <c r="O29" i="13"/>
  <c r="P29" i="13"/>
  <c r="E30" i="13"/>
  <c r="F30" i="13"/>
  <c r="G30" i="13"/>
  <c r="H30" i="13"/>
  <c r="I30" i="13"/>
  <c r="J30" i="13"/>
  <c r="K30" i="13"/>
  <c r="L30" i="13"/>
  <c r="M30" i="13"/>
  <c r="N30" i="13"/>
  <c r="O30" i="13"/>
  <c r="P30" i="13"/>
  <c r="J31" i="13"/>
  <c r="K31" i="13"/>
  <c r="N31" i="13"/>
  <c r="E32" i="13"/>
  <c r="J32" i="13"/>
  <c r="K32" i="13"/>
  <c r="L32" i="13"/>
  <c r="N32" i="13"/>
  <c r="O32" i="13"/>
  <c r="J33" i="13"/>
  <c r="K33" i="13"/>
  <c r="N33" i="13"/>
  <c r="W33" i="13"/>
  <c r="E34" i="13"/>
  <c r="J34" i="13"/>
  <c r="K34" i="13"/>
  <c r="L34" i="13"/>
  <c r="N34" i="13"/>
  <c r="O34" i="13"/>
  <c r="E35" i="13"/>
  <c r="J35" i="13"/>
  <c r="K35" i="13"/>
  <c r="L35" i="13"/>
  <c r="N35" i="13"/>
  <c r="O35" i="13"/>
  <c r="E36" i="13"/>
  <c r="J43" i="13"/>
  <c r="K43" i="13"/>
  <c r="P43" i="13"/>
  <c r="J44" i="13"/>
  <c r="K44" i="13"/>
  <c r="P44" i="13"/>
  <c r="H45" i="13"/>
  <c r="I45" i="13"/>
  <c r="J45" i="13"/>
  <c r="K45" i="13"/>
  <c r="N45" i="13"/>
  <c r="O45" i="13"/>
  <c r="P45" i="13"/>
  <c r="J46" i="13"/>
  <c r="K46" i="13"/>
  <c r="P46" i="13"/>
  <c r="H47" i="13"/>
  <c r="I47" i="13"/>
  <c r="J47" i="13"/>
  <c r="K47" i="13"/>
  <c r="N47" i="13"/>
  <c r="O47" i="13"/>
  <c r="P47" i="13"/>
  <c r="H48" i="13"/>
  <c r="I48" i="13"/>
  <c r="J48" i="13"/>
  <c r="K48" i="13"/>
  <c r="N48" i="13"/>
  <c r="O48" i="13"/>
  <c r="P48" i="13"/>
  <c r="H49" i="13"/>
  <c r="I49" i="13"/>
  <c r="J49" i="13"/>
  <c r="K49" i="13"/>
  <c r="N49" i="13"/>
  <c r="O49" i="13"/>
  <c r="P49" i="13"/>
  <c r="J50" i="13"/>
  <c r="K50" i="13"/>
  <c r="P50" i="13"/>
  <c r="J51" i="13"/>
  <c r="K51" i="13"/>
  <c r="P51" i="13"/>
  <c r="J52" i="13"/>
  <c r="K52" i="13"/>
  <c r="P52" i="13"/>
  <c r="J53" i="13"/>
  <c r="K53" i="13"/>
  <c r="P53" i="13"/>
  <c r="H54" i="13"/>
  <c r="I54" i="13"/>
  <c r="J54" i="13"/>
  <c r="K54" i="13"/>
  <c r="N54" i="13"/>
  <c r="O54" i="13"/>
  <c r="P54" i="13"/>
  <c r="H55" i="13"/>
  <c r="I55" i="13"/>
  <c r="J55" i="13"/>
  <c r="K55" i="13"/>
  <c r="N55" i="13"/>
  <c r="O55" i="13"/>
  <c r="P55" i="13"/>
  <c r="H56" i="13"/>
  <c r="I56" i="13"/>
  <c r="J56" i="13"/>
  <c r="K56" i="13"/>
  <c r="N56" i="13"/>
  <c r="O56" i="13"/>
  <c r="P56" i="13"/>
  <c r="H57" i="13"/>
  <c r="I57" i="13"/>
  <c r="J57" i="13"/>
  <c r="K57" i="13"/>
  <c r="N57" i="13"/>
  <c r="O57" i="13"/>
  <c r="P57" i="13"/>
  <c r="H58" i="13"/>
  <c r="I58" i="13"/>
  <c r="J58" i="13"/>
  <c r="K58" i="13"/>
  <c r="N58" i="13"/>
  <c r="O58" i="13"/>
  <c r="P58" i="13"/>
  <c r="AA58" i="13"/>
  <c r="AB58" i="13"/>
  <c r="H59" i="13"/>
  <c r="I59" i="13"/>
  <c r="J59" i="13"/>
  <c r="K59" i="13"/>
  <c r="N59" i="13"/>
  <c r="O59" i="13"/>
  <c r="P59" i="13"/>
  <c r="AA59" i="13"/>
  <c r="AB59" i="13"/>
  <c r="H60" i="13"/>
  <c r="I60" i="13"/>
  <c r="J60" i="13"/>
  <c r="K60" i="13"/>
  <c r="N60" i="13"/>
  <c r="O60" i="13"/>
  <c r="P60" i="13"/>
  <c r="R60" i="13"/>
  <c r="S60" i="13"/>
  <c r="T60" i="13"/>
  <c r="X60" i="13"/>
  <c r="AA60" i="13"/>
  <c r="AB60" i="13"/>
  <c r="J61" i="13"/>
  <c r="K61" i="13"/>
  <c r="P61" i="13"/>
  <c r="R61" i="13"/>
  <c r="S61" i="13"/>
  <c r="T61" i="13"/>
  <c r="U61" i="13"/>
  <c r="X61" i="13"/>
  <c r="AA61" i="13"/>
  <c r="AB61" i="13"/>
  <c r="J62" i="13"/>
  <c r="K62" i="13"/>
  <c r="P62" i="13"/>
  <c r="R62" i="13"/>
  <c r="S62" i="13"/>
  <c r="T62" i="13"/>
  <c r="X62" i="13"/>
  <c r="AA62" i="13"/>
  <c r="AB62" i="13"/>
  <c r="R63" i="13"/>
  <c r="S63" i="13"/>
  <c r="T63" i="13"/>
  <c r="X63" i="13"/>
  <c r="AA63" i="13"/>
  <c r="AB63" i="13"/>
  <c r="R64" i="13"/>
  <c r="S64" i="13"/>
  <c r="T64" i="13"/>
  <c r="X64" i="13"/>
  <c r="AA64" i="13"/>
  <c r="AB64" i="13"/>
  <c r="R65" i="13"/>
  <c r="S65" i="13"/>
  <c r="T65" i="13"/>
  <c r="X65" i="13"/>
  <c r="AA65" i="13"/>
  <c r="AB65" i="13"/>
  <c r="R66" i="13"/>
  <c r="S66" i="13"/>
  <c r="T66" i="13"/>
  <c r="X66" i="13"/>
  <c r="AA66" i="13"/>
  <c r="AB66" i="13"/>
  <c r="R67" i="13"/>
  <c r="S67" i="13"/>
  <c r="T67" i="13"/>
  <c r="AA67" i="13"/>
  <c r="AB67" i="13"/>
  <c r="AA68" i="13"/>
  <c r="AB68" i="13"/>
  <c r="AA69" i="13"/>
  <c r="AB69" i="13"/>
  <c r="AA70" i="13"/>
  <c r="AB70" i="13"/>
  <c r="AA71" i="13"/>
  <c r="AB71" i="13"/>
  <c r="AA72" i="13"/>
  <c r="AB72" i="13"/>
  <c r="AA73" i="13"/>
  <c r="AB73" i="13"/>
  <c r="AA74" i="13"/>
  <c r="AB74" i="13"/>
  <c r="AA75" i="13"/>
  <c r="AB75" i="13"/>
  <c r="D77" i="13"/>
  <c r="E77" i="13"/>
  <c r="F77" i="13"/>
  <c r="G77" i="13"/>
  <c r="H77" i="13"/>
  <c r="I77" i="13"/>
  <c r="J77" i="13"/>
  <c r="K77" i="13"/>
  <c r="L77" i="13"/>
  <c r="M77" i="13"/>
  <c r="N77" i="13" a="1"/>
  <c r="N77" i="13"/>
  <c r="O77" i="13" a="1"/>
  <c r="O77" i="13"/>
  <c r="P77" i="13" a="1"/>
  <c r="P77" i="13"/>
  <c r="Q77" i="13"/>
  <c r="R77" i="13" a="1"/>
  <c r="R77" i="13"/>
  <c r="S77" i="13" a="1"/>
  <c r="S77" i="13"/>
  <c r="T77" i="13" a="1"/>
  <c r="T77" i="13"/>
  <c r="U77" i="13" a="1"/>
  <c r="U77" i="13"/>
  <c r="V77" i="13"/>
  <c r="W77" i="13" a="1"/>
  <c r="W77" i="13"/>
  <c r="A1" i="29"/>
  <c r="C2" i="31"/>
  <c r="T2" i="31"/>
  <c r="T3" i="31"/>
  <c r="D4" i="31"/>
  <c r="T4" i="31"/>
  <c r="T5" i="31"/>
  <c r="A1" i="28"/>
  <c r="AF3" i="28"/>
  <c r="AG3" i="28"/>
  <c r="AH3" i="28"/>
  <c r="AF4" i="28"/>
  <c r="AG4" i="28"/>
  <c r="AH4" i="28"/>
  <c r="V10" i="28"/>
  <c r="W10" i="28"/>
  <c r="X10" i="28"/>
  <c r="AF10" i="28"/>
  <c r="AG10" i="28"/>
  <c r="AH10" i="28"/>
  <c r="T11" i="28"/>
  <c r="U11" i="28"/>
  <c r="AE11" i="28"/>
  <c r="AF11" i="28"/>
  <c r="T12" i="28"/>
  <c r="U12" i="28"/>
  <c r="V12" i="28"/>
  <c r="W12" i="28"/>
  <c r="X12" i="28"/>
  <c r="AE12" i="28"/>
  <c r="AF12" i="28"/>
  <c r="AG12" i="28"/>
  <c r="AH12" i="28"/>
  <c r="V14" i="28"/>
  <c r="W14" i="28"/>
  <c r="X14" i="28"/>
  <c r="AF14" i="28"/>
  <c r="AG14" i="28"/>
  <c r="AH14" i="28"/>
  <c r="V15" i="28"/>
  <c r="W15" i="28"/>
  <c r="X15" i="28"/>
  <c r="AF15" i="28"/>
  <c r="AG15" i="28"/>
  <c r="AH15" i="28"/>
  <c r="V17" i="28"/>
  <c r="W17" i="28"/>
  <c r="X17" i="28"/>
  <c r="AF17" i="28"/>
  <c r="AG17" i="28"/>
  <c r="AH17" i="28"/>
  <c r="V18" i="28"/>
  <c r="W18" i="28"/>
  <c r="X18" i="28"/>
  <c r="AF18" i="28"/>
  <c r="AG18" i="28"/>
  <c r="AH18" i="28"/>
  <c r="V19" i="28"/>
  <c r="W19" i="28"/>
  <c r="X19" i="28"/>
  <c r="AF19" i="28"/>
  <c r="AG19" i="28"/>
  <c r="AH19" i="28"/>
  <c r="T20" i="28"/>
  <c r="U20" i="28"/>
  <c r="V20" i="28"/>
  <c r="W20" i="28"/>
  <c r="X20" i="28"/>
  <c r="AE20" i="28"/>
  <c r="AF20" i="28"/>
  <c r="AG20" i="28"/>
  <c r="AH20" i="28"/>
  <c r="V23" i="28"/>
  <c r="W23" i="28"/>
  <c r="X23" i="28"/>
  <c r="AF23" i="28"/>
  <c r="AG23" i="28"/>
  <c r="AH23" i="28"/>
  <c r="V24" i="28"/>
  <c r="W24" i="28"/>
  <c r="X24" i="28"/>
  <c r="AF24" i="28"/>
  <c r="AG24" i="28"/>
  <c r="AH24" i="28"/>
  <c r="V25" i="28"/>
  <c r="W25" i="28"/>
  <c r="X25" i="28"/>
  <c r="AF25" i="28"/>
  <c r="AG25" i="28"/>
  <c r="AH25" i="28"/>
  <c r="V26" i="28"/>
  <c r="W26" i="28"/>
  <c r="X26" i="28"/>
  <c r="AF26" i="28"/>
  <c r="AG26" i="28"/>
  <c r="AH26" i="28"/>
  <c r="T27" i="28"/>
  <c r="U27" i="28"/>
  <c r="V27" i="28"/>
  <c r="W27" i="28"/>
  <c r="X27" i="28"/>
  <c r="AE27" i="28"/>
  <c r="AF27" i="28"/>
  <c r="AG27" i="28"/>
  <c r="AH27" i="28"/>
  <c r="T28" i="28"/>
  <c r="U28" i="28"/>
  <c r="V28" i="28"/>
  <c r="W28" i="28"/>
  <c r="X28" i="28"/>
  <c r="AE28" i="28"/>
  <c r="AF28" i="28"/>
  <c r="AG28" i="28"/>
  <c r="AH28" i="28"/>
  <c r="V30" i="28"/>
  <c r="W30" i="28"/>
  <c r="X30" i="28"/>
  <c r="AF30" i="28"/>
  <c r="AG30" i="28"/>
  <c r="AH30" i="28"/>
  <c r="V31" i="28"/>
  <c r="W31" i="28"/>
  <c r="X31" i="28"/>
  <c r="AF31" i="28"/>
  <c r="AG31" i="28"/>
  <c r="AH31" i="28"/>
  <c r="V32" i="28"/>
  <c r="W32" i="28"/>
  <c r="X32" i="28"/>
  <c r="AF32" i="28"/>
  <c r="AG32" i="28"/>
  <c r="AH32" i="28"/>
  <c r="T33" i="28"/>
  <c r="U33" i="28"/>
  <c r="V33" i="28"/>
  <c r="W33" i="28"/>
  <c r="X33" i="28"/>
  <c r="AE33" i="28"/>
  <c r="AF33" i="28"/>
  <c r="AG33" i="28"/>
  <c r="AH33" i="28"/>
  <c r="V35" i="28"/>
  <c r="W35" i="28"/>
  <c r="X35" i="28"/>
  <c r="AF35" i="28"/>
  <c r="AG35" i="28"/>
  <c r="AH35" i="28"/>
  <c r="T36" i="28"/>
  <c r="U36" i="28"/>
  <c r="AE36" i="28"/>
  <c r="AF36" i="28"/>
  <c r="T37" i="28"/>
  <c r="U37" i="28"/>
  <c r="V37" i="28"/>
  <c r="W37" i="28"/>
  <c r="X37" i="28"/>
  <c r="AE37" i="28"/>
  <c r="AF37" i="28"/>
  <c r="AG37" i="28"/>
  <c r="AH37" i="28"/>
  <c r="T40" i="28"/>
  <c r="U40" i="28"/>
  <c r="V40" i="28"/>
  <c r="W40" i="28"/>
  <c r="X40" i="28"/>
  <c r="AE40" i="28"/>
  <c r="AF40" i="28"/>
  <c r="AG40" i="28"/>
  <c r="AH40" i="28"/>
  <c r="V42" i="28"/>
  <c r="W42" i="28"/>
  <c r="X42" i="28"/>
  <c r="AF42" i="28"/>
  <c r="AG42" i="28"/>
  <c r="AH42" i="28"/>
  <c r="AK42" i="28"/>
  <c r="AL42" i="28"/>
  <c r="AM42" i="28"/>
  <c r="AN42" i="28"/>
  <c r="AO42" i="28"/>
  <c r="V43" i="28"/>
  <c r="W43" i="28"/>
  <c r="X43" i="28"/>
  <c r="AF43" i="28"/>
  <c r="AG43" i="28"/>
  <c r="AH43" i="28"/>
  <c r="V46" i="28"/>
  <c r="W46" i="28"/>
  <c r="X46" i="28"/>
  <c r="AF46" i="28"/>
  <c r="AG46" i="28"/>
  <c r="AH46" i="28"/>
  <c r="AK47" i="28"/>
  <c r="AL47" i="28"/>
  <c r="AM47" i="28"/>
  <c r="AN47" i="28"/>
  <c r="AO47" i="28"/>
  <c r="V48" i="28"/>
  <c r="W48" i="28"/>
  <c r="X48" i="28"/>
  <c r="AF48" i="28"/>
  <c r="AK48" i="28"/>
  <c r="AL48" i="28"/>
  <c r="AM48" i="28"/>
  <c r="AN48" i="28"/>
  <c r="AO48" i="28"/>
  <c r="V49" i="28"/>
  <c r="W49" i="28"/>
  <c r="X49" i="28"/>
  <c r="AF49" i="28"/>
  <c r="AG49" i="28"/>
  <c r="AH49" i="28"/>
  <c r="V50" i="28"/>
  <c r="W50" i="28"/>
  <c r="X50" i="28"/>
  <c r="AF50" i="28"/>
  <c r="AG50" i="28"/>
  <c r="AH50" i="28"/>
  <c r="V51" i="28"/>
  <c r="W51" i="28"/>
  <c r="X51" i="28"/>
  <c r="AF51" i="28"/>
  <c r="AG51" i="28"/>
  <c r="AH51" i="28"/>
  <c r="V52" i="28"/>
  <c r="W52" i="28"/>
  <c r="X52" i="28"/>
  <c r="AF52" i="28"/>
  <c r="AG52" i="28"/>
  <c r="AH52" i="28"/>
  <c r="V54" i="28"/>
  <c r="W54" i="28"/>
  <c r="X54" i="28"/>
  <c r="AF54" i="28"/>
  <c r="AG54" i="28"/>
  <c r="AH54" i="28"/>
  <c r="V56" i="28"/>
  <c r="W56" i="28"/>
  <c r="X56" i="28"/>
  <c r="AF56" i="28"/>
  <c r="AG56" i="28"/>
  <c r="AH56" i="28"/>
  <c r="V57" i="28"/>
  <c r="W57" i="28"/>
  <c r="X57" i="28"/>
  <c r="AF57" i="28"/>
  <c r="T58" i="28"/>
  <c r="U58" i="28"/>
  <c r="V58" i="28"/>
  <c r="W58" i="28"/>
  <c r="X58" i="28"/>
  <c r="AE58" i="28"/>
  <c r="AF58" i="28"/>
  <c r="AG58" i="28"/>
  <c r="AH58" i="28"/>
  <c r="T59" i="28"/>
  <c r="U59" i="28"/>
  <c r="V59" i="28"/>
  <c r="W59" i="28"/>
  <c r="X59" i="28"/>
  <c r="AE59" i="28"/>
  <c r="AF59" i="28"/>
  <c r="AG59" i="28"/>
  <c r="AH59" i="28"/>
  <c r="V60" i="28"/>
  <c r="W60" i="28"/>
  <c r="X60" i="28"/>
  <c r="AF60" i="28"/>
  <c r="AG60" i="28"/>
  <c r="AH60" i="28"/>
  <c r="V61" i="28"/>
  <c r="W61" i="28"/>
  <c r="X61" i="28"/>
  <c r="AF61" i="28"/>
  <c r="AG61" i="28"/>
  <c r="AH61" i="28"/>
  <c r="V65" i="28"/>
  <c r="W65" i="28"/>
  <c r="X65" i="28"/>
  <c r="AF65" i="28"/>
  <c r="AG65" i="28"/>
  <c r="AH65" i="28"/>
  <c r="V67" i="28"/>
  <c r="W67" i="28"/>
  <c r="X67" i="28"/>
  <c r="AF67" i="28"/>
  <c r="AG67" i="28"/>
  <c r="AH67" i="28"/>
  <c r="T68" i="28"/>
  <c r="U68" i="28"/>
  <c r="V68" i="28"/>
  <c r="W68" i="28"/>
  <c r="X68" i="28"/>
  <c r="AE68" i="28"/>
  <c r="AF68" i="28"/>
  <c r="AG68" i="28"/>
  <c r="AH68" i="28"/>
  <c r="T69" i="28"/>
  <c r="U69" i="28"/>
  <c r="V69" i="28"/>
  <c r="W69" i="28"/>
  <c r="X69" i="28"/>
  <c r="AE69" i="28"/>
  <c r="AF69" i="28"/>
  <c r="AG69" i="28"/>
  <c r="AH69" i="28"/>
  <c r="V71" i="28"/>
  <c r="W71" i="28"/>
  <c r="X71" i="28"/>
  <c r="AF71" i="28"/>
  <c r="AG71" i="28"/>
  <c r="AH71" i="28"/>
  <c r="AF72" i="28"/>
  <c r="V73" i="28"/>
  <c r="W73" i="28"/>
  <c r="X73" i="28"/>
  <c r="AF73" i="28"/>
  <c r="AG73" i="28"/>
  <c r="AH73" i="28"/>
  <c r="AF74" i="28"/>
  <c r="AG74" i="28"/>
  <c r="AH74" i="28"/>
  <c r="AF75" i="28"/>
  <c r="AF76" i="28"/>
  <c r="T77" i="28"/>
  <c r="U77" i="28"/>
  <c r="V77" i="28"/>
  <c r="W77" i="28"/>
  <c r="X77" i="28"/>
  <c r="AE77" i="28"/>
  <c r="AF77" i="28"/>
  <c r="AG77" i="28"/>
  <c r="AH77" i="28"/>
  <c r="V79" i="28"/>
  <c r="W79" i="28"/>
  <c r="X79" i="28"/>
  <c r="AF79" i="28"/>
  <c r="AG79" i="28"/>
  <c r="AH79" i="28"/>
  <c r="AF80" i="28"/>
  <c r="AF81" i="28"/>
  <c r="AG81" i="28"/>
  <c r="AH81" i="28"/>
  <c r="AF82" i="28"/>
  <c r="AG82" i="28"/>
  <c r="AH82" i="28"/>
  <c r="AF83" i="28"/>
  <c r="T84" i="28"/>
  <c r="U84" i="28"/>
  <c r="AE84" i="28"/>
  <c r="AF84" i="28"/>
  <c r="T85" i="28"/>
  <c r="U85" i="28"/>
  <c r="V85" i="28"/>
  <c r="W85" i="28"/>
  <c r="X85" i="28"/>
  <c r="AE85" i="28"/>
  <c r="AF85" i="28"/>
  <c r="AG85" i="28"/>
  <c r="AH85" i="28"/>
  <c r="V87" i="28"/>
  <c r="W87" i="28"/>
  <c r="X87" i="28"/>
  <c r="AF87" i="28"/>
  <c r="AG87" i="28"/>
  <c r="AH87" i="28"/>
  <c r="AF88" i="28"/>
  <c r="AF89" i="28"/>
  <c r="T90" i="28"/>
  <c r="U90" i="28"/>
  <c r="V90" i="28"/>
  <c r="W90" i="28"/>
  <c r="X90" i="28"/>
  <c r="AE90" i="28"/>
  <c r="AF90" i="28"/>
  <c r="AG90" i="28"/>
  <c r="AH90" i="28"/>
  <c r="V92" i="28"/>
  <c r="W92" i="28"/>
  <c r="X92" i="28"/>
  <c r="AF92" i="28"/>
  <c r="AG92" i="28"/>
  <c r="AH92" i="28"/>
  <c r="T93" i="28"/>
  <c r="U93" i="28"/>
  <c r="V93" i="28"/>
  <c r="W93" i="28"/>
  <c r="X93" i="28"/>
  <c r="AE93" i="28"/>
  <c r="AF93" i="28"/>
  <c r="AG93" i="28"/>
  <c r="AH93" i="28"/>
  <c r="V97" i="28"/>
  <c r="W97" i="28"/>
  <c r="X97" i="28"/>
  <c r="AF97" i="28"/>
  <c r="V98" i="28"/>
  <c r="W98" i="28"/>
  <c r="X98" i="28"/>
  <c r="AF98" i="28"/>
  <c r="T99" i="28"/>
  <c r="U99" i="28"/>
  <c r="V99" i="28"/>
  <c r="W99" i="28"/>
  <c r="X99" i="28"/>
  <c r="AE99" i="28"/>
  <c r="AF99" i="28"/>
  <c r="T100" i="28"/>
  <c r="U100" i="28"/>
  <c r="AE100" i="28"/>
  <c r="AF100" i="28"/>
  <c r="V103" i="28"/>
  <c r="W103" i="28"/>
  <c r="X103" i="28"/>
  <c r="AF103" i="28"/>
  <c r="AG103" i="28"/>
  <c r="AH103" i="28"/>
  <c r="V104" i="28"/>
  <c r="W104" i="28"/>
  <c r="X104" i="28"/>
  <c r="AF104" i="28"/>
  <c r="AG104" i="28"/>
  <c r="AH104" i="28"/>
  <c r="V106" i="28"/>
  <c r="W106" i="28"/>
  <c r="X106" i="28"/>
  <c r="AF106" i="28"/>
  <c r="AG106" i="28"/>
  <c r="AH106" i="28"/>
  <c r="V107" i="28"/>
  <c r="W107" i="28"/>
  <c r="X107" i="28"/>
  <c r="AF107" i="28"/>
  <c r="AG107" i="28"/>
  <c r="AH107" i="28"/>
  <c r="V109" i="28"/>
  <c r="W109" i="28"/>
  <c r="X109" i="28"/>
  <c r="AF109" i="28"/>
  <c r="AG109" i="28"/>
  <c r="AH109" i="28"/>
  <c r="V111" i="28"/>
  <c r="W111" i="28"/>
  <c r="X111" i="28"/>
  <c r="AF111" i="28"/>
  <c r="AG111" i="28"/>
  <c r="AH111" i="28"/>
  <c r="V116" i="28"/>
  <c r="W116" i="28"/>
  <c r="X116" i="28"/>
  <c r="AF116" i="28"/>
  <c r="AG116" i="28"/>
  <c r="AH116" i="28"/>
  <c r="V118" i="28"/>
  <c r="W118" i="28"/>
  <c r="X118" i="28"/>
  <c r="AF118" i="28"/>
  <c r="AG118" i="28"/>
  <c r="AH118" i="28"/>
  <c r="V122" i="28"/>
  <c r="W122" i="28"/>
  <c r="X122" i="28"/>
  <c r="AF122" i="28"/>
  <c r="AG122" i="28"/>
  <c r="AH122" i="28"/>
  <c r="V129" i="28"/>
  <c r="W129" i="28"/>
  <c r="X129" i="28"/>
  <c r="AF129" i="28"/>
  <c r="AG129" i="28"/>
  <c r="AH129" i="28"/>
  <c r="V130" i="28"/>
  <c r="W130" i="28"/>
  <c r="X130" i="28"/>
  <c r="AF130" i="28"/>
  <c r="AG130" i="28"/>
  <c r="AH130" i="28"/>
  <c r="V135" i="28"/>
  <c r="W135" i="28"/>
  <c r="X135" i="28"/>
  <c r="AF135" i="28"/>
  <c r="AG135" i="28"/>
  <c r="AH135" i="28"/>
  <c r="V136" i="28"/>
  <c r="W136" i="28"/>
  <c r="X136" i="28"/>
  <c r="AF136" i="28"/>
  <c r="AG136" i="28"/>
  <c r="AH136" i="28"/>
  <c r="V146" i="28"/>
  <c r="W146" i="28"/>
  <c r="X146" i="28"/>
  <c r="AF146" i="28"/>
  <c r="AG146" i="28"/>
  <c r="AH146" i="28"/>
  <c r="V147" i="28"/>
  <c r="W147" i="28"/>
  <c r="X147" i="28"/>
  <c r="AF147" i="28"/>
  <c r="AG147" i="28"/>
  <c r="AH147" i="28"/>
  <c r="V148" i="28"/>
  <c r="W148" i="28"/>
  <c r="X148" i="28"/>
  <c r="AF148" i="28"/>
  <c r="AG148" i="28"/>
  <c r="AH148" i="28"/>
  <c r="V149" i="28"/>
  <c r="W149" i="28"/>
  <c r="X149" i="28"/>
  <c r="AF149" i="28"/>
  <c r="AG149" i="28"/>
  <c r="AH149" i="28"/>
  <c r="V152" i="28"/>
  <c r="W152" i="28"/>
  <c r="X152" i="28"/>
  <c r="AF152" i="28"/>
  <c r="AG152" i="28"/>
  <c r="AH152" i="28"/>
  <c r="AG153" i="28"/>
  <c r="AH153" i="28"/>
  <c r="AG154" i="28"/>
  <c r="AH154" i="28"/>
  <c r="AG155" i="28"/>
  <c r="AH155" i="28"/>
  <c r="AG156" i="28"/>
  <c r="AH156" i="28"/>
  <c r="V157" i="28"/>
  <c r="W157" i="28"/>
  <c r="X157" i="28"/>
  <c r="AF157" i="28"/>
  <c r="AG157" i="28"/>
  <c r="AH157" i="28"/>
  <c r="AF170" i="28"/>
  <c r="AG170" i="28"/>
  <c r="AH170" i="28"/>
  <c r="AF171" i="28"/>
  <c r="AG171" i="28"/>
  <c r="AH171" i="28"/>
  <c r="V176" i="28"/>
  <c r="W176" i="28"/>
  <c r="X176" i="28"/>
  <c r="AF176" i="28"/>
  <c r="AG176" i="28"/>
  <c r="AH176" i="28"/>
  <c r="V177" i="28"/>
  <c r="W177" i="28"/>
  <c r="X177" i="28"/>
  <c r="AF177" i="28"/>
  <c r="AG177" i="28"/>
  <c r="AH177" i="28"/>
  <c r="V178" i="28"/>
  <c r="W178" i="28"/>
  <c r="X178" i="28"/>
  <c r="AF178" i="28"/>
  <c r="AG178" i="28"/>
  <c r="AH178" i="28"/>
  <c r="V183" i="28"/>
  <c r="W183" i="28"/>
  <c r="X183" i="28"/>
  <c r="AF183" i="28"/>
  <c r="AG183" i="28"/>
  <c r="AH183" i="28"/>
  <c r="V184" i="28"/>
  <c r="W184" i="28"/>
  <c r="X184" i="28"/>
  <c r="AF184" i="28"/>
  <c r="AG184" i="28"/>
  <c r="AH184" i="28"/>
  <c r="V185" i="28"/>
  <c r="W185" i="28"/>
  <c r="X185" i="28"/>
  <c r="AF185" i="28"/>
  <c r="AG185" i="28"/>
  <c r="AH185" i="28"/>
  <c r="V190" i="28"/>
  <c r="W190" i="28"/>
  <c r="X190" i="28"/>
  <c r="AF190" i="28"/>
  <c r="AG190" i="28"/>
  <c r="AH190" i="28"/>
  <c r="V191" i="28"/>
  <c r="W191" i="28"/>
  <c r="X191" i="28"/>
  <c r="AF191" i="28"/>
  <c r="AG191" i="28"/>
  <c r="AH191" i="28"/>
  <c r="V192" i="28"/>
  <c r="W192" i="28"/>
  <c r="X192" i="28"/>
  <c r="AF192" i="28"/>
  <c r="AG192" i="28"/>
  <c r="AH192" i="28"/>
  <c r="V194" i="28"/>
  <c r="W194" i="28"/>
  <c r="X194" i="28"/>
  <c r="AF194" i="28"/>
  <c r="AG194" i="28"/>
  <c r="AH194" i="28"/>
  <c r="AF195" i="28"/>
  <c r="AG195" i="28"/>
  <c r="AH195" i="28"/>
  <c r="V197" i="28"/>
  <c r="W197" i="28"/>
  <c r="X197" i="28"/>
  <c r="AF197" i="28"/>
  <c r="AG197" i="28"/>
  <c r="AH197" i="28"/>
  <c r="AP199" i="28"/>
  <c r="AQ199" i="28"/>
  <c r="AR199" i="28"/>
  <c r="AP200" i="28"/>
  <c r="AQ200" i="28"/>
  <c r="AR200" i="28"/>
  <c r="V201" i="28"/>
  <c r="W201" i="28"/>
  <c r="X201" i="28"/>
  <c r="AF201" i="28"/>
  <c r="AG201" i="28"/>
  <c r="AH201" i="28"/>
  <c r="V203" i="28"/>
  <c r="W203" i="28"/>
  <c r="X203" i="28"/>
  <c r="AF203" i="28"/>
  <c r="AG203" i="28"/>
  <c r="AH203" i="28"/>
  <c r="V207" i="28"/>
  <c r="W207" i="28"/>
  <c r="X207" i="28"/>
  <c r="AF207" i="28"/>
  <c r="AG207" i="28"/>
  <c r="AH207" i="28"/>
  <c r="V209" i="28"/>
  <c r="W209" i="28"/>
  <c r="X209" i="28"/>
  <c r="AF209" i="28"/>
  <c r="AG209" i="28"/>
  <c r="AH209" i="28"/>
  <c r="AF223" i="28"/>
  <c r="AG223" i="28"/>
  <c r="AH223" i="28"/>
  <c r="AG278" i="28"/>
  <c r="AH278" i="28"/>
  <c r="AG279" i="28"/>
  <c r="AH279" i="28"/>
  <c r="AG280" i="28"/>
  <c r="AH280" i="28"/>
  <c r="AG282" i="28"/>
  <c r="AH282" i="28"/>
  <c r="AG285" i="28"/>
  <c r="AH285" i="28"/>
  <c r="AG289" i="28"/>
  <c r="AH289" i="28"/>
  <c r="AG291" i="28"/>
  <c r="AH291" i="28"/>
  <c r="AG295" i="28"/>
  <c r="AH295" i="28"/>
  <c r="AG297" i="28"/>
  <c r="AH297" i="28"/>
  <c r="AF366" i="28"/>
  <c r="AG366" i="28"/>
  <c r="AH366" i="28"/>
  <c r="AF367" i="28"/>
  <c r="AG367" i="28"/>
  <c r="AH367" i="28"/>
  <c r="AF368" i="28"/>
  <c r="AG368" i="28"/>
  <c r="AH368" i="28"/>
  <c r="AF370" i="28"/>
  <c r="AG370" i="28"/>
  <c r="AH370" i="28"/>
  <c r="AG373" i="28"/>
  <c r="AH373" i="28"/>
  <c r="AG377" i="28"/>
  <c r="AH377" i="28"/>
  <c r="AG382" i="28"/>
  <c r="AH382" i="28"/>
  <c r="AG383" i="28"/>
  <c r="AH383" i="28"/>
  <c r="V434" i="28"/>
  <c r="W434" i="28"/>
  <c r="X434" i="28"/>
  <c r="AF434" i="28"/>
  <c r="AG434" i="28"/>
  <c r="AH434" i="28"/>
  <c r="AG502" i="28"/>
  <c r="AH502" i="28"/>
  <c r="AG503" i="28"/>
  <c r="AH503" i="28"/>
  <c r="AG504" i="28"/>
  <c r="AH504" i="28"/>
  <c r="AG506" i="28"/>
  <c r="AH506" i="28"/>
  <c r="AG509" i="28"/>
  <c r="AH509" i="28"/>
  <c r="AG513" i="28"/>
  <c r="AH513" i="28"/>
  <c r="AG515" i="28"/>
  <c r="AH515" i="28"/>
  <c r="AG519" i="28"/>
  <c r="AH519" i="28"/>
  <c r="AG521" i="28"/>
  <c r="AH521" i="28"/>
  <c r="AF590" i="28"/>
  <c r="AG590" i="28"/>
  <c r="AH590" i="28"/>
  <c r="AF591" i="28"/>
  <c r="AG591" i="28"/>
  <c r="AH591" i="28"/>
  <c r="AF592" i="28"/>
  <c r="AG592" i="28"/>
  <c r="AH592" i="28"/>
  <c r="AF594" i="28"/>
  <c r="AG594" i="28"/>
  <c r="AH594" i="28"/>
  <c r="AG597" i="28"/>
  <c r="AH597" i="28"/>
  <c r="AG601" i="28"/>
  <c r="AH601" i="28"/>
  <c r="AG607" i="28"/>
  <c r="AH607" i="28"/>
  <c r="V692" i="28"/>
  <c r="W692" i="28"/>
  <c r="X692" i="28"/>
  <c r="AF692" i="28"/>
  <c r="AG692" i="28"/>
  <c r="AH692" i="28"/>
  <c r="U4" i="30"/>
  <c r="U5" i="30"/>
  <c r="U6" i="30"/>
  <c r="AA30"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W27" authorId="0" shapeId="0" xr:uid="{F72D2810-7659-4E71-8D99-B6E810459565}">
      <text>
        <r>
          <rPr>
            <sz val="14"/>
            <color indexed="81"/>
            <rFont val="Calibri"/>
            <family val="2"/>
            <scheme val="minor"/>
          </rPr>
          <t>Source: 10K 2021 Q2 pg 152/169</t>
        </r>
      </text>
    </comment>
    <comment ref="W31" authorId="0" shapeId="0" xr:uid="{94B7BFB4-B17E-4D0F-976C-49858FAB2C43}">
      <text>
        <r>
          <rPr>
            <sz val="14"/>
            <color indexed="81"/>
            <rFont val="Calibri"/>
            <family val="2"/>
            <scheme val="minor"/>
          </rPr>
          <t>Source: 10K 2021 Q2 pg 152/169</t>
        </r>
      </text>
    </comment>
    <comment ref="S32" authorId="0" shapeId="0" xr:uid="{771AB0B2-AB8C-4B17-AC09-DA1F61E69491}">
      <text>
        <r>
          <rPr>
            <sz val="14"/>
            <color indexed="81"/>
            <rFont val="Calibri"/>
            <family val="2"/>
            <scheme val="minor"/>
          </rPr>
          <t>Source: 10Q 2021  pg 14/62
There were $17.3
million in letters of credit outstanding as of March 31, 2022.</t>
        </r>
      </text>
    </comment>
    <comment ref="W32" authorId="0" shapeId="0" xr:uid="{7B279F86-4861-4E80-9B29-CFF8BCC7B8D7}">
      <text>
        <r>
          <rPr>
            <sz val="14"/>
            <color indexed="81"/>
            <rFont val="Calibri"/>
            <family val="2"/>
            <scheme val="minor"/>
          </rPr>
          <t>Source: 10K 2021 Q2 pg 152/169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tc={A8970CBF-E183-4ECB-A193-00659DA7B0E9}</author>
    <author>tc={768FBF38-019D-40BA-BDE1-BF592D8062A4}</author>
  </authors>
  <commentList>
    <comment ref="F4" authorId="0" shapeId="0" xr:uid="{A8970CBF-E183-4ECB-A193-00659DA7B0E9}">
      <text>
        <t>[Threaded comment]
Your version of Excel allows you to read this threaded comment; however, any edits to it will get removed if the file is opened in a newer version of Excel. Learn more: https://go.microsoft.com/fwlink/?linkid=870924
Comment:
    could be oas, z-spread, price, etc.</t>
      </text>
    </comment>
    <comment ref="N4" authorId="1" shapeId="0" xr:uid="{768FBF38-019D-40BA-BDE1-BF592D8062A4}">
      <text>
        <t>[Threaded comment]
Your version of Excel allows you to read this threaded comment; however, any edits to it will get removed if the file is opened in a newer version of Excel. Learn more: https://go.microsoft.com/fwlink/?linkid=870924
Comment:
    could be oas, z-spread, price, etc.</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T16" authorId="0" shapeId="0" xr:uid="{57ACF94A-6F44-49D1-9F4A-6E259AC0CFEC}">
      <text>
        <r>
          <rPr>
            <sz val="9"/>
            <color indexed="81"/>
            <rFont val="Tahoma"/>
            <family val="2"/>
          </rPr>
          <t xml:space="preserve">Includes Pre-Development </t>
        </r>
      </text>
    </comment>
    <comment ref="N24" authorId="0" shapeId="0" xr:uid="{C3459342-C49A-4502-B08F-7EA3974FCD5A}">
      <text>
        <r>
          <rPr>
            <sz val="9"/>
            <color indexed="81"/>
            <rFont val="Tahoma"/>
            <family val="2"/>
          </rPr>
          <t>In June 2020, we gifted 650,000 shares of our common stock valued at $2.0 million at the time of the gift to the Hecla Charitable Foundation (the "Foundation"), and recognized expense for that amount. The Foundation is a 501(c)(3) entity established in 2007 to provide grants and disburse funds for educational and charitable purposes to qualifying organizations in order to promote the social, environmental and economic sustainability and development of the communities where we have operations and activities.</t>
        </r>
      </text>
    </comment>
    <comment ref="M142" authorId="0" shapeId="0" xr:uid="{52B04DF0-6E21-4912-A244-19B007CD8304}">
      <text>
        <r>
          <rPr>
            <sz val="9"/>
            <color indexed="81"/>
            <rFont val="Tahoma"/>
            <family val="2"/>
          </rPr>
          <t xml:space="preserve">Includes Revolver of $210,000
</t>
        </r>
      </text>
    </comment>
    <comment ref="N142" authorId="0" shapeId="0" xr:uid="{9B141CFC-0328-491D-8C92-1D94BF063EA0}">
      <text>
        <r>
          <rPr>
            <sz val="9"/>
            <color indexed="81"/>
            <rFont val="Tahoma"/>
            <family val="2"/>
          </rPr>
          <t xml:space="preserve">Includes Revolver of $50,000
</t>
        </r>
      </text>
    </comment>
    <comment ref="Z142" authorId="0" shapeId="0" xr:uid="{4D44B013-EEBB-402E-A7E0-8D606AA24B6C}">
      <text>
        <r>
          <rPr>
            <sz val="9"/>
            <color indexed="81"/>
            <rFont val="Tahoma"/>
            <family val="2"/>
          </rPr>
          <t>Includes $470000 of current portion of debt</t>
        </r>
      </text>
    </comment>
    <comment ref="M151" authorId="0" shapeId="0" xr:uid="{F524AB25-85EC-4638-9272-A979A16ACBF0}">
      <text>
        <r>
          <rPr>
            <sz val="9"/>
            <color indexed="81"/>
            <rFont val="Tahoma"/>
            <family val="2"/>
          </rPr>
          <t>During the first quarter of 2021 we reclassified certain state mining income taxes from Cost of sales and other direct production costs to Income and mining tax provision prospectively effective January 1, 2021. The reclassification required us to recognize previously unrecognized deferred taxes. The impact of this was an adjustment of $11.9 million to accumulated deficit at January 1, 2019 to recognize the deferred tax liability. This adjustment resulted in the January 1, 2020 accumulated deficit balance presented in this Form 10-Q to increase to $365.2 million.</t>
        </r>
      </text>
    </comment>
    <comment ref="AF168" authorId="0" shapeId="0" xr:uid="{B56804CE-179D-4847-99BE-A794F2CAE134}">
      <text>
        <r>
          <rPr>
            <sz val="9"/>
            <color indexed="81"/>
            <rFont val="Tahoma"/>
            <family val="2"/>
          </rPr>
          <t>We still anticipate we'll spend $135 million. Order of magnitude, we doubled the amount of capital in quarters 2 and 3. And then we have a roughly the same amount of capital in the fourth quarter. So it's in line with what we would expect</t>
        </r>
      </text>
    </comment>
    <comment ref="AS191" authorId="0" shapeId="0" xr:uid="{AB2C92F9-B711-4DBB-BD53-C31C44C13171}">
      <text>
        <r>
          <rPr>
            <sz val="9"/>
            <color indexed="81"/>
            <rFont val="Tahoma"/>
            <family val="2"/>
          </rPr>
          <t>Foundation Grant of $1.97M</t>
        </r>
      </text>
    </comment>
    <comment ref="AU191" authorId="0" shapeId="0" xr:uid="{56AC358A-BE88-40A4-A11D-480240E98D53}">
      <text>
        <r>
          <rPr>
            <sz val="9"/>
            <color indexed="81"/>
            <rFont val="Tahoma"/>
            <family val="2"/>
          </rPr>
          <t>Includes Foundation grant of $1.97M</t>
        </r>
      </text>
    </comment>
    <comment ref="Z217" authorId="0" shapeId="0" xr:uid="{3B2E0081-5A4C-4D2F-9808-6F3FE3EEF477}">
      <text>
        <r>
          <rPr>
            <sz val="9"/>
            <color indexed="81"/>
            <rFont val="Tahoma"/>
            <family val="2"/>
          </rPr>
          <t>Includes $2.73M of purchase of ther companies net of cash and restricted cash acquired</t>
        </r>
      </text>
    </comment>
    <comment ref="AL217" authorId="0" shapeId="0" xr:uid="{BEE8446A-BB0C-4819-BFCE-6929006E63F8}">
      <text>
        <r>
          <rPr>
            <sz val="9"/>
            <color indexed="81"/>
            <rFont val="Tahoma"/>
            <family val="2"/>
          </rPr>
          <t>Includes $139.326M of Acquisition of Klondex, net of cash and restricted cash acquired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D124" authorId="0" shapeId="0" xr:uid="{6905951E-BC29-4CCD-BF1F-CDEF65F1EB89}">
      <text>
        <r>
          <rPr>
            <sz val="9"/>
            <color indexed="81"/>
            <rFont val="Tahoma"/>
            <family val="2"/>
          </rPr>
          <t>The difference between what we report as "ounces/tons produced" and "payable ounces/tons sold" is attributable to the difference between the quantities of metals contained in our products versus the portion of those metals actually paid for by our customers according to the terms of our sales contracts. Differences can also arise from inventory changes incidental to shipping schedules, or variances in ore grades which impact the amount of metals contained in concentrates produced and sold</t>
        </r>
      </text>
    </comment>
    <comment ref="AF127" authorId="0" shapeId="0" xr:uid="{CB9D686F-BFC8-4C9F-9A5C-35CA5954407B}">
      <text>
        <r>
          <rPr>
            <sz val="9"/>
            <color indexed="81"/>
            <rFont val="Tahoma"/>
            <family val="2"/>
          </rPr>
          <t>Source: Q4 2021 Presentation. Slide 17/35</t>
        </r>
      </text>
    </comment>
    <comment ref="AG127" authorId="0" shapeId="0" xr:uid="{4D11F079-346C-4AF6-A345-C806593BD674}">
      <text>
        <r>
          <rPr>
            <sz val="9"/>
            <color indexed="81"/>
            <rFont val="Tahoma"/>
            <family val="2"/>
          </rPr>
          <t>Source: Q4 2021 Presentation. Slide 17/35</t>
        </r>
      </text>
    </comment>
    <comment ref="AH127" authorId="0" shapeId="0" xr:uid="{0C4F47CB-7623-4D9C-B865-125FC286107F}">
      <text>
        <r>
          <rPr>
            <sz val="9"/>
            <color indexed="81"/>
            <rFont val="Tahoma"/>
            <family val="2"/>
          </rPr>
          <t>Source: Q4 2021 Presentation. Slide 17/35</t>
        </r>
      </text>
    </comment>
    <comment ref="AF128" authorId="0" shapeId="0" xr:uid="{1714E05E-8B87-40B8-A37F-937A6EEAD3A6}">
      <text>
        <r>
          <rPr>
            <sz val="9"/>
            <color indexed="81"/>
            <rFont val="Tahoma"/>
            <family val="2"/>
          </rPr>
          <t>Source: Q4 2021 Presentation. Slide 17/35</t>
        </r>
      </text>
    </comment>
    <comment ref="AG128" authorId="0" shapeId="0" xr:uid="{E8CDBE91-F201-4C08-8C37-D28659EA4C28}">
      <text>
        <r>
          <rPr>
            <sz val="9"/>
            <color indexed="81"/>
            <rFont val="Tahoma"/>
            <family val="2"/>
          </rPr>
          <t>Source: Q4 2021 Presentation. Slide 17/35</t>
        </r>
      </text>
    </comment>
    <comment ref="AH128" authorId="0" shapeId="0" xr:uid="{C189E034-40B4-4C99-88C7-76EC62ED4ECD}">
      <text>
        <r>
          <rPr>
            <sz val="9"/>
            <color indexed="81"/>
            <rFont val="Tahoma"/>
            <family val="2"/>
          </rPr>
          <t>Source: Q4 2021 Presentation. Slide 17/35</t>
        </r>
      </text>
    </comment>
    <comment ref="AF174" authorId="0" shapeId="0" xr:uid="{1840C9A0-8558-44D2-B8B2-827458C91E0E}">
      <text>
        <r>
          <rPr>
            <sz val="9"/>
            <color indexed="81"/>
            <rFont val="Tahoma"/>
            <family val="2"/>
          </rPr>
          <t>Source: Q4 2021 Presentation. Slide 31/35</t>
        </r>
      </text>
    </comment>
    <comment ref="AF175" authorId="0" shapeId="0" xr:uid="{A5C1D790-C795-41AD-9355-39FA4EE56CD5}">
      <text>
        <r>
          <rPr>
            <sz val="9"/>
            <color indexed="81"/>
            <rFont val="Tahoma"/>
            <family val="2"/>
          </rPr>
          <t>Source: Q4 2021 Presentation. Slide 31/35</t>
        </r>
      </text>
    </comment>
    <comment ref="AF199" authorId="0" shapeId="0" xr:uid="{10E57438-1F3F-4B15-9E33-5985C2F82764}">
      <text>
        <r>
          <rPr>
            <sz val="9"/>
            <color indexed="81"/>
            <rFont val="Tahoma"/>
            <family val="2"/>
          </rPr>
          <t>Source: Q4 2021 Presentation. Slide 31/35</t>
        </r>
      </text>
    </comment>
    <comment ref="AF200" authorId="0" shapeId="0" xr:uid="{67A97185-7276-4DB3-889C-A2E238511278}">
      <text>
        <r>
          <rPr>
            <sz val="9"/>
            <color indexed="81"/>
            <rFont val="Tahoma"/>
            <family val="2"/>
          </rPr>
          <t>Source: 8K 2021 Q4 pg 24/29</t>
        </r>
      </text>
    </comment>
    <comment ref="AD212" authorId="0" shapeId="0" xr:uid="{5CAFCEB5-C4E7-463A-97D1-2B1498BDDC35}">
      <text>
        <r>
          <rPr>
            <sz val="9"/>
            <color indexed="81"/>
            <rFont val="Tahoma"/>
            <family val="2"/>
          </rPr>
          <t>Treatment costs per ounce for 2020 were higher compared to 2019 and 2018 due to unfavorable changes in smelter terms and higher silver prices and production. Treatment costs are impacted by silver production and price variances, as treatment costs include the value of silver not payable to us through the smelting and refining processes.</t>
        </r>
      </text>
    </comment>
    <comment ref="AF212" authorId="0" shapeId="0" xr:uid="{F5BC4FB2-2A2E-4296-82BC-43E383570770}">
      <text>
        <r>
          <rPr>
            <sz val="9"/>
            <color indexed="81"/>
            <rFont val="Tahoma"/>
            <family val="2"/>
          </rPr>
          <t>Source: 8K 2021 Q4 pg 24/29</t>
        </r>
      </text>
    </comment>
    <comment ref="AF213" authorId="0" shapeId="0" xr:uid="{89BCBFF7-D0C2-45F3-9E07-AC568E6BC8DA}">
      <text>
        <r>
          <rPr>
            <sz val="9"/>
            <color indexed="81"/>
            <rFont val="Tahoma"/>
            <family val="2"/>
          </rPr>
          <t>Source: 8K 2021 Q4 pg 24/29</t>
        </r>
      </text>
    </comment>
    <comment ref="AF214" authorId="0" shapeId="0" xr:uid="{6F9D307D-07AD-4F4A-A2A5-8D147D0E0D4C}">
      <text>
        <r>
          <rPr>
            <sz val="9"/>
            <color indexed="81"/>
            <rFont val="Tahoma"/>
            <family val="2"/>
          </rPr>
          <t>Source: 8K 2021 Q4 pg 24/29</t>
        </r>
      </text>
    </comment>
    <comment ref="AF215" authorId="0" shapeId="0" xr:uid="{88E554EA-07D1-4E4E-8443-B44048F3D0DF}">
      <text>
        <r>
          <rPr>
            <sz val="9"/>
            <color indexed="81"/>
            <rFont val="Tahoma"/>
            <family val="2"/>
          </rPr>
          <t>Source: 8K 2021 Q4 pg 24/29</t>
        </r>
      </text>
    </comment>
    <comment ref="C216" authorId="0" shapeId="0" xr:uid="{3A6E4F1B-38EB-4B2C-8653-923FDA5CA2DE}">
      <text>
        <r>
          <rPr>
            <sz val="9"/>
            <color indexed="81"/>
            <rFont val="Tahoma"/>
            <family val="2"/>
          </rPr>
          <t xml:space="preserve">Includes all direct and indirect operating costs related directly to the physical activities of producing metals, including mining, processing and other plant costs, third-party refining and marketing expense, on-site general and administrative costs, and royalties, after by-product revenues earned from all metals other than the primary metal produced at each unit. </t>
        </r>
      </text>
    </comment>
    <comment ref="AF218" authorId="0" shapeId="0" xr:uid="{DDC8E5CE-02D8-4F3B-9A27-5005C5BBA0C7}">
      <text>
        <r>
          <rPr>
            <sz val="9"/>
            <color indexed="81"/>
            <rFont val="Tahoma"/>
            <family val="2"/>
          </rPr>
          <t>Source: 8K 2021 Q4 pg 24/29</t>
        </r>
      </text>
    </comment>
    <comment ref="AF219" authorId="0" shapeId="0" xr:uid="{2186D82F-5532-4DF7-9D17-2D504B559E09}">
      <text>
        <r>
          <rPr>
            <sz val="9"/>
            <color indexed="81"/>
            <rFont val="Tahoma"/>
            <family val="2"/>
          </rPr>
          <t>Source: 8K 2021 Q4 pg 24/29</t>
        </r>
      </text>
    </comment>
    <comment ref="AF220" authorId="0" shapeId="0" xr:uid="{25E52460-95A1-4037-A61E-F0AD0C3B3751}">
      <text>
        <r>
          <rPr>
            <sz val="9"/>
            <color indexed="81"/>
            <rFont val="Tahoma"/>
            <family val="2"/>
          </rPr>
          <t>Source: 8K 2021 Q4 pg 24/29</t>
        </r>
      </text>
    </comment>
    <comment ref="AF221" authorId="0" shapeId="0" xr:uid="{8AF9D370-B45E-4FBE-AB96-74772045B173}">
      <text>
        <r>
          <rPr>
            <sz val="9"/>
            <color indexed="81"/>
            <rFont val="Tahoma"/>
            <family val="2"/>
          </rPr>
          <t>Source: 8K 2021 Q4 pg 24/29</t>
        </r>
      </text>
    </comment>
    <comment ref="C222" authorId="0" shapeId="0" xr:uid="{6684FAD3-EE92-47E1-A46B-52FC73A3EE54}">
      <text>
        <r>
          <rPr>
            <sz val="9"/>
            <color indexed="81"/>
            <rFont val="Tahoma"/>
            <family val="2"/>
          </rPr>
          <t>AISC, Before By-product Credits also includes on-site exploration, reclamation, and sustaining capital cost.</t>
        </r>
      </text>
    </comment>
    <comment ref="AE226" authorId="0" shapeId="0" xr:uid="{665153B1-BC7C-44CA-8C11-05B02C9565B7}">
      <text>
        <r>
          <rPr>
            <sz val="9"/>
            <color indexed="81"/>
            <rFont val="Tahoma"/>
            <family val="2"/>
          </rPr>
          <t>Source: Investor Presentation Q2 2021 slide 29/35</t>
        </r>
      </text>
    </comment>
    <comment ref="AF226" authorId="0" shapeId="0" xr:uid="{F49A68D6-3CC3-435E-B9BF-3927B0487059}">
      <text>
        <r>
          <rPr>
            <sz val="9"/>
            <color indexed="81"/>
            <rFont val="Tahoma"/>
            <family val="2"/>
          </rPr>
          <t>Source: 8K 2021 Q4 pg 24/29</t>
        </r>
      </text>
    </comment>
    <comment ref="AE227" authorId="0" shapeId="0" xr:uid="{F757A250-A246-40E2-871E-60DCC86B010E}">
      <text>
        <r>
          <rPr>
            <sz val="9"/>
            <color indexed="81"/>
            <rFont val="Tahoma"/>
            <family val="2"/>
          </rPr>
          <t>Source: Investor Presentation Q2 2021 slide 29/35</t>
        </r>
      </text>
    </comment>
    <comment ref="AF227" authorId="0" shapeId="0" xr:uid="{8E8A48ED-BB81-41B7-AC8D-CF581DEDB44B}">
      <text>
        <r>
          <rPr>
            <sz val="9"/>
            <color indexed="81"/>
            <rFont val="Tahoma"/>
            <family val="2"/>
          </rPr>
          <t>Source: 8K 2021 Q4 pg 24/29</t>
        </r>
      </text>
    </comment>
    <comment ref="AE228" authorId="0" shapeId="0" xr:uid="{61FFF7BA-11F6-4EE0-83B3-6E2A9B7B879F}">
      <text>
        <r>
          <rPr>
            <sz val="9"/>
            <color indexed="81"/>
            <rFont val="Tahoma"/>
            <family val="2"/>
          </rPr>
          <t>Source: Investor Presentation Q2 2021 slide 29/35</t>
        </r>
      </text>
    </comment>
    <comment ref="AF228" authorId="0" shapeId="0" xr:uid="{15197205-1363-4464-B6F9-4877158E0A41}">
      <text>
        <r>
          <rPr>
            <sz val="9"/>
            <color indexed="81"/>
            <rFont val="Tahoma"/>
            <family val="2"/>
          </rPr>
          <t>Source: 8K 2021 Q4 pg 24/29</t>
        </r>
      </text>
    </comment>
    <comment ref="AE231" authorId="0" shapeId="0" xr:uid="{B4A2601B-3832-4650-85BC-C695A276A038}">
      <text>
        <r>
          <rPr>
            <sz val="9"/>
            <color indexed="81"/>
            <rFont val="Tahoma"/>
            <family val="2"/>
          </rPr>
          <t>The company is lowering the cash cost and AISC guidance due to byproduct credits, lower production costs and favorable smelter terms
Source: Q2 Earnings call</t>
        </r>
      </text>
    </comment>
    <comment ref="C247" authorId="0" shapeId="0" xr:uid="{7820EDBC-F15E-4849-88E7-E0CFB33A47BE}">
      <text>
        <r>
          <rPr>
            <sz val="9"/>
            <color indexed="81"/>
            <rFont val="Tahoma"/>
            <family val="2"/>
          </rPr>
          <t>The unionized employees were on strike from March 13, 2017 until January 7, 2020, when the union ratified a new collective bargaining agreement. Salaried personnel performed limited production and capital improvements from July 2017 until the end of the strike. Re-staffing of the mine commenced in the first quarter of 2020. We have substantially completed the re-staffing and ramp-up process, and the mine has returned to full production starting with the fourth quarter of 2020.</t>
        </r>
      </text>
    </comment>
    <comment ref="AF262" authorId="0" shapeId="0" xr:uid="{11781066-464F-4EB1-AB08-C11F117A32FD}">
      <text>
        <r>
          <rPr>
            <sz val="9"/>
            <color indexed="81"/>
            <rFont val="Tahoma"/>
            <family val="2"/>
          </rPr>
          <t>Source: Q4 2021 Presentation. Slide 31/35</t>
        </r>
      </text>
    </comment>
    <comment ref="AF287" authorId="0" shapeId="0" xr:uid="{364DAA24-9EE8-4836-BEC3-88A35BD022C9}">
      <text>
        <r>
          <rPr>
            <sz val="9"/>
            <color indexed="81"/>
            <rFont val="Tahoma"/>
            <family val="2"/>
          </rPr>
          <t>Source: 8K 2021 Q4 pg 24/29</t>
        </r>
      </text>
    </comment>
    <comment ref="AF288" authorId="0" shapeId="0" xr:uid="{2D6329BE-32F3-46AA-AD28-AB539C4B761C}">
      <text>
        <r>
          <rPr>
            <sz val="9"/>
            <color indexed="81"/>
            <rFont val="Tahoma"/>
            <family val="2"/>
          </rPr>
          <t>Source: 8K 2021 Q4 pg 24/29</t>
        </r>
      </text>
    </comment>
    <comment ref="AF300" authorId="0" shapeId="0" xr:uid="{1EFF90C0-03D4-449E-A41E-F39D61A760AD}">
      <text>
        <r>
          <rPr>
            <sz val="9"/>
            <color indexed="81"/>
            <rFont val="Tahoma"/>
            <family val="2"/>
          </rPr>
          <t>Source: 8K 2021 Q4 pg 24/29</t>
        </r>
      </text>
    </comment>
    <comment ref="AF301" authorId="0" shapeId="0" xr:uid="{0D73413C-695D-444C-8709-B052C4910100}">
      <text>
        <r>
          <rPr>
            <sz val="9"/>
            <color indexed="81"/>
            <rFont val="Tahoma"/>
            <family val="2"/>
          </rPr>
          <t>Source: 8K 2021 Q4 pg 24/29</t>
        </r>
      </text>
    </comment>
    <comment ref="AF302" authorId="0" shapeId="0" xr:uid="{B4A2FA6E-D4AA-4181-9933-40451AC99149}">
      <text>
        <r>
          <rPr>
            <sz val="9"/>
            <color indexed="81"/>
            <rFont val="Tahoma"/>
            <family val="2"/>
          </rPr>
          <t>Source: 8K 2021 Q4 pg 24/29</t>
        </r>
      </text>
    </comment>
    <comment ref="AF303" authorId="0" shapeId="0" xr:uid="{0EFB94A7-4A98-48E4-8BC0-8C8B5889654B}">
      <text>
        <r>
          <rPr>
            <sz val="9"/>
            <color indexed="81"/>
            <rFont val="Tahoma"/>
            <family val="2"/>
          </rPr>
          <t>Source: 8K 2021 Q4 pg 24/29</t>
        </r>
      </text>
    </comment>
    <comment ref="C304" authorId="0" shapeId="0" xr:uid="{AA5CA5FE-3B70-49EB-8FE5-CDDAD95C1FC9}">
      <text>
        <r>
          <rPr>
            <sz val="9"/>
            <color indexed="81"/>
            <rFont val="Tahoma"/>
            <family val="2"/>
          </rPr>
          <t xml:space="preserve">Includes all direct and indirect operating costs related directly to the physical activities of producing metals, including mining, processing and other plant costs, third-party refining and marketing expense, on-site general and administrative costs, and royalties, after by-product revenues earned from all metals other than the primary metal produced at each unit. </t>
        </r>
      </text>
    </comment>
    <comment ref="AF306" authorId="0" shapeId="0" xr:uid="{2565B5AD-A6D3-46D0-AAD5-FC876B195FB0}">
      <text>
        <r>
          <rPr>
            <sz val="9"/>
            <color indexed="81"/>
            <rFont val="Tahoma"/>
            <family val="2"/>
          </rPr>
          <t>Source: 8K 2021 Q4 pg 24/29</t>
        </r>
      </text>
    </comment>
    <comment ref="AF307" authorId="0" shapeId="0" xr:uid="{09A80D2E-659E-4ED5-AADB-F8BB75A804DB}">
      <text>
        <r>
          <rPr>
            <sz val="9"/>
            <color indexed="81"/>
            <rFont val="Tahoma"/>
            <family val="2"/>
          </rPr>
          <t>Source: 8K 2021 Q4 pg 24/29</t>
        </r>
      </text>
    </comment>
    <comment ref="AF308" authorId="0" shapeId="0" xr:uid="{326FD3EB-D8F1-42CA-A18A-37FFD8FA3276}">
      <text>
        <r>
          <rPr>
            <sz val="9"/>
            <color indexed="81"/>
            <rFont val="Tahoma"/>
            <family val="2"/>
          </rPr>
          <t>Source: 8K 2021 Q4 pg 24/29</t>
        </r>
      </text>
    </comment>
    <comment ref="AF309" authorId="0" shapeId="0" xr:uid="{655C5C28-EE66-4511-A9EC-4DA494BE6BEF}">
      <text>
        <r>
          <rPr>
            <sz val="9"/>
            <color indexed="81"/>
            <rFont val="Tahoma"/>
            <family val="2"/>
          </rPr>
          <t>Source: 8K 2021 Q4 pg 24/29</t>
        </r>
      </text>
    </comment>
    <comment ref="C310" authorId="0" shapeId="0" xr:uid="{B9830B3A-F468-4B2C-9047-0EBC3443F70F}">
      <text>
        <r>
          <rPr>
            <sz val="9"/>
            <color indexed="81"/>
            <rFont val="Tahoma"/>
            <family val="2"/>
          </rPr>
          <t>AISC, Before By-product Credits also includes on-site exploration, reclamation, and sustaining capital cost.</t>
        </r>
      </text>
    </comment>
    <comment ref="AE315" authorId="0" shapeId="0" xr:uid="{D11C1EE7-D089-4373-A099-0797E0231DAB}">
      <text>
        <r>
          <rPr>
            <sz val="9"/>
            <color indexed="81"/>
            <rFont val="Tahoma"/>
            <family val="2"/>
          </rPr>
          <t>Source: Investor Presentation Q2 2021 slide 29/35</t>
        </r>
      </text>
    </comment>
    <comment ref="AF315" authorId="0" shapeId="0" xr:uid="{9A7039CB-E7BA-4F06-A8FA-628F974B9635}">
      <text>
        <r>
          <rPr>
            <sz val="9"/>
            <color indexed="81"/>
            <rFont val="Tahoma"/>
            <family val="2"/>
          </rPr>
          <t>Source: 8K 2021 Q4 pg 24/29</t>
        </r>
      </text>
    </comment>
    <comment ref="AE316" authorId="0" shapeId="0" xr:uid="{71019FDB-AF3D-44AD-85E0-F0CC2C02F419}">
      <text>
        <r>
          <rPr>
            <sz val="9"/>
            <color indexed="81"/>
            <rFont val="Tahoma"/>
            <family val="2"/>
          </rPr>
          <t>Source: Investor Presentation Q2 2021 slide 29/35</t>
        </r>
      </text>
    </comment>
    <comment ref="AF316" authorId="0" shapeId="0" xr:uid="{780C550C-378B-43D6-A928-EB3890ED9FCE}">
      <text>
        <r>
          <rPr>
            <sz val="9"/>
            <color indexed="81"/>
            <rFont val="Tahoma"/>
            <family val="2"/>
          </rPr>
          <t>Source: 8K 2021 Q4 pg 24/29</t>
        </r>
      </text>
    </comment>
    <comment ref="AD323" authorId="0" shapeId="0" xr:uid="{6D5FBEF9-CD7B-4AF0-AC7E-4C1ABD6375A7}">
      <text>
        <r>
          <rPr>
            <sz val="9"/>
            <color indexed="81"/>
            <rFont val="Tahoma"/>
            <family val="2"/>
          </rPr>
          <t>The unionized employees were on strike from March 13, 2017 until January 7, 2020, hence the management has considered Q4'20 numbers only for FY2020 calculation of costs</t>
        </r>
      </text>
    </comment>
    <comment ref="C335" authorId="0" shapeId="0" xr:uid="{C38E7C05-781D-4B34-B82F-9DE323149857}">
      <text>
        <r>
          <rPr>
            <sz val="9"/>
            <color indexed="81"/>
            <rFont val="Tahoma"/>
            <family val="2"/>
          </rPr>
          <t>San Sebastian in Mexico was also considered a segment prior to 2021. Production ceased in the fourth quarter of 2020, and exploration activities are currently ongoing. San Sebastian's activity for all periods presented in this Annual Report on Form 10-K is included in "other".</t>
        </r>
      </text>
    </comment>
    <comment ref="C392" authorId="0" shapeId="0" xr:uid="{9C4A162D-F69B-487F-A68C-C57D85F57787}">
      <text>
        <r>
          <rPr>
            <sz val="9"/>
            <color indexed="81"/>
            <rFont val="Tahoma"/>
            <family val="2"/>
          </rPr>
          <t xml:space="preserve">Includes all direct and indirect operating costs related directly to the physical activities of producing metals, including mining, processing and other plant costs, third-party refining and marketing expense, on-site general and administrative costs, and royalties, after by-product revenues earned from all metals other than the primary metal produced at each unit. </t>
        </r>
      </text>
    </comment>
    <comment ref="C398" authorId="0" shapeId="0" xr:uid="{4D56C645-85E6-4E16-B653-E63189DE8717}">
      <text>
        <r>
          <rPr>
            <sz val="9"/>
            <color indexed="81"/>
            <rFont val="Tahoma"/>
            <family val="2"/>
          </rPr>
          <t>AISC, Before By-product Credits also includes on-site exploration, reclamation, and sustaining capital cost.</t>
        </r>
      </text>
    </comment>
    <comment ref="AF425" authorId="0" shapeId="0" xr:uid="{A4E1FCD3-3E37-458F-81C6-F8A3F37DD4E1}">
      <text>
        <r>
          <rPr>
            <sz val="9"/>
            <color indexed="81"/>
            <rFont val="Tahoma"/>
            <family val="2"/>
          </rPr>
          <t>Source: 8K 2021 Q4 pg 24/29</t>
        </r>
      </text>
    </comment>
    <comment ref="AF426" authorId="0" shapeId="0" xr:uid="{310B96F5-237B-48ED-B016-B52CE7D72592}">
      <text>
        <r>
          <rPr>
            <sz val="9"/>
            <color indexed="81"/>
            <rFont val="Tahoma"/>
            <family val="2"/>
          </rPr>
          <t>Source: 8K 2021 Q4 pg 24/29</t>
        </r>
      </text>
    </comment>
    <comment ref="AF427" authorId="0" shapeId="0" xr:uid="{7E2C81F9-A4E7-4BBF-8C5C-351D170AAD5B}">
      <text>
        <r>
          <rPr>
            <sz val="9"/>
            <color indexed="81"/>
            <rFont val="Tahoma"/>
            <family val="2"/>
          </rPr>
          <t>Source: 8K 2021 Q4 pg 24/29</t>
        </r>
      </text>
    </comment>
    <comment ref="C441" authorId="0" shapeId="0" xr:uid="{E6E02CFB-5F95-42D3-BB8D-DC240EA987DE}">
      <text>
        <r>
          <rPr>
            <sz val="9"/>
            <color indexed="81"/>
            <rFont val="Tahoma"/>
            <family val="2"/>
          </rPr>
          <t xml:space="preserve">Includes all direct and indirect operating costs related directly to the physical activities of producing metals, including mining, processing and other plant costs, third-party refining and marketing expense, on-site general and administrative costs, and royalties, after by-product revenues earned from all metals other than the primary metal produced at each unit. </t>
        </r>
      </text>
    </comment>
    <comment ref="C447" authorId="0" shapeId="0" xr:uid="{E2C10BC8-4042-4480-9420-57D91EC8CE39}">
      <text>
        <r>
          <rPr>
            <sz val="9"/>
            <color indexed="81"/>
            <rFont val="Tahoma"/>
            <family val="2"/>
          </rPr>
          <t>AISC, Before By-product Credits also includes on-site exploration, reclamation, and sustaining capital cost.</t>
        </r>
      </text>
    </comment>
    <comment ref="AF486" authorId="0" shapeId="0" xr:uid="{5794DD30-121F-4D67-B274-3EA26C15BC7F}">
      <text>
        <r>
          <rPr>
            <sz val="9"/>
            <color indexed="81"/>
            <rFont val="Tahoma"/>
            <family val="2"/>
          </rPr>
          <t>Source: Q4 2021 Presentation. Slide 31/35</t>
        </r>
      </text>
    </comment>
    <comment ref="AF487" authorId="0" shapeId="0" xr:uid="{69FB0835-AAA0-4AB1-BD6E-11B897598984}">
      <text>
        <r>
          <rPr>
            <sz val="9"/>
            <color indexed="81"/>
            <rFont val="Tahoma"/>
            <family val="2"/>
          </rPr>
          <t>Source: Q4 2021 Presentation. Slide 31/35</t>
        </r>
      </text>
    </comment>
    <comment ref="AF511" authorId="0" shapeId="0" xr:uid="{C2894764-0F72-47AB-B52C-A5354A8B3B9F}">
      <text>
        <r>
          <rPr>
            <sz val="9"/>
            <color indexed="81"/>
            <rFont val="Tahoma"/>
            <family val="2"/>
          </rPr>
          <t>Source: 8K 2021 Q4 pg 24/29</t>
        </r>
      </text>
    </comment>
    <comment ref="AF512" authorId="0" shapeId="0" xr:uid="{44D76B5B-F4E1-427E-8966-951F9D71F6F4}">
      <text>
        <r>
          <rPr>
            <sz val="9"/>
            <color indexed="81"/>
            <rFont val="Tahoma"/>
            <family val="2"/>
          </rPr>
          <t>Source: 8K 2021 Q4 pg 24/29</t>
        </r>
      </text>
    </comment>
    <comment ref="AF524" authorId="0" shapeId="0" xr:uid="{966B277D-CFAC-473B-BE9B-F7BAAA4304A1}">
      <text>
        <r>
          <rPr>
            <sz val="9"/>
            <color indexed="81"/>
            <rFont val="Tahoma"/>
            <family val="2"/>
          </rPr>
          <t>Source: 8K 2021 Q4 pg 24/29</t>
        </r>
      </text>
    </comment>
    <comment ref="AF525" authorId="0" shapeId="0" xr:uid="{2680377D-BB29-4FAB-B8C4-7199E5591CE1}">
      <text>
        <r>
          <rPr>
            <sz val="9"/>
            <color indexed="81"/>
            <rFont val="Tahoma"/>
            <family val="2"/>
          </rPr>
          <t>Source: 8K 2021 Q4 pg 24/29</t>
        </r>
      </text>
    </comment>
    <comment ref="AF526" authorId="0" shapeId="0" xr:uid="{C06E0AE2-7ABC-4F3E-A97C-1174C113A721}">
      <text>
        <r>
          <rPr>
            <sz val="9"/>
            <color indexed="81"/>
            <rFont val="Tahoma"/>
            <family val="2"/>
          </rPr>
          <t>Source: 8K 2021 Q4 pg 24/29</t>
        </r>
      </text>
    </comment>
    <comment ref="AF527" authorId="0" shapeId="0" xr:uid="{3FE22780-9694-44CF-AA9B-8A37D3963359}">
      <text>
        <r>
          <rPr>
            <sz val="9"/>
            <color indexed="81"/>
            <rFont val="Tahoma"/>
            <family val="2"/>
          </rPr>
          <t>Source: 8K 2021 Q4 pg 24/29</t>
        </r>
      </text>
    </comment>
    <comment ref="AF530" authorId="0" shapeId="0" xr:uid="{6C3047B1-781C-405E-BEFE-ADD9C03F8A9E}">
      <text>
        <r>
          <rPr>
            <sz val="9"/>
            <color indexed="81"/>
            <rFont val="Tahoma"/>
            <family val="2"/>
          </rPr>
          <t>Source: 8K 2021 Q4 pg 24/29</t>
        </r>
      </text>
    </comment>
    <comment ref="AF531" authorId="0" shapeId="0" xr:uid="{5AA5EE96-F95B-4794-9FC6-4907FA13C7BB}">
      <text>
        <r>
          <rPr>
            <sz val="9"/>
            <color indexed="81"/>
            <rFont val="Tahoma"/>
            <family val="2"/>
          </rPr>
          <t>Source: 8K 2021 Q4 pg 24/29</t>
        </r>
      </text>
    </comment>
    <comment ref="AF532" authorId="0" shapeId="0" xr:uid="{18FB52EA-BB0F-4A6B-8FBF-DA621C9AF3D2}">
      <text>
        <r>
          <rPr>
            <sz val="9"/>
            <color indexed="81"/>
            <rFont val="Tahoma"/>
            <family val="2"/>
          </rPr>
          <t>Source: 8K 2021 Q4 pg 24/29</t>
        </r>
      </text>
    </comment>
    <comment ref="AF533" authorId="0" shapeId="0" xr:uid="{B6441574-B43D-41BE-A602-6AA3E76B6D94}">
      <text>
        <r>
          <rPr>
            <sz val="9"/>
            <color indexed="81"/>
            <rFont val="Tahoma"/>
            <family val="2"/>
          </rPr>
          <t>Source: 8K 2021 Q4 pg 24/29</t>
        </r>
      </text>
    </comment>
    <comment ref="AF537" authorId="0" shapeId="0" xr:uid="{534A1441-6059-40B8-A819-078FF2552216}">
      <text>
        <r>
          <rPr>
            <sz val="9"/>
            <color indexed="81"/>
            <rFont val="Tahoma"/>
            <family val="2"/>
          </rPr>
          <t>Source: 8K 2021 Q4 pg 24/29</t>
        </r>
      </text>
    </comment>
    <comment ref="AF599" authorId="0" shapeId="0" xr:uid="{825C1203-47EF-4C6C-9971-E127C3A12E20}">
      <text>
        <r>
          <rPr>
            <sz val="9"/>
            <color indexed="81"/>
            <rFont val="Tahoma"/>
            <family val="2"/>
          </rPr>
          <t>Source: Q4 2021 Presentation. Slide 31/35</t>
        </r>
      </text>
    </comment>
    <comment ref="AF649" authorId="0" shapeId="0" xr:uid="{AF136AD4-1CE1-490D-A276-BA192E5C58F0}">
      <text>
        <r>
          <rPr>
            <sz val="9"/>
            <color indexed="81"/>
            <rFont val="Tahoma"/>
            <family val="2"/>
          </rPr>
          <t>Source: Q4 2021 Presentation. Slide 31/35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J12" authorId="0" shapeId="0" xr:uid="{7FDAE86E-93D8-4964-9473-35AF7D92B580}">
      <text>
        <r>
          <rPr>
            <sz val="9"/>
            <color indexed="81"/>
            <rFont val="Tahoma"/>
            <family val="2"/>
          </rPr>
          <t>Source: Q4 2021 Presentation. Slide 17/35</t>
        </r>
      </text>
    </comment>
    <comment ref="P12" authorId="0" shapeId="0" xr:uid="{2D330077-6ADA-4403-8043-7AA00947EAE0}">
      <text>
        <r>
          <rPr>
            <sz val="9"/>
            <color indexed="81"/>
            <rFont val="Tahoma"/>
            <family val="2"/>
          </rPr>
          <t>Source: Q4 2021 Presentation. Slide 17/35</t>
        </r>
      </text>
    </comment>
    <comment ref="D13" authorId="0" shapeId="0" xr:uid="{CFFB3B15-F96D-448D-9539-525C38C2E578}">
      <text>
        <r>
          <rPr>
            <sz val="9"/>
            <color indexed="81"/>
            <rFont val="Tahoma"/>
            <family val="2"/>
          </rPr>
          <t>Source: Q4 2021 Presentation. Slide 31/35</t>
        </r>
      </text>
    </comment>
    <comment ref="E13" authorId="0" shapeId="0" xr:uid="{EFFD84F8-535E-410C-B311-929AC637639E}">
      <text>
        <r>
          <rPr>
            <sz val="9"/>
            <color indexed="81"/>
            <rFont val="Tahoma"/>
            <family val="2"/>
          </rPr>
          <t>Source: Q4 2021 Presentation. Slide 31/35</t>
        </r>
      </text>
    </comment>
    <comment ref="D14" authorId="0" shapeId="0" xr:uid="{F7A869F2-29C8-4B5F-9B1B-06721FD5A3A5}">
      <text>
        <r>
          <rPr>
            <sz val="9"/>
            <color indexed="81"/>
            <rFont val="Tahoma"/>
            <family val="2"/>
          </rPr>
          <t>Source: Q4 2021 Presentation. Slide 31/35</t>
        </r>
      </text>
    </comment>
    <comment ref="E14" authorId="0" shapeId="0" xr:uid="{5448A9BE-2494-476C-B967-B48343D46577}">
      <text>
        <r>
          <rPr>
            <sz val="9"/>
            <color indexed="81"/>
            <rFont val="Tahoma"/>
            <family val="2"/>
          </rPr>
          <t>Source: Q4 2021 Presentation. Slide 31/35</t>
        </r>
      </text>
    </comment>
    <comment ref="J18" authorId="0" shapeId="0" xr:uid="{D0EA79F0-CF8C-4370-BDA4-54B5A0B21F1C}">
      <text>
        <r>
          <rPr>
            <sz val="9"/>
            <color indexed="81"/>
            <rFont val="Tahoma"/>
            <family val="2"/>
          </rPr>
          <t>Source: Q4 2021 Presentation. Slide 17/35</t>
        </r>
      </text>
    </comment>
    <comment ref="P18" authorId="0" shapeId="0" xr:uid="{D6F91BF1-3A6A-417D-BC61-11A6F45C0ADB}">
      <text>
        <r>
          <rPr>
            <sz val="9"/>
            <color indexed="81"/>
            <rFont val="Tahoma"/>
            <family val="2"/>
          </rPr>
          <t>Source: Q4 2021 Presentation. Slide 17/35</t>
        </r>
      </text>
    </comment>
    <comment ref="D19" authorId="0" shapeId="0" xr:uid="{AAF2CF8B-F731-40A4-9C11-04C08B6AB909}">
      <text>
        <r>
          <rPr>
            <sz val="9"/>
            <color indexed="81"/>
            <rFont val="Tahoma"/>
            <family val="2"/>
          </rPr>
          <t>Source: Q4 2021 Presentation. Slide 31/35</t>
        </r>
      </text>
    </comment>
    <comment ref="E19" authorId="0" shapeId="0" xr:uid="{2CA8081C-E11B-45AB-BAFC-228D435A4FE6}">
      <text>
        <r>
          <rPr>
            <sz val="9"/>
            <color indexed="81"/>
            <rFont val="Tahoma"/>
            <family val="2"/>
          </rPr>
          <t>Source: Q4 2021 Presentation. Slide 31/35</t>
        </r>
      </text>
    </comment>
    <comment ref="D20" authorId="0" shapeId="0" xr:uid="{565B5DEF-B353-4CB8-BC69-632205423EDC}">
      <text>
        <r>
          <rPr>
            <sz val="9"/>
            <color indexed="81"/>
            <rFont val="Tahoma"/>
            <family val="2"/>
          </rPr>
          <t>Source: Q4 2021 Presentation. Slide 31/35</t>
        </r>
      </text>
    </comment>
    <comment ref="E20" authorId="0" shapeId="0" xr:uid="{646DCF8A-9230-4E4A-8A56-BC91DA8F4262}">
      <text>
        <r>
          <rPr>
            <sz val="9"/>
            <color indexed="81"/>
            <rFont val="Tahoma"/>
            <family val="2"/>
          </rPr>
          <t>Source: Q4 2021 Presentation. Slide 31/35</t>
        </r>
      </text>
    </comment>
    <comment ref="D21" authorId="0" shapeId="0" xr:uid="{7103171B-9B8C-4700-A993-EAA132D939F0}">
      <text>
        <r>
          <rPr>
            <sz val="9"/>
            <color indexed="81"/>
            <rFont val="Tahoma"/>
            <family val="2"/>
          </rPr>
          <t>Source: Q4 2021 Presentation. Slide 31/35</t>
        </r>
      </text>
    </comment>
    <comment ref="E21" authorId="0" shapeId="0" xr:uid="{7422B3E6-A498-462B-B3C4-71798E7A14BB}">
      <text>
        <r>
          <rPr>
            <sz val="9"/>
            <color indexed="81"/>
            <rFont val="Tahoma"/>
            <family val="2"/>
          </rPr>
          <t>Source: Q4 2021 Presentation. Slide 31/35</t>
        </r>
      </text>
    </comment>
    <comment ref="F26" authorId="0" shapeId="0" xr:uid="{78E9AD05-CD4D-4B2E-84CB-1CC43E675143}">
      <text>
        <r>
          <rPr>
            <sz val="9"/>
            <color indexed="81"/>
            <rFont val="Tahoma"/>
            <family val="2"/>
          </rPr>
          <t>Source: Q4 2021 Presentation. Slide 31/35</t>
        </r>
      </text>
    </comment>
    <comment ref="F27" authorId="0" shapeId="0" xr:uid="{64AFFFEE-D79B-4949-81F4-42A7D2FE67D2}">
      <text>
        <r>
          <rPr>
            <sz val="9"/>
            <color indexed="81"/>
            <rFont val="Tahoma"/>
            <family val="2"/>
          </rPr>
          <t>Source: Q4 2021 Presentation. Slide 31/35</t>
        </r>
      </text>
    </comment>
    <comment ref="F30" authorId="0" shapeId="0" xr:uid="{07508657-EEBE-4D6A-B57B-6A696FEE5D76}">
      <text>
        <r>
          <rPr>
            <sz val="9"/>
            <color indexed="81"/>
            <rFont val="Tahoma"/>
            <family val="2"/>
          </rPr>
          <t>Source: Q4 2021 Presentation. Slide 31/35</t>
        </r>
      </text>
    </comment>
    <comment ref="F31" authorId="0" shapeId="0" xr:uid="{33D83792-7973-4071-A576-998499FB4B68}">
      <text>
        <r>
          <rPr>
            <sz val="9"/>
            <color indexed="81"/>
            <rFont val="Tahoma"/>
            <family val="2"/>
          </rPr>
          <t>Source: Q4 2021 Presentation. Slide 31/35</t>
        </r>
      </text>
    </comment>
    <comment ref="D36" authorId="0" shapeId="0" xr:uid="{34AC3D74-8681-4004-8806-6AF1F31EF327}">
      <text>
        <r>
          <rPr>
            <sz val="9"/>
            <color indexed="81"/>
            <rFont val="Tahoma"/>
            <family val="2"/>
          </rPr>
          <t>Source: Q4 2021 Presentation. Slide 31/35</t>
        </r>
      </text>
    </comment>
    <comment ref="E36" authorId="0" shapeId="0" xr:uid="{96985C53-EE47-4CA6-B460-969D24BCBCC4}">
      <text>
        <r>
          <rPr>
            <sz val="9"/>
            <color indexed="81"/>
            <rFont val="Tahoma"/>
            <family val="2"/>
          </rPr>
          <t>Source: Q4 2021 Presentation. Slide 31/35</t>
        </r>
      </text>
    </comment>
    <comment ref="D37" authorId="0" shapeId="0" xr:uid="{EF9FCB21-C2AD-4C53-A084-C13F6CA6069C}">
      <text>
        <r>
          <rPr>
            <sz val="9"/>
            <color indexed="81"/>
            <rFont val="Tahoma"/>
            <family val="2"/>
          </rPr>
          <t>Source: Q4 2021 Presentation. Slide 31/35</t>
        </r>
      </text>
    </comment>
    <comment ref="E37" authorId="0" shapeId="0" xr:uid="{6A4534FB-2516-4E66-B644-A006E04ADA08}">
      <text>
        <r>
          <rPr>
            <sz val="9"/>
            <color indexed="81"/>
            <rFont val="Tahoma"/>
            <family val="2"/>
          </rPr>
          <t>Source: Q4 2021 Presentation. Slide 31/35</t>
        </r>
      </text>
    </comment>
    <comment ref="D38" authorId="0" shapeId="0" xr:uid="{E2C78C3D-CE24-4E30-8DBA-D2545283F253}">
      <text>
        <r>
          <rPr>
            <sz val="9"/>
            <color indexed="81"/>
            <rFont val="Tahoma"/>
            <family val="2"/>
          </rPr>
          <t>Source: Q4 2021 Presentation. Slide 31/35</t>
        </r>
      </text>
    </comment>
    <comment ref="E38" authorId="0" shapeId="0" xr:uid="{16EFFA13-9CC1-446B-B342-54F47E6FE6B2}">
      <text>
        <r>
          <rPr>
            <sz val="9"/>
            <color indexed="81"/>
            <rFont val="Tahoma"/>
            <family val="2"/>
          </rPr>
          <t>Source: Q4 2021 Presentation. Slide 31/35</t>
        </r>
      </text>
    </comment>
    <comment ref="D39" authorId="0" shapeId="0" xr:uid="{87AE8701-7F5C-4067-B5FE-531E25F976D9}">
      <text>
        <r>
          <rPr>
            <sz val="9"/>
            <color indexed="81"/>
            <rFont val="Tahoma"/>
            <family val="2"/>
          </rPr>
          <t>Source: Q4 2021 Presentation. Slide 31/35</t>
        </r>
      </text>
    </comment>
    <comment ref="E39" authorId="0" shapeId="0" xr:uid="{003ECBF4-0FEE-4700-948D-6873805988F0}">
      <text>
        <r>
          <rPr>
            <sz val="9"/>
            <color indexed="81"/>
            <rFont val="Tahoma"/>
            <family val="2"/>
          </rPr>
          <t>Source: Q4 2021 Presentation. Slide 31/35</t>
        </r>
      </text>
    </comment>
    <comment ref="D40" authorId="0" shapeId="0" xr:uid="{6BFEBBDC-14C0-45FC-85C7-C562D75F5657}">
      <text>
        <r>
          <rPr>
            <sz val="9"/>
            <color indexed="81"/>
            <rFont val="Tahoma"/>
            <family val="2"/>
          </rPr>
          <t xml:space="preserve">Source: Q2 2021 8K pg 11/42
</t>
        </r>
      </text>
    </comment>
    <comment ref="E40" authorId="0" shapeId="0" xr:uid="{532ED2F3-DAE0-4798-B485-90B5DA7DBA16}">
      <text>
        <r>
          <rPr>
            <sz val="9"/>
            <color indexed="81"/>
            <rFont val="Tahoma"/>
            <family val="2"/>
          </rPr>
          <t xml:space="preserve">Source: Q2 2021 8K pg 11/42
</t>
        </r>
      </text>
    </comment>
    <comment ref="D41" authorId="0" shapeId="0" xr:uid="{A3029D7C-A9F0-4EA2-94F8-C62D66C3308F}">
      <text>
        <r>
          <rPr>
            <sz val="9"/>
            <color indexed="81"/>
            <rFont val="Tahoma"/>
            <family val="2"/>
          </rPr>
          <t>Source: Q4 2021 Presentation. Slide 31/35</t>
        </r>
      </text>
    </comment>
    <comment ref="E41" authorId="0" shapeId="0" xr:uid="{5E947935-FEEB-487D-B36E-89FF2FE26AF4}">
      <text>
        <r>
          <rPr>
            <sz val="9"/>
            <color indexed="81"/>
            <rFont val="Tahoma"/>
            <family val="2"/>
          </rPr>
          <t>Source: Q4 2021 Presentation. Slide 31/35</t>
        </r>
      </text>
    </comment>
    <comment ref="D45" authorId="0" shapeId="0" xr:uid="{EA46333D-C1F3-4E32-B867-2AEF844D13E0}">
      <text>
        <r>
          <rPr>
            <sz val="9"/>
            <color indexed="81"/>
            <rFont val="Tahoma"/>
            <family val="2"/>
          </rPr>
          <t>Source: Q4 2021 Presentation. Slide 31/35</t>
        </r>
      </text>
    </comment>
    <comment ref="E45" authorId="0" shapeId="0" xr:uid="{84D3AB0C-C063-4826-9FC8-465E879F4409}">
      <text>
        <r>
          <rPr>
            <sz val="9"/>
            <color indexed="81"/>
            <rFont val="Tahoma"/>
            <family val="2"/>
          </rPr>
          <t>Source: Q4 2021 Presentation. Slide 31/35</t>
        </r>
      </text>
    </comment>
    <comment ref="D46" authorId="0" shapeId="0" xr:uid="{88ECB62D-65E9-41C3-B7DE-65343B241245}">
      <text>
        <r>
          <rPr>
            <sz val="9"/>
            <color indexed="81"/>
            <rFont val="Tahoma"/>
            <family val="2"/>
          </rPr>
          <t>Source: Q4 2021 Presentation. Slide 31/35</t>
        </r>
      </text>
    </comment>
    <comment ref="E46" authorId="0" shapeId="0" xr:uid="{B68758B3-8EFF-4C3C-AB80-43F9F9E32880}">
      <text>
        <r>
          <rPr>
            <sz val="9"/>
            <color indexed="81"/>
            <rFont val="Tahoma"/>
            <family val="2"/>
          </rPr>
          <t>Source: Q4 2021 Presentation. Slide 31/35</t>
        </r>
      </text>
    </comment>
    <comment ref="D47" authorId="0" shapeId="0" xr:uid="{74D793EC-6982-455E-A889-79CEEF29A442}">
      <text>
        <r>
          <rPr>
            <sz val="9"/>
            <color indexed="81"/>
            <rFont val="Tahoma"/>
            <family val="2"/>
          </rPr>
          <t>Source: Q4 2021 Presentation. Slide 31/35</t>
        </r>
      </text>
    </comment>
    <comment ref="E47" authorId="0" shapeId="0" xr:uid="{9FE6962E-F90B-4A9C-B5A4-EF271BF6954F}">
      <text>
        <r>
          <rPr>
            <sz val="9"/>
            <color indexed="81"/>
            <rFont val="Tahoma"/>
            <family val="2"/>
          </rPr>
          <t>Source: Q4 2021 Presentation. Slide 31/35</t>
        </r>
      </text>
    </comment>
    <comment ref="D48" authorId="0" shapeId="0" xr:uid="{F8614D17-50B5-436F-B122-987CB779D968}">
      <text>
        <r>
          <rPr>
            <sz val="9"/>
            <color indexed="81"/>
            <rFont val="Tahoma"/>
            <family val="2"/>
          </rPr>
          <t>Source: Q4 2021 Presentation. Slide 31/35</t>
        </r>
      </text>
    </comment>
    <comment ref="E48" authorId="0" shapeId="0" xr:uid="{B29BFC79-CF81-4A46-9A22-19D0854A9214}">
      <text>
        <r>
          <rPr>
            <sz val="9"/>
            <color indexed="81"/>
            <rFont val="Tahoma"/>
            <family val="2"/>
          </rPr>
          <t>Source: Q4 2021 Presentation. Slide 31/35</t>
        </r>
      </text>
    </comment>
    <comment ref="D49" authorId="0" shapeId="0" xr:uid="{99C0E6BD-E69B-473C-86D4-60EE561E577D}">
      <text>
        <r>
          <rPr>
            <sz val="9"/>
            <color indexed="81"/>
            <rFont val="Tahoma"/>
            <family val="2"/>
          </rPr>
          <t>Source: Q4 2021 Presentation. Slide 31/35</t>
        </r>
      </text>
    </comment>
    <comment ref="E49" authorId="0" shapeId="0" xr:uid="{FC656087-B585-4B09-ADA4-4F3EC5B3D8B9}">
      <text>
        <r>
          <rPr>
            <sz val="9"/>
            <color indexed="81"/>
            <rFont val="Tahoma"/>
            <family val="2"/>
          </rPr>
          <t>Source: Q4 2021 Presentation. Slide 31/35</t>
        </r>
      </text>
    </comment>
    <comment ref="D50" authorId="0" shapeId="0" xr:uid="{C5F81995-04D3-4BE9-ADF6-0E54E0FF3C46}">
      <text>
        <r>
          <rPr>
            <sz val="9"/>
            <color indexed="81"/>
            <rFont val="Tahoma"/>
            <family val="2"/>
          </rPr>
          <t>Source: Q4 2021 Presentation. Slide 31/35</t>
        </r>
      </text>
    </comment>
    <comment ref="E50" authorId="0" shapeId="0" xr:uid="{C34D6478-0D13-46C9-AA65-B49075C6AA41}">
      <text>
        <r>
          <rPr>
            <sz val="9"/>
            <color indexed="81"/>
            <rFont val="Tahoma"/>
            <family val="2"/>
          </rPr>
          <t>Source: Q4 2021 Presentation. Slide 31/35</t>
        </r>
      </text>
    </comment>
    <comment ref="F52" authorId="0" shapeId="0" xr:uid="{94CB36D8-3C5A-47CA-B749-C281856BE85B}">
      <text>
        <r>
          <rPr>
            <sz val="9"/>
            <color indexed="81"/>
            <rFont val="Tahoma"/>
            <family val="2"/>
          </rPr>
          <t>Source: Q4 2021 Presentation. Slide 31/35</t>
        </r>
      </text>
    </comment>
    <comment ref="C53" authorId="0" shapeId="0" xr:uid="{269D1ABA-6090-4B01-BA9F-E932B207474C}">
      <text>
        <r>
          <rPr>
            <sz val="9"/>
            <color indexed="81"/>
            <rFont val="Tahoma"/>
            <family val="2"/>
          </rPr>
          <t>Including Corporate Development</t>
        </r>
      </text>
    </comment>
    <comment ref="F53" authorId="0" shapeId="0" xr:uid="{3BF199DC-61ED-41B7-B8DE-6F47E0E8675B}">
      <text>
        <r>
          <rPr>
            <sz val="9"/>
            <color indexed="81"/>
            <rFont val="Tahoma"/>
            <family val="2"/>
          </rPr>
          <t>Source: Q4 2021 Presentation. Slide 31/35</t>
        </r>
      </text>
    </comment>
    <comment ref="F54" authorId="0" shapeId="0" xr:uid="{2A803B20-CAB8-4A8A-96D5-C4354839B226}">
      <text>
        <r>
          <rPr>
            <sz val="9"/>
            <color indexed="81"/>
            <rFont val="Tahoma"/>
            <family val="2"/>
          </rPr>
          <t>Source: Q4 2021 Presentation. Slide 31/35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D4" authorId="0" shapeId="0" xr:uid="{D0271661-4BEC-4FA7-BC12-75F3F83BD4E1}">
      <text>
        <r>
          <rPr>
            <sz val="9"/>
            <color indexed="81"/>
            <rFont val="Tahoma"/>
            <family val="2"/>
          </rPr>
          <t>https://in.investing.com/commodities/gold-contracts</t>
        </r>
      </text>
    </comment>
    <comment ref="G4" authorId="0" shapeId="0" xr:uid="{FCBB8376-24F4-497D-A5DC-9F686B6F4CD2}">
      <text>
        <r>
          <rPr>
            <sz val="9"/>
            <color indexed="81"/>
            <rFont val="Tahoma"/>
            <family val="2"/>
          </rPr>
          <t>https://in.investing.com/commodities/silver-contracts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AG2" authorId="0" shapeId="0" xr:uid="{5B40EE17-969B-4838-96DE-098D64723AF8}">
      <text>
        <r>
          <rPr>
            <sz val="9"/>
            <color indexed="81"/>
            <rFont val="Tahoma"/>
            <family val="2"/>
          </rPr>
          <t>https://www.global-rates.com/en/interest-rates/libor/american-dollar/usd-libor-interest-rate-3-months.aspx</t>
        </r>
      </text>
    </comment>
    <comment ref="D10" authorId="0" shapeId="0" xr:uid="{A6000361-72EA-4302-95C6-6B0FD4FA83E0}">
      <text>
        <r>
          <rPr>
            <sz val="9"/>
            <color indexed="81"/>
            <rFont val="Tahoma"/>
            <family val="2"/>
          </rPr>
          <t xml:space="preserve">Source: 10Q 2021 Q2 pg 14/77
</t>
        </r>
      </text>
    </comment>
    <comment ref="D11" authorId="0" shapeId="0" xr:uid="{BC591A8F-7F3D-4B7E-AF56-EAE6EADAD3E8}">
      <text>
        <r>
          <rPr>
            <sz val="9"/>
            <color indexed="81"/>
            <rFont val="Tahoma"/>
            <family val="2"/>
          </rPr>
          <t xml:space="preserve">Source: 10Q 2021 Q2 pg 60/77
</t>
        </r>
      </text>
    </comment>
    <comment ref="D12" authorId="0" shapeId="0" xr:uid="{0BAA901B-B006-4F7A-BCB4-B91F9C6F2ABC}">
      <text>
        <r>
          <rPr>
            <sz val="9"/>
            <color indexed="81"/>
            <rFont val="Tahoma"/>
            <family val="2"/>
          </rPr>
          <t xml:space="preserve">Source: 10Q 2021 Q2 pg 60/77
</t>
        </r>
      </text>
    </comment>
    <comment ref="D50" authorId="0" shapeId="0" xr:uid="{C259ABF4-CC98-458C-92E1-C36378DD5790}">
      <text>
        <r>
          <rPr>
            <sz val="9"/>
            <color indexed="81"/>
            <rFont val="Calibri"/>
            <family val="2"/>
            <scheme val="minor"/>
          </rPr>
          <t xml:space="preserve">Source: 10Q 2021 Q2 pg 15/77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tc={12DFF6AA-B1CF-4F8F-8C25-4114130EF7A2}</author>
  </authors>
  <commentList>
    <comment ref="O4" authorId="0" shapeId="0" xr:uid="{12DFF6AA-B1CF-4F8F-8C25-4114130EF7A2}">
      <text>
        <t>[Threaded comment]
Your version of Excel allows you to read this threaded comment; however, any edits to it will get removed if the file is opened in a newer version of Excel. Learn more: https://go.microsoft.com/fwlink/?linkid=870924
Comment:
    could be oas, z-spread, price, etc.</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<sst xmlns="http://schemas.openxmlformats.org/spreadsheetml/2006/main" count="1634" uniqueCount="813">
  <si>
    <t>Ticker:</t>
  </si>
  <si>
    <t>Industry:</t>
  </si>
  <si>
    <t xml:space="preserve">CEO: </t>
  </si>
  <si>
    <t>Last report date:</t>
  </si>
  <si>
    <t>BBSwitch</t>
  </si>
  <si>
    <t xml:space="preserve">Subsector: </t>
  </si>
  <si>
    <t xml:space="preserve">CFO: </t>
  </si>
  <si>
    <t>Next report date:</t>
  </si>
  <si>
    <t xml:space="preserve">HQ Location: </t>
  </si>
  <si>
    <t xml:space="preserve">IR: </t>
  </si>
  <si>
    <t xml:space="preserve">Rimrock Analyst: </t>
  </si>
  <si>
    <t>Fiscal year end:</t>
  </si>
  <si>
    <t>Holdings Summary</t>
  </si>
  <si>
    <t>Credit Ratings, Credit Score and Investment Merits/Risks</t>
  </si>
  <si>
    <t>Issue</t>
  </si>
  <si>
    <t>Par Owned</t>
  </si>
  <si>
    <t>Mkt Px</t>
  </si>
  <si>
    <t>Mkt Val</t>
  </si>
  <si>
    <t>CY</t>
  </si>
  <si>
    <t>YTW</t>
  </si>
  <si>
    <t>OAS^</t>
  </si>
  <si>
    <t>OAD^</t>
  </si>
  <si>
    <t>Issuer Ratings &amp; Outlook</t>
  </si>
  <si>
    <t>Investment Merits "Notecard"</t>
  </si>
  <si>
    <t>Rimrock</t>
  </si>
  <si>
    <t>Total Return</t>
  </si>
  <si>
    <t>Moody's</t>
  </si>
  <si>
    <t>S&amp;P</t>
  </si>
  <si>
    <t>Business Description</t>
  </si>
  <si>
    <t>Credit Scoring Matrix</t>
  </si>
  <si>
    <t>Metric</t>
  </si>
  <si>
    <t>Score</t>
  </si>
  <si>
    <t>Industry</t>
  </si>
  <si>
    <t>Company</t>
  </si>
  <si>
    <t>Management</t>
  </si>
  <si>
    <t>Capital Structure</t>
  </si>
  <si>
    <t>Cashflow</t>
  </si>
  <si>
    <t>Recovery</t>
  </si>
  <si>
    <t>Liquidity</t>
  </si>
  <si>
    <t>Covenants</t>
  </si>
  <si>
    <t>Total</t>
  </si>
  <si>
    <t>Capital Structure, Liquidity and Maturity Profile</t>
  </si>
  <si>
    <t>EBITDA/FCF are LTM</t>
  </si>
  <si>
    <t>FV</t>
  </si>
  <si>
    <t>MV</t>
  </si>
  <si>
    <t>Debt Maturities</t>
  </si>
  <si>
    <t>Description</t>
  </si>
  <si>
    <t>Rating</t>
  </si>
  <si>
    <t>Outs.(mm)</t>
  </si>
  <si>
    <t>Coupon</t>
  </si>
  <si>
    <t>Price</t>
  </si>
  <si>
    <t>% of TEV</t>
  </si>
  <si>
    <t>Leverage</t>
  </si>
  <si>
    <t xml:space="preserve">x FCF </t>
  </si>
  <si>
    <t>Int. Cov.</t>
  </si>
  <si>
    <t>Source</t>
  </si>
  <si>
    <t>Amount</t>
  </si>
  <si>
    <t>Year</t>
  </si>
  <si>
    <t>Unrestricted Cash</t>
  </si>
  <si>
    <t>Revolver Size</t>
  </si>
  <si>
    <t>Available</t>
  </si>
  <si>
    <t>- Amt Drawn</t>
  </si>
  <si>
    <t>- LC's</t>
  </si>
  <si>
    <t>Total Debt</t>
  </si>
  <si>
    <t>Unutilized Revolver</t>
  </si>
  <si>
    <t>Thereafter</t>
  </si>
  <si>
    <t>Less Cash</t>
  </si>
  <si>
    <t xml:space="preserve">Total Liquidity </t>
  </si>
  <si>
    <t>Net Debt</t>
  </si>
  <si>
    <t>Preferred &amp; Minority Interest</t>
  </si>
  <si>
    <t>Market Cap</t>
  </si>
  <si>
    <t>Enterprise Value</t>
  </si>
  <si>
    <t>LTM EBITDA</t>
  </si>
  <si>
    <t>Financial Summary</t>
  </si>
  <si>
    <t>Key Covenant and Structure Considerations</t>
  </si>
  <si>
    <t xml:space="preserve">Revenue </t>
  </si>
  <si>
    <t>Revenue Growth</t>
  </si>
  <si>
    <t>Gross Profit (% of rev)</t>
  </si>
  <si>
    <t>SG&amp;A (% of rev)</t>
  </si>
  <si>
    <t>EBITDA</t>
  </si>
  <si>
    <t>EBITDA margin (% of rev)</t>
  </si>
  <si>
    <t>Capex (% of rev)</t>
  </si>
  <si>
    <t>FCF (% of rev)</t>
  </si>
  <si>
    <t>FCF (% of debt)**</t>
  </si>
  <si>
    <t>Divs / Share Repo (% of debt)**</t>
  </si>
  <si>
    <t>ROA**</t>
  </si>
  <si>
    <t>ROIC**</t>
  </si>
  <si>
    <t>Gross Debt / EBITDA**</t>
  </si>
  <si>
    <t>Net Debt / EBITDA**</t>
  </si>
  <si>
    <t>Valuation and Ownership</t>
  </si>
  <si>
    <t>EBITDA / Interest**</t>
  </si>
  <si>
    <t>Equity Comps</t>
  </si>
  <si>
    <t>Equity Ownership</t>
  </si>
  <si>
    <t>EBIT / Interest**</t>
  </si>
  <si>
    <t>EV/</t>
  </si>
  <si>
    <t>Public</t>
  </si>
  <si>
    <t>EBITDA / Total Fixed Charges***</t>
  </si>
  <si>
    <t>LTV</t>
  </si>
  <si>
    <t>Top 5 holders (reported):</t>
  </si>
  <si>
    <t>Debt / Book Capital</t>
  </si>
  <si>
    <t>Holder</t>
  </si>
  <si>
    <t>Percentage</t>
  </si>
  <si>
    <t>Net Debt / Tangible Assets*</t>
  </si>
  <si>
    <t>NOTES</t>
  </si>
  <si>
    <t>*Tangible Assets include A/R, Inventories and BV of PP&amp;E</t>
  </si>
  <si>
    <t>***Fixed charges includes interest, principal, taxes, CAPEX, dividends, equity issuance/(repurchases) and excludes working capital changes</t>
  </si>
  <si>
    <t>^For loans, spread to 3y takeout and spread duration are substited for OAS and OAD. For NC bonds z-spread and spread duration are substituted</t>
  </si>
  <si>
    <t>Prepared by:</t>
  </si>
  <si>
    <t>security_name</t>
  </si>
  <si>
    <t>rtg_sp</t>
  </si>
  <si>
    <t>amt_outstanding</t>
  </si>
  <si>
    <t>cpn</t>
  </si>
  <si>
    <t>px_last</t>
  </si>
  <si>
    <t>yld_cur_bid</t>
  </si>
  <si>
    <t>yld_cnv_bid</t>
  </si>
  <si>
    <t>Maturity</t>
  </si>
  <si>
    <t>Issue_dt</t>
  </si>
  <si>
    <t>Loan_typ</t>
  </si>
  <si>
    <t>LN_TRANCHE_SIZE</t>
  </si>
  <si>
    <t>CRNCY</t>
  </si>
  <si>
    <t>spd mod dur mid</t>
  </si>
  <si>
    <t>DISCOUNT MARGIN 3YR MID</t>
  </si>
  <si>
    <t>payment_rank</t>
  </si>
  <si>
    <t>Long_comp_name</t>
  </si>
  <si>
    <t>security_short_des</t>
  </si>
  <si>
    <t>rtg_SP_LT_LC_ISSUER_CREDIT</t>
  </si>
  <si>
    <t>Issue Date.</t>
  </si>
  <si>
    <t>Debt type</t>
  </si>
  <si>
    <t>Tranche</t>
  </si>
  <si>
    <t>Fx. rate</t>
  </si>
  <si>
    <t>Currency</t>
  </si>
  <si>
    <t>Spread Duration</t>
  </si>
  <si>
    <t>OAS</t>
  </si>
  <si>
    <t>ST3</t>
  </si>
  <si>
    <t>OAD</t>
  </si>
  <si>
    <t>Payment Rank</t>
  </si>
  <si>
    <t>Issuer Name</t>
  </si>
  <si>
    <t>x</t>
  </si>
  <si>
    <t>-4FY</t>
  </si>
  <si>
    <t>-3FY</t>
  </si>
  <si>
    <t>-2FY</t>
  </si>
  <si>
    <t>-1FY</t>
  </si>
  <si>
    <t>-0FY</t>
  </si>
  <si>
    <t>1FY</t>
  </si>
  <si>
    <t>-7FQ</t>
  </si>
  <si>
    <t>-6FQ</t>
  </si>
  <si>
    <t>-5FQ</t>
  </si>
  <si>
    <t>-4FQ</t>
  </si>
  <si>
    <t>-3FQ</t>
  </si>
  <si>
    <t>-2FQ</t>
  </si>
  <si>
    <t>-1FQ</t>
  </si>
  <si>
    <t>-0FQ</t>
  </si>
  <si>
    <t>1FQ</t>
  </si>
  <si>
    <t>FA</t>
  </si>
  <si>
    <t>EEO</t>
  </si>
  <si>
    <t>FY17A</t>
  </si>
  <si>
    <t>FY18A</t>
  </si>
  <si>
    <t>FY19A</t>
  </si>
  <si>
    <t>LTM</t>
  </si>
  <si>
    <t>SALES_REV_TURN</t>
  </si>
  <si>
    <t>BEST_SALES</t>
  </si>
  <si>
    <t>Gross profit</t>
  </si>
  <si>
    <t>GROSS_PROFIT</t>
  </si>
  <si>
    <t>SG&amp;A</t>
  </si>
  <si>
    <t>EBIT</t>
  </si>
  <si>
    <t>IS_OPER_INC</t>
  </si>
  <si>
    <t>BEST_OPP</t>
  </si>
  <si>
    <t>BEST_EBITDA</t>
  </si>
  <si>
    <t>FCF</t>
  </si>
  <si>
    <t>CF_FREE_CASH_FLOW</t>
  </si>
  <si>
    <t>BEST_ESTIMATE_FCF</t>
  </si>
  <si>
    <t>Interest Expenses</t>
  </si>
  <si>
    <t>IS_INT_EXPENSE</t>
  </si>
  <si>
    <t>Taxes</t>
  </si>
  <si>
    <t xml:space="preserve">Capex </t>
  </si>
  <si>
    <t>CF_CAP_EXPEND_PRPTY_ADD</t>
  </si>
  <si>
    <t>BEST_CAPEX</t>
  </si>
  <si>
    <t>Dividend Paid</t>
  </si>
  <si>
    <t>CF_DVD_PAID</t>
  </si>
  <si>
    <t>Share Repurchase</t>
  </si>
  <si>
    <t>CF_DECR_CAP_STOCK</t>
  </si>
  <si>
    <t>Principal paid</t>
  </si>
  <si>
    <t>Total Fixed Charges</t>
  </si>
  <si>
    <t>SHORT_AND_LONG_TERM_DEBT</t>
  </si>
  <si>
    <t>NET_DEBT</t>
  </si>
  <si>
    <t>BEST_NET_DEBT</t>
  </si>
  <si>
    <t>Total Equity</t>
  </si>
  <si>
    <t>TOTAL_EQUITY</t>
  </si>
  <si>
    <t>Cash</t>
  </si>
  <si>
    <t>BS_CASH_NEAR_CASH_ITEM</t>
  </si>
  <si>
    <t>Total Assets</t>
  </si>
  <si>
    <t>BS_TOT_ASSET</t>
  </si>
  <si>
    <t>A/R</t>
  </si>
  <si>
    <t>Inventories</t>
  </si>
  <si>
    <t>BV of PP&amp;E</t>
  </si>
  <si>
    <t>Tangible Assets</t>
  </si>
  <si>
    <t>TANGIBLE_ASSETS</t>
  </si>
  <si>
    <t>BEST_GROSS_MARGIN</t>
  </si>
  <si>
    <t>Top 20 Shareholders</t>
  </si>
  <si>
    <t>Portfolio Name</t>
  </si>
  <si>
    <t>Opt</t>
  </si>
  <si>
    <t>Position</t>
  </si>
  <si>
    <t>% Outstanding</t>
  </si>
  <si>
    <t>Latest Chg</t>
  </si>
  <si>
    <t>File Date</t>
  </si>
  <si>
    <t>Insvestment Type</t>
  </si>
  <si>
    <t>n/a</t>
  </si>
  <si>
    <t>Unclassified</t>
  </si>
  <si>
    <t>13F</t>
  </si>
  <si>
    <t>Investment Advisor</t>
  </si>
  <si>
    <t>United States</t>
  </si>
  <si>
    <t>Los Angeles/Pasadena</t>
  </si>
  <si>
    <t>ULT-AGG</t>
  </si>
  <si>
    <t>Philadelphia</t>
  </si>
  <si>
    <t>New York City/Southern CT/Northern NJ</t>
  </si>
  <si>
    <t>Boston</t>
  </si>
  <si>
    <t>Oslo</t>
  </si>
  <si>
    <t>Norway</t>
  </si>
  <si>
    <t>Springfield</t>
  </si>
  <si>
    <t>Tokyo</t>
  </si>
  <si>
    <t>Japan</t>
  </si>
  <si>
    <t>Memphis</t>
  </si>
  <si>
    <t>Bloomberg Peer</t>
  </si>
  <si>
    <t>services company. The Company's products and services include aircraft engines,</t>
  </si>
  <si>
    <t>power generation, water processing, and household appliances to medical imaging,</t>
  </si>
  <si>
    <t>business and consumer financing, and industrial products.</t>
  </si>
  <si>
    <t>RR %  - Existing / Max</t>
  </si>
  <si>
    <t>RR $ Existing / Max</t>
  </si>
  <si>
    <t xml:space="preserve">RR Funds: </t>
  </si>
  <si>
    <t>Name</t>
  </si>
  <si>
    <t>CREDIT SUMMARY</t>
  </si>
  <si>
    <t>IF(BBswitch=1,BQL.Query("get(Name)for( bonds(['"&amp;$D$3&amp;" Equity'], IssuedBy=credit_family) )with(Dates="&amp;TEXT(TODAY(),"yyyy-mm-dd")&amp;")","cols=2;rows=4"),C75)</t>
  </si>
  <si>
    <t>3-sig Px</t>
  </si>
  <si>
    <t>**Quarters use LTM income statement figures</t>
  </si>
  <si>
    <t>Issue Size</t>
  </si>
  <si>
    <t>Q220A</t>
  </si>
  <si>
    <t>LTM Tax rate</t>
  </si>
  <si>
    <t>EBIT (% of rev)</t>
  </si>
  <si>
    <t>GAAP Income Statement:</t>
  </si>
  <si>
    <t>Period End</t>
  </si>
  <si>
    <t>YTD</t>
  </si>
  <si>
    <t>(All Values in US$ millions)</t>
  </si>
  <si>
    <t>Ending Balance</t>
  </si>
  <si>
    <t>(Pay down) / Borrowings</t>
  </si>
  <si>
    <t>Beginning Balance</t>
  </si>
  <si>
    <t>Additional Drawdown</t>
  </si>
  <si>
    <t>&lt;&lt; Maturity Date</t>
  </si>
  <si>
    <t>Revolver</t>
  </si>
  <si>
    <t>Cash Available for Revolver/ABL</t>
  </si>
  <si>
    <t>Long-Term Debt Issuances / (Repayment)</t>
  </si>
  <si>
    <t>Cash Available for Debt Repayment</t>
  </si>
  <si>
    <t>Less: Minimum Cash</t>
  </si>
  <si>
    <t>Less: Dividends</t>
  </si>
  <si>
    <t>Plus: Beginning Cash</t>
  </si>
  <si>
    <t>Revolver:</t>
  </si>
  <si>
    <t>Total Interest Expense</t>
  </si>
  <si>
    <t>Interest Expense</t>
  </si>
  <si>
    <t xml:space="preserve">Total Average Debt Balance </t>
  </si>
  <si>
    <t xml:space="preserve">Average Debt Balance </t>
  </si>
  <si>
    <t>Total Required Amortization</t>
  </si>
  <si>
    <t>Amortization:</t>
  </si>
  <si>
    <t>Net unamortized debt issuance costs</t>
  </si>
  <si>
    <t>Credit Facility</t>
  </si>
  <si>
    <t xml:space="preserve">Ending Debt Balance </t>
  </si>
  <si>
    <t>Check</t>
  </si>
  <si>
    <t>Net Income</t>
  </si>
  <si>
    <t>Stock option compensation expense</t>
  </si>
  <si>
    <t>Equity classified share unit expense</t>
  </si>
  <si>
    <t>Revenue</t>
  </si>
  <si>
    <t>Ancilliary and logistical service expenses</t>
  </si>
  <si>
    <t>Employee compensation expenses</t>
  </si>
  <si>
    <t>Building, facilities and technology expenses</t>
  </si>
  <si>
    <t>Travel, advertising and promotion expenses</t>
  </si>
  <si>
    <t>Other cost of services</t>
  </si>
  <si>
    <t>Total cost of services</t>
  </si>
  <si>
    <t>SG&amp;A Expense</t>
  </si>
  <si>
    <t>Cost of Services</t>
  </si>
  <si>
    <t>Professional fees</t>
  </si>
  <si>
    <t>Other SG&amp;A expense</t>
  </si>
  <si>
    <t>Total SG&amp;A expense</t>
  </si>
  <si>
    <t>Key Metrics</t>
  </si>
  <si>
    <t>% of SG&amp;A</t>
  </si>
  <si>
    <t>1fy</t>
  </si>
  <si>
    <t>2fy</t>
  </si>
  <si>
    <t>2fq</t>
  </si>
  <si>
    <t>BB Switch</t>
  </si>
  <si>
    <t>Ticker</t>
  </si>
  <si>
    <t>Tolerance</t>
  </si>
  <si>
    <t>Consensus vs Model:</t>
  </si>
  <si>
    <t>Vs Consensus</t>
  </si>
  <si>
    <t>Consensus</t>
  </si>
  <si>
    <t>Model</t>
  </si>
  <si>
    <t>$</t>
  </si>
  <si>
    <t>%</t>
  </si>
  <si>
    <t>EBITDA Margin</t>
  </si>
  <si>
    <t>Chris Smith</t>
  </si>
  <si>
    <t>Less: Repayment of finance lease obligations</t>
  </si>
  <si>
    <t>Q320A</t>
  </si>
  <si>
    <t>Tgt IRR</t>
  </si>
  <si>
    <t>Key Risks</t>
  </si>
  <si>
    <t>BLACKROCK</t>
  </si>
  <si>
    <t>Form 4</t>
  </si>
  <si>
    <t>STATE STREET CORP</t>
  </si>
  <si>
    <t>EBIT. Margin</t>
  </si>
  <si>
    <t>3fq</t>
  </si>
  <si>
    <t>3fy</t>
  </si>
  <si>
    <t>FY20A</t>
  </si>
  <si>
    <t>FY22E</t>
  </si>
  <si>
    <t>Q420A</t>
  </si>
  <si>
    <t>4fq</t>
  </si>
  <si>
    <t>Sales of products</t>
  </si>
  <si>
    <t>Cost of sales and other direct production costs</t>
  </si>
  <si>
    <t>Depreciation, depletion and amortization</t>
  </si>
  <si>
    <t>General and administrative</t>
  </si>
  <si>
    <t>Exploration</t>
  </si>
  <si>
    <t>Pre-development</t>
  </si>
  <si>
    <t>Other operating expense</t>
  </si>
  <si>
    <t>Ramp-up and suspension costs</t>
  </si>
  <si>
    <t>Provision for closed operations and environmental matters</t>
  </si>
  <si>
    <t>Income (loss) from operations</t>
  </si>
  <si>
    <t>Gain on exchange of investments</t>
  </si>
  <si>
    <t>Other non-operating expense</t>
  </si>
  <si>
    <t>Interest expense</t>
  </si>
  <si>
    <t>Income (loss) before income and mining taxes</t>
  </si>
  <si>
    <t>Income and mining tax (provision) benefit</t>
  </si>
  <si>
    <t>Net income (loss)</t>
  </si>
  <si>
    <t>Preferred stock dividends</t>
  </si>
  <si>
    <t>Income (loss) applicable to common stockholders</t>
  </si>
  <si>
    <t>Cash dividends per common share</t>
  </si>
  <si>
    <t>EPS: Basic</t>
  </si>
  <si>
    <t>EPS: Diluted</t>
  </si>
  <si>
    <t>Weighted average number of common shares: Basic</t>
  </si>
  <si>
    <t>Weighted average number of common shares: Diluted</t>
  </si>
  <si>
    <t>Balance Sheet</t>
  </si>
  <si>
    <t>Concentrates, doré, and stockpiled ore</t>
  </si>
  <si>
    <t>Materials and supplies</t>
  </si>
  <si>
    <t>Derivatives assets</t>
  </si>
  <si>
    <t>Other current assets</t>
  </si>
  <si>
    <t>Total current assets</t>
  </si>
  <si>
    <t>Investments</t>
  </si>
  <si>
    <t>Properties, plants, equipment and mineral interests, net</t>
  </si>
  <si>
    <t>Accounts payable and accrued liabilities</t>
  </si>
  <si>
    <t>Accrued payroll and related benefits</t>
  </si>
  <si>
    <t>Accrued taxes</t>
  </si>
  <si>
    <t>Finance leases</t>
  </si>
  <si>
    <t>Operating leases</t>
  </si>
  <si>
    <t>Accrued reclamation and closure costs</t>
  </si>
  <si>
    <t>Derivatives liabilities</t>
  </si>
  <si>
    <t>Total current liabilities</t>
  </si>
  <si>
    <t>Long-term debt</t>
  </si>
  <si>
    <t>Deferred tax liability</t>
  </si>
  <si>
    <t>Pension liability</t>
  </si>
  <si>
    <t>Other non-current liabilities</t>
  </si>
  <si>
    <t>Total liabilities</t>
  </si>
  <si>
    <t>Series B preferred stock</t>
  </si>
  <si>
    <t>Common stock</t>
  </si>
  <si>
    <t>Capital surplus</t>
  </si>
  <si>
    <t>Accumulated deficit</t>
  </si>
  <si>
    <t>Accumulated other comprehensive loss</t>
  </si>
  <si>
    <t>Less treasury stock, at cost</t>
  </si>
  <si>
    <t xml:space="preserve">Total stockholders’ equity </t>
  </si>
  <si>
    <t>Total liabilities and stockholders’ equity</t>
  </si>
  <si>
    <t>Research and development</t>
  </si>
  <si>
    <t>Loss (gain) on disposition of property, plants, equipment and mineral interests</t>
  </si>
  <si>
    <t>Acquisition costs</t>
  </si>
  <si>
    <t>Foundation grant</t>
  </si>
  <si>
    <t>(Loss) Gain on derivative contracts</t>
  </si>
  <si>
    <t>Prepaid taxes</t>
  </si>
  <si>
    <t>Account receivables</t>
  </si>
  <si>
    <t>Current portion of finance leases</t>
  </si>
  <si>
    <t>Non-current portion of finance leases</t>
  </si>
  <si>
    <t>Current portion of operating leases</t>
  </si>
  <si>
    <t>Non-current portion of operating leases</t>
  </si>
  <si>
    <t>Current portion of derivatives liabilities</t>
  </si>
  <si>
    <t>Non-current portion of derivatives liabilities</t>
  </si>
  <si>
    <t>Current portion of accrued reclamation and closure costs</t>
  </si>
  <si>
    <t>Non-current portion of accrued reclamation and closure costs</t>
  </si>
  <si>
    <t>Cash Flow Statement</t>
  </si>
  <si>
    <t>Net income</t>
  </si>
  <si>
    <t>Stock compensation</t>
  </si>
  <si>
    <t>Other non-cash items, net</t>
  </si>
  <si>
    <t>Change in assets and liabilities:</t>
  </si>
  <si>
    <t>Accounts receivable</t>
  </si>
  <si>
    <t>Other current and non-current assets</t>
  </si>
  <si>
    <t>Accrued reclamation and closure costs and other non-current liabilities</t>
  </si>
  <si>
    <t>Cash provided by operating activities</t>
  </si>
  <si>
    <t>Additions to properties, plants, equipment and mineral interests</t>
  </si>
  <si>
    <t>Net cash used in investing activities</t>
  </si>
  <si>
    <t>Dividends paid to common stockholders</t>
  </si>
  <si>
    <t>Dividends paid to preferred stockholders</t>
  </si>
  <si>
    <t>Net cash provided by (used in) financing activities</t>
  </si>
  <si>
    <t>Effect of exchange rates on cash</t>
  </si>
  <si>
    <t>Net increase in cash, cash equivalents and restricted cash and cash equivalents</t>
  </si>
  <si>
    <t>Cash, cash equivalents and restricted cash and cash equivalents at beginning of period</t>
  </si>
  <si>
    <t>Cash, cash equivalents and restricted cash and cash equivalents at end of period</t>
  </si>
  <si>
    <r>
      <rPr>
        <sz val="8"/>
        <color rgb="FFFF0000"/>
        <rFont val="Calibri"/>
        <family val="2"/>
        <scheme val="minor"/>
      </rPr>
      <t>Repayments</t>
    </r>
    <r>
      <rPr>
        <sz val="8"/>
        <color theme="1"/>
        <rFont val="Calibri"/>
        <family val="2"/>
        <scheme val="minor"/>
      </rPr>
      <t xml:space="preserve"> of debt</t>
    </r>
  </si>
  <si>
    <r>
      <rPr>
        <sz val="8"/>
        <color rgb="FF00B050"/>
        <rFont val="Calibri"/>
        <family val="2"/>
        <scheme val="minor"/>
      </rPr>
      <t>Borrowings</t>
    </r>
    <r>
      <rPr>
        <sz val="8"/>
        <color theme="1"/>
        <rFont val="Calibri"/>
        <family val="2"/>
        <scheme val="minor"/>
      </rPr>
      <t xml:space="preserve"> on debt</t>
    </r>
  </si>
  <si>
    <t>BS</t>
  </si>
  <si>
    <t>CF</t>
  </si>
  <si>
    <t>Circ</t>
  </si>
  <si>
    <t>On</t>
  </si>
  <si>
    <t>Off</t>
  </si>
  <si>
    <t>Senior notes</t>
  </si>
  <si>
    <t>IQ notes</t>
  </si>
  <si>
    <t>Adj. EBITDA reconciliation</t>
  </si>
  <si>
    <t>+ Interest expense</t>
  </si>
  <si>
    <t>+ Income and mining taxes</t>
  </si>
  <si>
    <t>+ Acquisition costs</t>
  </si>
  <si>
    <t>+ Depreciation, depletion and amortization</t>
  </si>
  <si>
    <t>+ Foreign exchange (gain) loss</t>
  </si>
  <si>
    <t>+ Ramp-up and suspension costs</t>
  </si>
  <si>
    <t>+ Provisional price gains</t>
  </si>
  <si>
    <t>+ (Loss) gain on disposition of properties, plants, equipment and mineral interests</t>
  </si>
  <si>
    <t>+ Stock-based compensation</t>
  </si>
  <si>
    <t>+ Provision for closed operations and environmental matters</t>
  </si>
  <si>
    <t>+ Unrealized loss (gain) on investments</t>
  </si>
  <si>
    <t>+ Other</t>
  </si>
  <si>
    <t>+ Deferred revenue net of production costs</t>
  </si>
  <si>
    <t>+ Foundation grant</t>
  </si>
  <si>
    <t>Tons of ore milled</t>
  </si>
  <si>
    <t>Ratios</t>
  </si>
  <si>
    <t>DSO</t>
  </si>
  <si>
    <t>DIO</t>
  </si>
  <si>
    <t>DPO</t>
  </si>
  <si>
    <t>Cash conversion cycle</t>
  </si>
  <si>
    <t>As a % of revenue</t>
  </si>
  <si>
    <t>Capital additions (in millions)</t>
  </si>
  <si>
    <t>Treatment costs</t>
  </si>
  <si>
    <t>Change in product inventory</t>
  </si>
  <si>
    <t>Reclamation and other costs</t>
  </si>
  <si>
    <t>Sustaining capital</t>
  </si>
  <si>
    <t>By-product credits:</t>
  </si>
  <si>
    <t>Total By-product credits</t>
  </si>
  <si>
    <t>Cash Cost, After By-product Credits</t>
  </si>
  <si>
    <t>AISC, After By-product Credits</t>
  </si>
  <si>
    <t>Divided by ounces produced</t>
  </si>
  <si>
    <t>Cash Cost, Before By-product Credits</t>
  </si>
  <si>
    <t>AISC, Before By-product Credits</t>
  </si>
  <si>
    <t>Corporate</t>
  </si>
  <si>
    <t xml:space="preserve">  Zinc</t>
  </si>
  <si>
    <t xml:space="preserve">  Gold</t>
  </si>
  <si>
    <t xml:space="preserve">  Lead</t>
  </si>
  <si>
    <t>Exclusion of Lucky Friday costs</t>
  </si>
  <si>
    <t>Cash costs excluded</t>
  </si>
  <si>
    <t xml:space="preserve">  Silver</t>
  </si>
  <si>
    <t>Total Silver + Gold</t>
  </si>
  <si>
    <t xml:space="preserve">Cash Cost, Before By-product Credits </t>
  </si>
  <si>
    <t xml:space="preserve"> </t>
  </si>
  <si>
    <t>Asset Schedule</t>
  </si>
  <si>
    <t>Beginning Properties, plants, equipment and mineral interests, net</t>
  </si>
  <si>
    <t>- Depreciation</t>
  </si>
  <si>
    <t>Ending Properties, plants, equipment and mineral interests, net</t>
  </si>
  <si>
    <t>Capex as a % of revenue</t>
  </si>
  <si>
    <t>Sales</t>
  </si>
  <si>
    <t>Cost of sales</t>
  </si>
  <si>
    <t xml:space="preserve">Sales </t>
  </si>
  <si>
    <t>Adjusted EBITDA</t>
  </si>
  <si>
    <t>Cash flow from operations</t>
  </si>
  <si>
    <t>- Additions to properties, plants, equipment and mineral interests</t>
  </si>
  <si>
    <t>Free cash flow</t>
  </si>
  <si>
    <t xml:space="preserve">  Silver (oz.)</t>
  </si>
  <si>
    <t xml:space="preserve">  Gold (oz.)</t>
  </si>
  <si>
    <t xml:space="preserve">  Zinc  (tons)</t>
  </si>
  <si>
    <t xml:space="preserve">  Lead (tons)</t>
  </si>
  <si>
    <t>Total production</t>
  </si>
  <si>
    <t>Total payable metal quantities sold</t>
  </si>
  <si>
    <t>Total by-product credits</t>
  </si>
  <si>
    <t>Total production:</t>
  </si>
  <si>
    <t>Equity Schedule</t>
  </si>
  <si>
    <t>Series B Preferred Stock</t>
  </si>
  <si>
    <t xml:space="preserve">  Opening Balance</t>
  </si>
  <si>
    <t>Common Stock</t>
  </si>
  <si>
    <t>APIC</t>
  </si>
  <si>
    <t>Accumulated Deficit</t>
  </si>
  <si>
    <t>Accumulated other comprehensive loss, net</t>
  </si>
  <si>
    <t>Treasury Stock</t>
  </si>
  <si>
    <t>Guidance vs Model:</t>
  </si>
  <si>
    <t>Vs Guidance</t>
  </si>
  <si>
    <t>Low</t>
  </si>
  <si>
    <t>High</t>
  </si>
  <si>
    <t>Avg. Guidance</t>
  </si>
  <si>
    <t>Greens Creek</t>
  </si>
  <si>
    <t>Lucky Friday</t>
  </si>
  <si>
    <t>Total Silver</t>
  </si>
  <si>
    <t>Casa Berardi</t>
  </si>
  <si>
    <t>Nevada Operations</t>
  </si>
  <si>
    <t>Total Gold</t>
  </si>
  <si>
    <t>Cost of Sales</t>
  </si>
  <si>
    <t xml:space="preserve">  Greens Creek</t>
  </si>
  <si>
    <t xml:space="preserve">  Lucky Friday</t>
  </si>
  <si>
    <t xml:space="preserve">  Casa Berardi</t>
  </si>
  <si>
    <t xml:space="preserve">  Nevada Operations</t>
  </si>
  <si>
    <t>Cash cost, after by-product credits, per silver/gold ounce</t>
  </si>
  <si>
    <t>AISC, after by-product credits per produced silver/gold ounce</t>
  </si>
  <si>
    <t>Capital expenditures</t>
  </si>
  <si>
    <t>Pre-development expenditures</t>
  </si>
  <si>
    <t>Exploration expenditures</t>
  </si>
  <si>
    <t>Silver Production (Moz)</t>
  </si>
  <si>
    <t>Gold Production (Koz)</t>
  </si>
  <si>
    <t>Production '000</t>
  </si>
  <si>
    <t>Payable metal quantities sold '000</t>
  </si>
  <si>
    <t>Recovery %</t>
  </si>
  <si>
    <t>+ Change in accounting for marketable equity securities</t>
  </si>
  <si>
    <t>+ Net income</t>
  </si>
  <si>
    <t>+ Restricted stock units granted</t>
  </si>
  <si>
    <t>+ Restricted stock units distribution</t>
  </si>
  <si>
    <t>+ Common stock issued for cash</t>
  </si>
  <si>
    <t>+ Common stock issued to directors</t>
  </si>
  <si>
    <t>+ Common stock issued for pension plan</t>
  </si>
  <si>
    <t>+ Common stock issued for 401(k) match</t>
  </si>
  <si>
    <t>+ Common stock issued for prepayment of debt</t>
  </si>
  <si>
    <t>+ Common stock and warrants issued for purchase of another company</t>
  </si>
  <si>
    <t xml:space="preserve">+ Common stock issued for employee incentive compensation </t>
  </si>
  <si>
    <t>+ Other comprehensive income</t>
  </si>
  <si>
    <t>+ Adjustment to fair value of warrants issued for purchase of another company</t>
  </si>
  <si>
    <t>+ Common stock dividends</t>
  </si>
  <si>
    <t>+ Series B Preferred Stock dividends</t>
  </si>
  <si>
    <t>+ Treasury shares issued to charitable foundation</t>
  </si>
  <si>
    <r>
      <t xml:space="preserve">  Silver: </t>
    </r>
    <r>
      <rPr>
        <sz val="8"/>
        <color rgb="FFFF0000"/>
        <rFont val="Calibri"/>
        <family val="2"/>
        <scheme val="minor"/>
      </rPr>
      <t>($/oz)</t>
    </r>
  </si>
  <si>
    <r>
      <t xml:space="preserve">  Gold - </t>
    </r>
    <r>
      <rPr>
        <sz val="8"/>
        <color rgb="FFFF0000"/>
        <rFont val="Calibri"/>
        <family val="2"/>
        <scheme val="minor"/>
      </rPr>
      <t>($/oz)</t>
    </r>
  </si>
  <si>
    <r>
      <t xml:space="preserve">  Lead - </t>
    </r>
    <r>
      <rPr>
        <sz val="8"/>
        <color rgb="FF00B050"/>
        <rFont val="Calibri"/>
        <family val="2"/>
        <scheme val="minor"/>
      </rPr>
      <t>($/pound)</t>
    </r>
  </si>
  <si>
    <r>
      <t xml:space="preserve">  Zinc - </t>
    </r>
    <r>
      <rPr>
        <sz val="8"/>
        <color rgb="FF00B050"/>
        <rFont val="Calibri"/>
        <family val="2"/>
        <scheme val="minor"/>
      </rPr>
      <t>($/pound)</t>
    </r>
  </si>
  <si>
    <t>Reconilliation to Non - GAAP Measures</t>
  </si>
  <si>
    <t>Selling, general and administrative</t>
  </si>
  <si>
    <t>- (Gain) loss on derivative contracts</t>
  </si>
  <si>
    <t>- Provisional price gains</t>
  </si>
  <si>
    <t>- Provision for closed operations and environmental matters</t>
  </si>
  <si>
    <t>- Deferred revenue net of production costs</t>
  </si>
  <si>
    <t>Adj. Selling, general and administrative</t>
  </si>
  <si>
    <t>+ (Loss) Gain on derivative contracts</t>
  </si>
  <si>
    <t>Adj. Cost of sales and other direct production costs</t>
  </si>
  <si>
    <t>Adj. Other operating expense</t>
  </si>
  <si>
    <t>Adj. EBITDA</t>
  </si>
  <si>
    <t>Adj. Gross profit</t>
  </si>
  <si>
    <t>Adj. EBIT</t>
  </si>
  <si>
    <t>- Stock based compensation</t>
  </si>
  <si>
    <t>- Loss on prepayment of debt with shares</t>
  </si>
  <si>
    <t>- Additional interest associated with early repayment of debt</t>
  </si>
  <si>
    <t>- Loss on extinguishment of debt</t>
  </si>
  <si>
    <t>- Environmental accruals</t>
  </si>
  <si>
    <t>- Change in deferred tax asset valuation allowance</t>
  </si>
  <si>
    <t>Adj. Income and mining tax (provision) benefit</t>
  </si>
  <si>
    <t>Adj. Interest expense</t>
  </si>
  <si>
    <t>Unrealized loss (gain) on investments</t>
  </si>
  <si>
    <t xml:space="preserve">  Trade</t>
  </si>
  <si>
    <t xml:space="preserve">  Taxes</t>
  </si>
  <si>
    <t xml:space="preserve">  Other, net</t>
  </si>
  <si>
    <t xml:space="preserve">  Current portion of investments</t>
  </si>
  <si>
    <t xml:space="preserve">  Non-current portion of investments</t>
  </si>
  <si>
    <t xml:space="preserve">  Deferred taxes</t>
  </si>
  <si>
    <t xml:space="preserve">  Other non-current assets</t>
  </si>
  <si>
    <t xml:space="preserve">  Operating lease right-of-use assets</t>
  </si>
  <si>
    <t xml:space="preserve">  Derivatives assets</t>
  </si>
  <si>
    <t>Other assets</t>
  </si>
  <si>
    <t>Other liabilities</t>
  </si>
  <si>
    <t xml:space="preserve">  Accrued taxes</t>
  </si>
  <si>
    <t xml:space="preserve">  Accrued interest</t>
  </si>
  <si>
    <t xml:space="preserve">  Other current liabilities</t>
  </si>
  <si>
    <t xml:space="preserve">  Deferred revenue</t>
  </si>
  <si>
    <t>Capital additions</t>
  </si>
  <si>
    <t>Total sales</t>
  </si>
  <si>
    <t xml:space="preserve">  Ore grade milled - Lead (%)</t>
  </si>
  <si>
    <t xml:space="preserve">  Ore grade milled - Zinc (%)</t>
  </si>
  <si>
    <t xml:space="preserve">  Ore grade milled - Gold (oz./ton)</t>
  </si>
  <si>
    <t xml:space="preserve">  Ore grade milled - Silver (oz./ton)</t>
  </si>
  <si>
    <t xml:space="preserve">  Cash Cost, Before By-product Credits</t>
  </si>
  <si>
    <t xml:space="preserve">  AISC, Before By-product Credits</t>
  </si>
  <si>
    <t>Non - GAAP Income Statement</t>
  </si>
  <si>
    <t>Common Size Non - GAAP Income Statement</t>
  </si>
  <si>
    <t xml:space="preserve">  Effective tax rate</t>
  </si>
  <si>
    <t>Green Creeks Unit</t>
  </si>
  <si>
    <t>Lucky Friday Unit</t>
  </si>
  <si>
    <t>San Sebastian Unit</t>
  </si>
  <si>
    <t>Casa Berardi Unit</t>
  </si>
  <si>
    <t>Nevada Operations Unit</t>
  </si>
  <si>
    <t>Smelter and refining charges</t>
  </si>
  <si>
    <t>Total Smelter and refining charges</t>
  </si>
  <si>
    <t>Metal sales</t>
  </si>
  <si>
    <t>Total metal sales</t>
  </si>
  <si>
    <t xml:space="preserve">  as % of total metal sales</t>
  </si>
  <si>
    <t>Metal Data</t>
  </si>
  <si>
    <t xml:space="preserve">  - Smelter and refining charges</t>
  </si>
  <si>
    <t xml:space="preserve">  Green Creeks Unit</t>
  </si>
  <si>
    <t xml:space="preserve">  Lucky Friday Unit</t>
  </si>
  <si>
    <t xml:space="preserve">  San Sebastian Unit</t>
  </si>
  <si>
    <t xml:space="preserve">  Casa Berardi Unit</t>
  </si>
  <si>
    <t xml:space="preserve">  Nevada Operations Unit</t>
  </si>
  <si>
    <t>Tons</t>
  </si>
  <si>
    <t>$/oz</t>
  </si>
  <si>
    <t>$/pound</t>
  </si>
  <si>
    <t>Oz</t>
  </si>
  <si>
    <r>
      <t xml:space="preserve">Metal Sales </t>
    </r>
    <r>
      <rPr>
        <b/>
        <sz val="8"/>
        <rFont val="Calibri"/>
        <family val="2"/>
        <scheme val="minor"/>
      </rPr>
      <t>$Mn</t>
    </r>
  </si>
  <si>
    <r>
      <t xml:space="preserve">Ounces/Tons sold </t>
    </r>
    <r>
      <rPr>
        <b/>
        <sz val="8"/>
        <rFont val="Calibri"/>
        <family val="2"/>
        <scheme val="minor"/>
      </rPr>
      <t>'000</t>
    </r>
  </si>
  <si>
    <r>
      <t xml:space="preserve">Ounces/Tons produced </t>
    </r>
    <r>
      <rPr>
        <b/>
        <sz val="8"/>
        <rFont val="Calibri"/>
        <family val="2"/>
        <scheme val="minor"/>
      </rPr>
      <t>'000</t>
    </r>
  </si>
  <si>
    <r>
      <t xml:space="preserve">Smelter and refining charges </t>
    </r>
    <r>
      <rPr>
        <b/>
        <sz val="8"/>
        <rFont val="Calibri"/>
        <family val="2"/>
        <scheme val="minor"/>
      </rPr>
      <t>$Mn</t>
    </r>
  </si>
  <si>
    <t>Units</t>
  </si>
  <si>
    <t xml:space="preserve">  By-product credits</t>
  </si>
  <si>
    <t>Per Silver Ounce$</t>
  </si>
  <si>
    <t>% margin</t>
  </si>
  <si>
    <t>Operating income</t>
  </si>
  <si>
    <t>By-product credits</t>
  </si>
  <si>
    <t>Per Gold Ounce$</t>
  </si>
  <si>
    <t>Loss (Gain) on derivative contracts</t>
  </si>
  <si>
    <t>Net foreign exchange loss (gain)</t>
  </si>
  <si>
    <t>Net Income (GAAP)</t>
  </si>
  <si>
    <t>Adj. Net Income</t>
  </si>
  <si>
    <t>+ Foundation Grant</t>
  </si>
  <si>
    <t>+ Loss) gain on disposition of properties, plants, equipment and mineral interests</t>
  </si>
  <si>
    <t>+ Loss on prepayment of debt with shares</t>
  </si>
  <si>
    <t>+ Environmental accruals</t>
  </si>
  <si>
    <t>+ Change in deferred tax asset valuation allowance</t>
  </si>
  <si>
    <t>+ Bond offering cost</t>
  </si>
  <si>
    <t>+ Lucky Friday suspension costs</t>
  </si>
  <si>
    <t>+ Loss on extinguishment of debt</t>
  </si>
  <si>
    <t>+ Income tax effect of adjustments</t>
  </si>
  <si>
    <t>+ Additional interest associated with early repayment of debt</t>
  </si>
  <si>
    <t>Adj. Net income (loss)</t>
  </si>
  <si>
    <t>HL</t>
  </si>
  <si>
    <t>HL US</t>
  </si>
  <si>
    <t>Stock-based compensation</t>
  </si>
  <si>
    <t>Deferred revenue net of production costs</t>
  </si>
  <si>
    <t>CDE US</t>
  </si>
  <si>
    <t>SSRM CN</t>
  </si>
  <si>
    <t>RGLD US</t>
  </si>
  <si>
    <t>FVI CN</t>
  </si>
  <si>
    <t>AGI CN</t>
  </si>
  <si>
    <t>PAAS CN</t>
  </si>
  <si>
    <t>NGD CN</t>
  </si>
  <si>
    <t>WPM CN</t>
  </si>
  <si>
    <t>ELD CN</t>
  </si>
  <si>
    <t>EDR CN</t>
  </si>
  <si>
    <t>- Bond offering cost</t>
  </si>
  <si>
    <t>- Income tax effect of adjustments</t>
  </si>
  <si>
    <t>422704AH9</t>
  </si>
  <si>
    <t>CUSIP</t>
  </si>
  <si>
    <t>Q121A</t>
  </si>
  <si>
    <t>COGS</t>
  </si>
  <si>
    <t>Other operating expenses</t>
  </si>
  <si>
    <t>Exploration segment</t>
  </si>
  <si>
    <t>Environmental matters- Other operating expense</t>
  </si>
  <si>
    <t>422704AH9 Cusip</t>
  </si>
  <si>
    <t>1fq</t>
  </si>
  <si>
    <t>Cash and cash equivalents</t>
  </si>
  <si>
    <t>Restricted cash and investments</t>
  </si>
  <si>
    <t>NEM US</t>
  </si>
  <si>
    <t>DIMENSIONAL FUND ADV</t>
  </si>
  <si>
    <t>Austin</t>
  </si>
  <si>
    <t>ETF MANAGERS GROUP</t>
  </si>
  <si>
    <t>ETF MANAGERS GROUP L</t>
  </si>
  <si>
    <t>MIRAE ASSET GLOBAL I</t>
  </si>
  <si>
    <t>Trust</t>
  </si>
  <si>
    <t>South Korea</t>
  </si>
  <si>
    <t>Seoul</t>
  </si>
  <si>
    <t>GEODE CAPITAL MANAGE</t>
  </si>
  <si>
    <t>NORTHERN TRUST CORPO</t>
  </si>
  <si>
    <t>Chicago</t>
  </si>
  <si>
    <t>NORGES BANK</t>
  </si>
  <si>
    <t>Sovereign Wealth Fund</t>
  </si>
  <si>
    <t>Baker Phillips S</t>
  </si>
  <si>
    <t>BANK OF NEW YORK MEL</t>
  </si>
  <si>
    <t>CHARLES SCHWAB CORPO</t>
  </si>
  <si>
    <t>Brokerage</t>
  </si>
  <si>
    <t>San Francisco/San Jose</t>
  </si>
  <si>
    <t>Multiple Portfolios</t>
  </si>
  <si>
    <t>MF-AGG</t>
  </si>
  <si>
    <t>ID</t>
  </si>
  <si>
    <t>IQ Notes</t>
  </si>
  <si>
    <t>USD</t>
  </si>
  <si>
    <t>Hecla Mining Co</t>
  </si>
  <si>
    <t>Senior Notes</t>
  </si>
  <si>
    <t>Other operating activities</t>
  </si>
  <si>
    <t xml:space="preserve">  Loss on disposal of investments</t>
  </si>
  <si>
    <t xml:space="preserve">  Unrealized (gain) on investments</t>
  </si>
  <si>
    <t xml:space="preserve">  Adjustment of inventory to market value</t>
  </si>
  <si>
    <t xml:space="preserve">  Gain on disposition of properties, plants, equipment, and mineral interests</t>
  </si>
  <si>
    <t xml:space="preserve">  Provision for reclamation and closure costs</t>
  </si>
  <si>
    <t xml:space="preserve">  Deferred income taxes</t>
  </si>
  <si>
    <t xml:space="preserve">  Amortization of loan origination fees and loss on extinguishment of debt</t>
  </si>
  <si>
    <t xml:space="preserve">  (Gain) loss on derivative contracts</t>
  </si>
  <si>
    <t xml:space="preserve">  Foreign exchange (gain) loss</t>
  </si>
  <si>
    <t xml:space="preserve">  Fee on prepayment of debt with shares of common stock</t>
  </si>
  <si>
    <t>Other investing activities</t>
  </si>
  <si>
    <t xml:space="preserve">  Proceeds from disposition of properties, plants and equipment</t>
  </si>
  <si>
    <t xml:space="preserve">  Insurance proceeds received for damaged property</t>
  </si>
  <si>
    <t xml:space="preserve">  Purchases of investments</t>
  </si>
  <si>
    <t xml:space="preserve">  Maturities of investments</t>
  </si>
  <si>
    <t xml:space="preserve">  Proceeds from sale of investments</t>
  </si>
  <si>
    <t>Other financing activities</t>
  </si>
  <si>
    <t xml:space="preserve">  Credit facility fees and debt issuance fees paid</t>
  </si>
  <si>
    <t xml:space="preserve">  Repayments of capital leases</t>
  </si>
  <si>
    <t xml:space="preserve">  Proceeds from sale of common stock, net of offering costs</t>
  </si>
  <si>
    <t>Sustaining capital expenditure</t>
  </si>
  <si>
    <t>Capital expenditure</t>
  </si>
  <si>
    <t xml:space="preserve">Depreciation </t>
  </si>
  <si>
    <t>+ Sustaining capital expenditure</t>
  </si>
  <si>
    <t>+ Capital expenditure</t>
  </si>
  <si>
    <t>Gold</t>
  </si>
  <si>
    <t>Silver</t>
  </si>
  <si>
    <t>Last</t>
  </si>
  <si>
    <t>Month</t>
  </si>
  <si>
    <t>Silver Futures</t>
  </si>
  <si>
    <t>Gold Futures</t>
  </si>
  <si>
    <t xml:space="preserve">Adj. EBITDA </t>
  </si>
  <si>
    <t xml:space="preserve">Adj. Net Income </t>
  </si>
  <si>
    <t>Margin (Realized Silver Price - AISC)</t>
  </si>
  <si>
    <t>Margin (Realized Gold Price - AISC)</t>
  </si>
  <si>
    <t>FCF / Total Debt - %</t>
  </si>
  <si>
    <t>LTM FCF (PF)</t>
  </si>
  <si>
    <t>LTM EBITDA (PF)</t>
  </si>
  <si>
    <t>TEV</t>
  </si>
  <si>
    <t>Equity Value</t>
  </si>
  <si>
    <t xml:space="preserve">Secured Debt </t>
  </si>
  <si>
    <t>Total Liquidity</t>
  </si>
  <si>
    <t>Multiple</t>
  </si>
  <si>
    <t>Amount ($mm)</t>
  </si>
  <si>
    <t>Upcoming / Recent Events and Other Relevant Info</t>
  </si>
  <si>
    <t>Key Credit Metrics</t>
  </si>
  <si>
    <t>KGC</t>
  </si>
  <si>
    <t>YRICN</t>
  </si>
  <si>
    <t>ABXCN</t>
  </si>
  <si>
    <t>ELDCN</t>
  </si>
  <si>
    <t>NGDCN</t>
  </si>
  <si>
    <t>IMGCN</t>
  </si>
  <si>
    <t>Net Debt / EV</t>
  </si>
  <si>
    <t>AISC</t>
  </si>
  <si>
    <t>Hecla Mining vs. Comps</t>
  </si>
  <si>
    <t>Thesis (notecard), Relative Value Rationale, Target Spread/Px, Timeline, Downside Discussion</t>
  </si>
  <si>
    <t>Hecla vs. HY Index</t>
  </si>
  <si>
    <t>Security Description</t>
  </si>
  <si>
    <t>1 year</t>
  </si>
  <si>
    <t>Target IRR / Hold Period:</t>
  </si>
  <si>
    <t>Stable / Stable</t>
  </si>
  <si>
    <t>B3 / B</t>
  </si>
  <si>
    <t>Issue Rating/Outlook:</t>
  </si>
  <si>
    <t>Maldonado</t>
  </si>
  <si>
    <t>Rimrock Analyst:</t>
  </si>
  <si>
    <t>RR $ Max</t>
  </si>
  <si>
    <t>Existing / Target OAS or Px</t>
  </si>
  <si>
    <t>Issue Size ($mm):</t>
  </si>
  <si>
    <t>Precious Metals</t>
  </si>
  <si>
    <t>RR %   Max</t>
  </si>
  <si>
    <t>Target Metric:</t>
  </si>
  <si>
    <t>Unsec Notes</t>
  </si>
  <si>
    <t>Security Type</t>
  </si>
  <si>
    <t>Metals &amp; Mining</t>
  </si>
  <si>
    <t>HECLA MINING</t>
  </si>
  <si>
    <t>TACTICAL TRADE</t>
  </si>
  <si>
    <t>YoY revenue growth</t>
  </si>
  <si>
    <t>Others</t>
  </si>
  <si>
    <t>Other operating exp.</t>
  </si>
  <si>
    <t>Operating exp.</t>
  </si>
  <si>
    <t>Other segment operating expenses</t>
  </si>
  <si>
    <t xml:space="preserve">  Other current assets</t>
  </si>
  <si>
    <t xml:space="preserve">  Accrued payroll and related benefits</t>
  </si>
  <si>
    <t xml:space="preserve">  Accrued reclamation and closure costs</t>
  </si>
  <si>
    <t>Acquisition of treasury shares</t>
  </si>
  <si>
    <t>IMG CN</t>
  </si>
  <si>
    <t>Sr Unsecured</t>
  </si>
  <si>
    <t>Libor</t>
  </si>
  <si>
    <t>NA</t>
  </si>
  <si>
    <t>FRES LN</t>
  </si>
  <si>
    <t>PAAS US</t>
  </si>
  <si>
    <t>SSRM US</t>
  </si>
  <si>
    <t>AG US</t>
  </si>
  <si>
    <t>FSM US</t>
  </si>
  <si>
    <t>Median</t>
  </si>
  <si>
    <t>HIP/LV/SIF</t>
  </si>
  <si>
    <t>Position Type:</t>
  </si>
  <si>
    <t>B+</t>
  </si>
  <si>
    <t>POS</t>
  </si>
  <si>
    <t>Return Objective:</t>
  </si>
  <si>
    <t>Target Hold Period:</t>
  </si>
  <si>
    <t>Target IRR:</t>
  </si>
  <si>
    <t>Target Level:</t>
  </si>
  <si>
    <t>Historical Spread</t>
  </si>
  <si>
    <t>Credit Comps</t>
  </si>
  <si>
    <t>Relative Value Discussion and OAS or Price Target Rationale / Identified Catalysts</t>
  </si>
  <si>
    <t>Credit Scoring Rationale and Supplemental Information</t>
  </si>
  <si>
    <t>Recent News / Upcoming Events</t>
  </si>
  <si>
    <t>Coeur D'Alene, Idaho</t>
  </si>
  <si>
    <t>Hecla Mining vs. Gold Credit Comps</t>
  </si>
  <si>
    <t>RENAISSANCE TECHNOLO</t>
  </si>
  <si>
    <t>Hedge Fund Manager</t>
  </si>
  <si>
    <t>bloomberg mid oas</t>
  </si>
  <si>
    <t>yesterday dur adj oas</t>
  </si>
  <si>
    <t>Q221A</t>
  </si>
  <si>
    <t xml:space="preserve">NM </t>
  </si>
  <si>
    <t>IPCONCEPT LUXEMBOURG</t>
  </si>
  <si>
    <t>Luxembourg</t>
  </si>
  <si>
    <t>TWO SIGMA</t>
  </si>
  <si>
    <t>D E SHAW &amp; CO INC</t>
  </si>
  <si>
    <t>D E SHAW &amp; CO</t>
  </si>
  <si>
    <t>MILLENNIUM MANAGEMEN</t>
  </si>
  <si>
    <t>FMR LLC</t>
  </si>
  <si>
    <t>PBT</t>
  </si>
  <si>
    <t>PBT Margin</t>
  </si>
  <si>
    <t>Net Income Margin</t>
  </si>
  <si>
    <t>CS</t>
  </si>
  <si>
    <t>NM</t>
  </si>
  <si>
    <t>FY21A</t>
  </si>
  <si>
    <t>FY23E</t>
  </si>
  <si>
    <t>Q321A</t>
  </si>
  <si>
    <t>Q421A</t>
  </si>
  <si>
    <t>Q122A</t>
  </si>
  <si>
    <t>Q222E</t>
  </si>
  <si>
    <t>ESG</t>
  </si>
  <si>
    <t>Stable Value Income</t>
  </si>
  <si>
    <t>Deep Value Convex</t>
  </si>
  <si>
    <t>Beta+</t>
  </si>
  <si>
    <t>VAN ECK ASSOCIATES C</t>
  </si>
  <si>
    <t>JUPITER FUND MANAGEM</t>
  </si>
  <si>
    <t>United Kingdom</t>
  </si>
  <si>
    <t>London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</si>
</sst>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164" formatCode="&quot;$&quot;#,##0_);\(&quot;$&quot;#,##0\)"/>
    <numFmt numFmtId="165" formatCode="&quot;$&quot;#,##0.00_);\(&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2]* #,##0.00_);_([$€-2]* \(#,##0.00\);_([$€-2]* &quot;-&quot;??_)"/>
    <numFmt numFmtId="171" formatCode="mmmm\ dd"/>
    <numFmt numFmtId="172" formatCode="#,##0_);\(#,##0\);\-\ "/>
    <numFmt numFmtId="173" formatCode="#,##0.0_);\(#,##0.0\);\-\ "/>
    <numFmt numFmtId="174" formatCode="&quot;$&quot;#,##0.0_);\(&quot;$&quot;#,##0.0\)"/>
    <numFmt numFmtId="175" formatCode="0.0%"/>
    <numFmt numFmtId="176" formatCode="#,##0.0_);\(#,##0.0\)"/>
    <numFmt numFmtId="177" formatCode="0.0%;\(0.0%\)"/>
    <numFmt numFmtId="178" formatCode="0\ &quot;bps&quot;"/>
    <numFmt numFmtId="179" formatCode="0.0%_);\(0.0%\)"/>
    <numFmt numFmtId="180" formatCode="0.0\x_);\(0.0\x\);\-\ "/>
    <numFmt numFmtId="181" formatCode="&quot;$&quot;#,##0_);\(&quot;$&quot;#,##0\);\-\ "/>
    <numFmt numFmtId="182" formatCode="_(* #,##0_);_(* \(#,##0\);_(* &quot;-&quot;??_);_(@_)"/>
    <numFmt numFmtId="183" formatCode="&quot;FY&quot;General&quot;A&quot;"/>
    <numFmt numFmtId="184" formatCode="&quot;FY&quot;General&quot;E&quot;"/>
    <numFmt numFmtId="185" formatCode="0.0\x"/>
    <numFmt numFmtId="186" formatCode=";;;"/>
    <numFmt numFmtId="187" formatCode="[$-409]d\-mmm\-yy;@"/>
    <numFmt numFmtId="188" formatCode="#,##0.000_);\(#,##0.000\);\-\ "/>
    <numFmt numFmtId="189" formatCode="_-* #,##0_-;\-* #,##0_-;_-* &quot;-&quot;_-;_-@_-"/>
    <numFmt numFmtId="190" formatCode="_-* #,##0.00_-;\-* #,##0.00_-;_-* &quot;-&quot;??_-;_-@_-"/>
    <numFmt numFmtId="191" formatCode="#,##0.0"/>
    <numFmt numFmtId="192" formatCode="#,##0_%_);\(#,##0\)_%;#,##0_%_);@_%_)"/>
    <numFmt numFmtId="193" formatCode="&quot;$&quot;#,##0_%_);\(&quot;$&quot;#,##0\)_%;&quot;$&quot;#,##0_%_);@_%_)"/>
    <numFmt numFmtId="194" formatCode="&quot;$&quot;#,##0.00_%_);\(&quot;$&quot;#,##0.00\)_%;&quot;$&quot;#,##0.00_%_);@_%_)"/>
    <numFmt numFmtId="195" formatCode="m/d/yy_%_)"/>
    <numFmt numFmtId="196" formatCode="0_%_);\(0\)_%;0_%_);@_%_)"/>
    <numFmt numFmtId="197" formatCode="#,##0.0\ ;\(#,##0.0\)"/>
    <numFmt numFmtId="198" formatCode="0.000"/>
    <numFmt numFmtId="199" formatCode="0.0\%_);\(0.0\%\);0.0\%_);@_%_)"/>
    <numFmt numFmtId="200" formatCode="0.0\x_)_);&quot;NM&quot;_x_)_);0.0\x_)_);@_%_)"/>
    <numFmt numFmtId="201" formatCode="0.00_)"/>
    <numFmt numFmtId="202" formatCode="&quot;$&quot;0.0"/>
    <numFmt numFmtId="203" formatCode="_-&quot;ÖS&quot;\ * #,##0_-;\-&quot;ÖS&quot;\ * #,##0_-;_-&quot;ÖS&quot;\ * &quot;-&quot;_-;_-@_-"/>
    <numFmt numFmtId="204" formatCode="_-&quot;ÖS&quot;\ * #,##0.00_-;\-&quot;ÖS&quot;\ * #,##0.00_-;_-&quot;ÖS&quot;\ * &quot;-&quot;??_-;_-@_-"/>
    <numFmt numFmtId="205" formatCode="_(&quot;$&quot;* #,##0.0_);_(&quot;$&quot;* \(#,##0.0\);_(&quot;$&quot;* &quot;-&quot;??_);_(@_)"/>
    <numFmt numFmtId="206" formatCode="[$-409]mmm\-yy;@"/>
    <numFmt numFmtId="207" formatCode="General&quot;F&quot;"/>
    <numFmt numFmtId="208" formatCode="General&quot;A&quot;"/>
    <numFmt numFmtId="209" formatCode="&quot;Q4&quot;\ General"/>
    <numFmt numFmtId="210" formatCode="&quot;Q3&quot;\ General"/>
    <numFmt numFmtId="211" formatCode="&quot;Q2&quot;\ General"/>
    <numFmt numFmtId="212" formatCode="&quot;Q1&quot;\ General"/>
    <numFmt numFmtId="213" formatCode="&quot;FY&quot;\ #"/>
    <numFmt numFmtId="214" formatCode="0.000%_);\(0.000%\)"/>
    <numFmt numFmtId="215" formatCode="General\ &quot;Years  &quot;"/>
    <numFmt numFmtId="216" formatCode="&quot;$&quot;#,##0.00_);\(&quot;$&quot;#,##0.00\);\-\ "/>
    <numFmt numFmtId="217" formatCode="&quot;$&quot;#,##0.00000_);\(&quot;$&quot;#,##0.00000\);\-\ "/>
    <numFmt numFmtId="218" formatCode="&quot;$&quot;#,##0.0_);\(&quot;$&quot;#,##0.0\);\-\ "/>
    <numFmt numFmtId="219" formatCode="#,##0.00_);\(#,##0.00\);\-\ "/>
    <numFmt numFmtId="220" formatCode="#,##0.000_);\(#,##0.000\)"/>
    <numFmt numFmtId="221" formatCode="#,##0.0000_);\(#,##0.0000\);\-\ "/>
    <numFmt numFmtId="222" formatCode="#,##0.0000_);\(#,##0.0000\)"/>
    <numFmt numFmtId="223" formatCode="_(* #,##0.0_);_(* \(#,##0.0\);_(* &quot;-&quot;??_);_(@_)"/>
    <numFmt numFmtId="224" formatCode="0.0&quot;x&quot;"/>
    <numFmt numFmtId="225" formatCode="0.00&quot;x&quot;"/>
  </numFmts>
  <fonts count="135">
    <font>
      <sz val="11"/>
      <color theme="1"/>
      <name val="Calibri"/>
      <family val="2"/>
      <scheme val="minor"/>
    </font>
    <font>
      <sz val="11"/>
      <color theme="1"/>
      <name val="Calibri"/>
      <family val="2"/>
      <scheme val="minor"/>
    </font>
    <font>
      <sz val="14"/>
      <color theme="1"/>
      <name val="Calibri"/>
      <family val="2"/>
      <scheme val="minor"/>
    </font>
    <font>
      <sz val="9"/>
      <color theme="1"/>
      <name val="Calibri"/>
      <family val="2"/>
      <scheme val="minor"/>
    </font>
    <font>
      <b/>
      <sz val="16"/>
      <color theme="0"/>
      <name val="Calibri"/>
      <family val="2"/>
      <scheme val="minor"/>
    </font>
    <font>
      <sz val="14"/>
      <color theme="0"/>
      <name val="Calibri"/>
      <family val="2"/>
      <scheme val="minor"/>
    </font>
    <font>
      <b/>
      <sz val="14"/>
      <color theme="0"/>
      <name val="Calibri"/>
      <family val="2"/>
      <scheme val="minor"/>
    </font>
    <font>
      <b/>
      <sz val="14"/>
      <color rgb="FF0000FF"/>
      <name val="Calibri"/>
      <family val="2"/>
      <scheme val="minor"/>
    </font>
    <font>
      <sz val="14"/>
      <color rgb="FF0000FF"/>
      <name val="Calibri"/>
      <family val="2"/>
      <scheme val="minor"/>
    </font>
    <font>
      <sz val="12"/>
      <color theme="1"/>
      <name val="Calibri"/>
      <family val="2"/>
      <scheme val="minor"/>
    </font>
    <font>
      <sz val="14"/>
      <color indexed="8"/>
      <name val="Calibri"/>
      <family val="2"/>
      <scheme val="minor"/>
    </font>
    <font>
      <b/>
      <sz val="14"/>
      <color theme="1"/>
      <name val="Calibri"/>
      <family val="2"/>
      <scheme val="minor"/>
    </font>
    <font>
      <sz val="14"/>
      <color rgb="FF000000"/>
      <name val="Calibri"/>
      <family val="2"/>
      <scheme val="minor"/>
    </font>
    <font>
      <u/>
      <sz val="11"/>
      <color theme="10"/>
      <name val="Calibri"/>
      <family val="2"/>
      <scheme val="minor"/>
    </font>
    <font>
      <u/>
      <sz val="14"/>
      <color theme="10"/>
      <name val="Calibri"/>
      <family val="2"/>
      <scheme val="minor"/>
    </font>
    <font>
      <sz val="12"/>
      <color theme="0"/>
      <name val="Calibri"/>
      <family val="2"/>
      <scheme val="minor"/>
    </font>
    <font>
      <b/>
      <u/>
      <sz val="14"/>
      <color theme="1"/>
      <name val="Calibri"/>
      <family val="2"/>
      <scheme val="minor"/>
    </font>
    <font>
      <b/>
      <sz val="12"/>
      <color theme="1"/>
      <name val="Calibri"/>
      <family val="2"/>
      <scheme val="minor"/>
    </font>
    <font>
      <sz val="14"/>
      <name val="Calibri"/>
      <family val="2"/>
      <scheme val="minor"/>
    </font>
    <font>
      <sz val="14"/>
      <color indexed="17"/>
      <name val="Calibri"/>
      <family val="2"/>
      <scheme val="minor"/>
    </font>
    <font>
      <u/>
      <sz val="14"/>
      <name val="Calibri"/>
      <family val="2"/>
      <scheme val="minor"/>
    </font>
    <font>
      <u/>
      <sz val="14"/>
      <color theme="1"/>
      <name val="Calibri"/>
      <family val="2"/>
      <scheme val="minor"/>
    </font>
    <font>
      <u/>
      <sz val="14"/>
      <color rgb="FF0000FF"/>
      <name val="Calibri"/>
      <family val="2"/>
      <scheme val="minor"/>
    </font>
    <font>
      <sz val="14"/>
      <color theme="4"/>
      <name val="Calibri"/>
      <family val="2"/>
      <scheme val="minor"/>
    </font>
    <font>
      <i/>
      <sz val="14"/>
      <color theme="0"/>
      <name val="Calibri"/>
      <family val="2"/>
      <scheme val="minor"/>
    </font>
    <font>
      <i/>
      <sz val="14"/>
      <name val="Calibri"/>
      <family val="2"/>
      <scheme val="minor"/>
    </font>
    <font>
      <b/>
      <sz val="14"/>
      <color indexed="8"/>
      <name val="Calibri"/>
      <family val="2"/>
      <scheme val="minor"/>
    </font>
    <font>
      <u/>
      <sz val="14"/>
      <color indexed="8"/>
      <name val="Calibri"/>
      <family val="2"/>
      <scheme val="minor"/>
    </font>
    <font>
      <b/>
      <sz val="14"/>
      <name val="Calibri"/>
      <family val="2"/>
      <scheme val="minor"/>
    </font>
    <font>
      <u/>
      <sz val="14"/>
      <color indexed="17"/>
      <name val="Calibri"/>
      <family val="2"/>
      <scheme val="minor"/>
    </font>
    <font>
      <sz val="14"/>
      <color indexed="10"/>
      <name val="Calibri"/>
      <family val="2"/>
      <scheme val="minor"/>
    </font>
    <font>
      <i/>
      <sz val="14"/>
      <color indexed="8"/>
      <name val="Calibri"/>
      <family val="2"/>
      <scheme val="minor"/>
    </font>
    <font>
      <sz val="14"/>
      <color rgb="FFFF0000"/>
      <name val="Calibri"/>
      <family val="2"/>
      <scheme val="minor"/>
    </font>
    <font>
      <b/>
      <sz val="14"/>
      <color rgb="FFFF0000"/>
      <name val="Calibri"/>
      <family val="2"/>
      <scheme val="minor"/>
    </font>
    <font>
      <sz val="8"/>
      <color rgb="FF2F6CA8"/>
      <name val="Arial"/>
      <family val="2"/>
    </font>
    <font>
      <i/>
      <sz val="14"/>
      <color rgb="FF0000FF"/>
      <name val="Calibri"/>
      <family val="2"/>
      <scheme val="minor"/>
    </font>
    <font>
      <i/>
      <sz val="14"/>
      <color theme="1"/>
      <name val="Calibri"/>
      <family val="2"/>
      <scheme val="minor"/>
    </font>
    <font>
      <sz val="10"/>
      <name val="Arial"/>
      <family val="2"/>
    </font>
    <font>
      <b/>
      <sz val="8"/>
      <color indexed="10"/>
      <name val="Calibri"/>
      <family val="2"/>
      <scheme val="minor"/>
    </font>
    <font>
      <b/>
      <u val="singleAccounting"/>
      <sz val="14"/>
      <color theme="1"/>
      <name val="Calibri"/>
      <family val="2"/>
      <scheme val="minor"/>
    </font>
    <font>
      <u/>
      <sz val="12"/>
      <color rgb="FF000000"/>
      <name val="BWHaasText-75Bold"/>
    </font>
    <font>
      <sz val="12"/>
      <color indexed="10"/>
      <name val="Calibri"/>
      <family val="2"/>
      <scheme val="minor"/>
    </font>
    <font>
      <b/>
      <u/>
      <sz val="12"/>
      <color theme="1"/>
      <name val="Calibri"/>
      <family val="2"/>
      <scheme val="minor"/>
    </font>
    <font>
      <b/>
      <sz val="8"/>
      <color theme="1"/>
      <name val="Calibri"/>
      <family val="2"/>
      <scheme val="minor"/>
    </font>
    <font>
      <sz val="8"/>
      <color theme="1"/>
      <name val="Calibri"/>
      <family val="2"/>
      <scheme val="minor"/>
    </font>
    <font>
      <sz val="8"/>
      <color indexed="8"/>
      <name val="Calibri"/>
      <family val="2"/>
      <scheme val="minor"/>
    </font>
    <font>
      <sz val="8"/>
      <color indexed="10"/>
      <name val="Calibri"/>
      <family val="2"/>
      <scheme val="minor"/>
    </font>
    <font>
      <b/>
      <u/>
      <sz val="8"/>
      <color theme="1"/>
      <name val="Calibri"/>
      <family val="2"/>
      <scheme val="minor"/>
    </font>
    <font>
      <sz val="8"/>
      <color indexed="12"/>
      <name val="Calibri"/>
      <family val="2"/>
      <scheme val="minor"/>
    </font>
    <font>
      <b/>
      <sz val="8"/>
      <color indexed="8"/>
      <name val="Calibri"/>
      <family val="2"/>
      <scheme val="minor"/>
    </font>
    <font>
      <sz val="14"/>
      <color indexed="12"/>
      <name val="Calibri"/>
      <family val="2"/>
      <scheme val="minor"/>
    </font>
    <font>
      <sz val="8"/>
      <name val="Univers"/>
      <family val="2"/>
    </font>
    <font>
      <sz val="10"/>
      <color indexed="8"/>
      <name val="MS Sans Serif"/>
      <family val="2"/>
    </font>
    <font>
      <sz val="10"/>
      <name val="Courier"/>
      <family val="3"/>
    </font>
    <font>
      <sz val="10"/>
      <color indexed="8"/>
      <name val="Sabon"/>
      <family val="1"/>
    </font>
    <font>
      <sz val="10"/>
      <name val="MS Sans Serif"/>
      <family val="2"/>
    </font>
    <font>
      <sz val="11"/>
      <name val="Arial"/>
      <family val="2"/>
    </font>
    <font>
      <sz val="9"/>
      <name val="Times New Roman"/>
      <family val="1"/>
    </font>
    <font>
      <sz val="8"/>
      <name val="Arial"/>
      <family val="2"/>
    </font>
    <font>
      <sz val="8"/>
      <color indexed="12"/>
      <name val="Arial"/>
      <family val="2"/>
    </font>
    <font>
      <i/>
      <sz val="8"/>
      <color indexed="16"/>
      <name val="Arial"/>
      <family val="2"/>
    </font>
    <font>
      <i/>
      <sz val="8"/>
      <color indexed="54"/>
      <name val="Arial"/>
      <family val="2"/>
    </font>
    <font>
      <i/>
      <sz val="9"/>
      <color indexed="16"/>
      <name val="Arial"/>
      <family val="2"/>
    </font>
    <font>
      <b/>
      <sz val="11"/>
      <name val="Arial"/>
      <family val="2"/>
    </font>
    <font>
      <b/>
      <sz val="9"/>
      <name val="Arial"/>
      <family val="2"/>
    </font>
    <font>
      <sz val="9"/>
      <name val="Arial"/>
      <family val="2"/>
    </font>
    <font>
      <sz val="9"/>
      <name val="AGaramond"/>
    </font>
    <font>
      <sz val="8"/>
      <name val="Palatino"/>
      <family val="1"/>
    </font>
    <font>
      <sz val="12"/>
      <name val="TimesNewRomanPS"/>
    </font>
    <font>
      <sz val="10"/>
      <name val="Times New Roman"/>
      <family val="1"/>
    </font>
    <font>
      <sz val="9"/>
      <color indexed="12"/>
      <name val="Times New Roman"/>
      <family val="1"/>
    </font>
    <font>
      <sz val="8"/>
      <color indexed="10"/>
      <name val="Arial"/>
      <family val="2"/>
    </font>
    <font>
      <sz val="7"/>
      <name val="Palatino"/>
      <family val="1"/>
    </font>
    <font>
      <b/>
      <sz val="10"/>
      <name val="Times New Roman"/>
      <family val="1"/>
    </font>
    <font>
      <sz val="9"/>
      <name val="GillSans"/>
    </font>
    <font>
      <sz val="9"/>
      <name val="GillSans Light"/>
    </font>
    <font>
      <b/>
      <sz val="12"/>
      <name val="Times New Roman"/>
      <family val="1"/>
    </font>
    <font>
      <b/>
      <i/>
      <sz val="10"/>
      <name val="Times New Roman"/>
      <family val="1"/>
    </font>
    <font>
      <i/>
      <sz val="10"/>
      <name val="Times New Roman"/>
      <family val="1"/>
    </font>
    <font>
      <b/>
      <sz val="8"/>
      <color indexed="8"/>
      <name val="Arial"/>
      <family val="2"/>
    </font>
    <font>
      <b/>
      <sz val="12"/>
      <name val="Arial"/>
      <family val="2"/>
    </font>
    <font>
      <b/>
      <sz val="10"/>
      <color indexed="8"/>
      <name val="News Gothic"/>
      <family val="2"/>
    </font>
    <font>
      <b/>
      <sz val="8"/>
      <color indexed="9"/>
      <name val="Arial"/>
      <family val="2"/>
    </font>
    <font>
      <sz val="7"/>
      <name val="Helv"/>
    </font>
    <font>
      <b/>
      <i/>
      <sz val="16"/>
      <name val="Helv"/>
    </font>
    <font>
      <b/>
      <sz val="10"/>
      <name val="MS Sans Serif"/>
      <family val="2"/>
    </font>
    <font>
      <sz val="9"/>
      <name val="Helv"/>
    </font>
    <font>
      <b/>
      <sz val="9"/>
      <name val="Helv"/>
    </font>
    <font>
      <sz val="10"/>
      <color indexed="16"/>
      <name val="Helvetica-Black"/>
    </font>
    <font>
      <i/>
      <sz val="9"/>
      <name val="Helv"/>
    </font>
    <font>
      <b/>
      <sz val="10"/>
      <color indexed="9"/>
      <name val="Arial"/>
      <family val="2"/>
    </font>
    <font>
      <i/>
      <sz val="8"/>
      <name val="Univers"/>
      <family val="2"/>
    </font>
    <font>
      <b/>
      <sz val="8"/>
      <name val="Univers"/>
      <family val="2"/>
    </font>
    <font>
      <b/>
      <u/>
      <sz val="9"/>
      <name val="Helv"/>
    </font>
    <font>
      <b/>
      <sz val="9"/>
      <name val="Palatino"/>
      <family val="1"/>
    </font>
    <font>
      <sz val="10"/>
      <name val="Univers"/>
      <family val="2"/>
    </font>
    <font>
      <sz val="9"/>
      <name val="Helvetica-Black"/>
    </font>
    <font>
      <sz val="8"/>
      <name val="Helvetica-Narrow"/>
      <family val="2"/>
    </font>
    <font>
      <b/>
      <sz val="7"/>
      <name val="Helvetica-Narrow"/>
      <family val="2"/>
    </font>
    <font>
      <sz val="8"/>
      <color indexed="16"/>
      <name val="Helv"/>
    </font>
    <font>
      <i/>
      <sz val="12"/>
      <color theme="1"/>
      <name val="Calibri"/>
      <family val="2"/>
      <scheme val="minor"/>
    </font>
    <font>
      <sz val="8"/>
      <color theme="0"/>
      <name val="Calibri"/>
      <family val="2"/>
      <scheme val="minor"/>
    </font>
    <font>
      <i/>
      <sz val="8"/>
      <color theme="1"/>
      <name val="Calibri"/>
      <family val="2"/>
      <scheme val="minor"/>
    </font>
    <font>
      <b/>
      <sz val="8"/>
      <color indexed="12"/>
      <name val="Calibri"/>
      <family val="2"/>
      <scheme val="minor"/>
    </font>
    <font>
      <sz val="8"/>
      <color indexed="17"/>
      <name val="Calibri"/>
      <family val="2"/>
      <scheme val="minor"/>
    </font>
    <font>
      <sz val="8"/>
      <color indexed="14"/>
      <name val="Calibri"/>
      <family val="2"/>
      <scheme val="minor"/>
    </font>
    <font>
      <b/>
      <sz val="8"/>
      <color indexed="17"/>
      <name val="Calibri"/>
      <family val="2"/>
      <scheme val="minor"/>
    </font>
    <font>
      <sz val="9"/>
      <color indexed="81"/>
      <name val="Tahoma"/>
      <family val="2"/>
    </font>
    <font>
      <sz val="8"/>
      <name val="Calibri"/>
      <family val="2"/>
      <scheme val="minor"/>
    </font>
    <font>
      <i/>
      <sz val="8"/>
      <color indexed="12"/>
      <name val="Calibri"/>
      <family val="2"/>
      <scheme val="minor"/>
    </font>
    <font>
      <b/>
      <sz val="8"/>
      <name val="Calibri"/>
      <family val="2"/>
      <scheme val="minor"/>
    </font>
    <font>
      <b/>
      <sz val="11"/>
      <color indexed="9"/>
      <name val="Calibri"/>
      <family val="2"/>
    </font>
    <font>
      <sz val="1"/>
      <color indexed="9"/>
      <name val="Symbol"/>
      <family val="1"/>
      <charset val="2"/>
    </font>
    <font>
      <sz val="12"/>
      <color indexed="8"/>
      <name val="Calibri"/>
      <family val="2"/>
      <scheme val="minor"/>
    </font>
    <font>
      <u/>
      <sz val="14"/>
      <color indexed="12"/>
      <name val="Calibri"/>
      <family val="2"/>
      <scheme val="minor"/>
    </font>
    <font>
      <i/>
      <sz val="8"/>
      <color indexed="10"/>
      <name val="Calibri"/>
      <family val="2"/>
      <scheme val="minor"/>
    </font>
    <font>
      <sz val="8"/>
      <color rgb="FFFF0000"/>
      <name val="Calibri"/>
      <family val="2"/>
      <scheme val="minor"/>
    </font>
    <font>
      <sz val="8"/>
      <color rgb="FF00B050"/>
      <name val="Calibri"/>
      <family val="2"/>
      <scheme val="minor"/>
    </font>
    <font>
      <i/>
      <sz val="8"/>
      <color indexed="14"/>
      <name val="Calibri"/>
      <family val="2"/>
      <scheme val="minor"/>
    </font>
    <font>
      <i/>
      <sz val="8"/>
      <color indexed="8"/>
      <name val="Calibri"/>
      <family val="2"/>
      <scheme val="minor"/>
    </font>
    <font>
      <b/>
      <i/>
      <sz val="8"/>
      <color indexed="10"/>
      <name val="Calibri"/>
      <family val="2"/>
      <scheme val="minor"/>
    </font>
    <font>
      <b/>
      <sz val="8"/>
      <color rgb="FFFF0000"/>
      <name val="Calibri"/>
      <family val="2"/>
      <scheme val="minor"/>
    </font>
    <font>
      <sz val="12"/>
      <color indexed="12"/>
      <name val="Calibri"/>
      <family val="2"/>
      <scheme val="minor"/>
    </font>
    <font>
      <sz val="12"/>
      <color indexed="17"/>
      <name val="Calibri"/>
      <family val="2"/>
      <scheme val="minor"/>
    </font>
    <font>
      <b/>
      <i/>
      <sz val="8"/>
      <color theme="1"/>
      <name val="Calibri"/>
      <family val="2"/>
      <scheme val="minor"/>
    </font>
    <font>
      <sz val="8"/>
      <color rgb="FF000000"/>
      <name val="Segoe UI"/>
      <family val="2"/>
    </font>
    <font>
      <sz val="8"/>
      <color rgb="FF66758A"/>
      <name val="Segoe UI"/>
      <family val="2"/>
    </font>
    <font>
      <u/>
      <sz val="8"/>
      <color theme="0"/>
      <name val="Calibri"/>
      <family val="2"/>
      <scheme val="minor"/>
    </font>
    <font>
      <u/>
      <sz val="8"/>
      <color theme="10"/>
      <name val="Calibri"/>
      <family val="2"/>
      <scheme val="minor"/>
    </font>
    <font>
      <b/>
      <u val="singleAccounting"/>
      <sz val="14"/>
      <name val="Calibri"/>
      <family val="2"/>
      <scheme val="minor"/>
    </font>
    <font>
      <u val="singleAccounting"/>
      <sz val="14"/>
      <color theme="1"/>
      <name val="Calibri"/>
      <family val="2"/>
      <scheme val="minor"/>
    </font>
    <font>
      <b/>
      <sz val="12"/>
      <color theme="0"/>
      <name val="Calibri"/>
      <family val="2"/>
      <scheme val="minor"/>
    </font>
    <font>
      <sz val="9"/>
      <color indexed="81"/>
      <name val="Calibri"/>
      <family val="2"/>
      <scheme val="minor"/>
    </font>
    <font>
      <sz val="8"/>
      <color indexed="8"/>
      <name val="Segoe UI"/>
      <family val="2"/>
    </font>
    <font>
      <sz val="14"/>
      <color indexed="81"/>
      <name val="Calibri"/>
      <family val="2"/>
      <scheme val="minor"/>
    </font>
  </fonts>
  <fills count="32">
    <fill>
      <patternFill patternType="none"/>
    </fill>
    <fill>
      <patternFill patternType="gray125"/>
    </fill>
    <fill>
      <patternFill patternType="solid">
        <fgColor indexed="1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indexed="22"/>
        <bgColor indexed="64"/>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gray0625">
        <fgColor indexed="13"/>
        <bgColor indexed="9"/>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6"/>
        <bgColor indexed="64"/>
      </patternFill>
    </fill>
    <fill>
      <patternFill patternType="solid">
        <fgColor indexed="8"/>
        <bgColor indexed="64"/>
      </patternFill>
    </fill>
    <fill>
      <patternFill patternType="solid">
        <fgColor indexed="27"/>
        <bgColor indexed="64"/>
      </patternFill>
    </fill>
    <fill>
      <patternFill patternType="solid">
        <fgColor theme="1" tint="0.34998626667073579"/>
        <bgColor indexed="64"/>
      </patternFill>
    </fill>
    <fill>
      <patternFill patternType="solid">
        <fgColor theme="3"/>
        <bgColor indexed="64"/>
      </patternFill>
    </fill>
    <fill>
      <patternFill patternType="solid">
        <fgColor rgb="FFFFFFCC"/>
      </patternFill>
    </fill>
    <fill>
      <patternFill patternType="solid">
        <fgColor rgb="FF4F81BD"/>
        <bgColor indexed="64"/>
      </patternFill>
    </fill>
    <fill>
      <patternFill patternType="solid">
        <fgColor rgb="FFFF0000"/>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theme="1" tint="0.499984740745262"/>
        <bgColor indexed="64"/>
      </patternFill>
    </fill>
  </fills>
  <borders count="67">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auto="1"/>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style="thin">
        <color indexed="9"/>
      </left>
      <right style="thin">
        <color indexed="9"/>
      </right>
      <top style="thin">
        <color indexed="9"/>
      </top>
      <bottom style="thin">
        <color indexed="9"/>
      </bottom>
      <diagonal/>
    </border>
    <border>
      <left style="medium">
        <color indexed="8"/>
      </left>
      <right style="medium">
        <color indexed="8"/>
      </right>
      <top/>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9"/>
      </left>
      <right style="medium">
        <color indexed="49"/>
      </right>
      <top/>
      <bottom/>
      <diagonal/>
    </border>
    <border>
      <left style="thin">
        <color theme="0"/>
      </left>
      <right style="dashed">
        <color theme="0" tint="-0.24994659260841701"/>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1"/>
      </left>
      <right style="thin">
        <color theme="1"/>
      </right>
      <top style="thin">
        <color theme="1"/>
      </top>
      <bottom style="thin">
        <color theme="1"/>
      </bottom>
      <diagonal/>
    </border>
    <border>
      <left style="thin">
        <color rgb="FFB2B2B2"/>
      </left>
      <right style="thin">
        <color rgb="FFB2B2B2"/>
      </right>
      <top style="thin">
        <color rgb="FFB2B2B2"/>
      </top>
      <bottom style="thin">
        <color rgb="FFB2B2B2"/>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medium">
        <color indexed="64"/>
      </top>
      <bottom/>
      <diagonal/>
    </border>
    <border>
      <left/>
      <right style="medium">
        <color indexed="64"/>
      </right>
      <top style="medium">
        <color indexed="64"/>
      </top>
      <bottom style="thin">
        <color theme="0"/>
      </bottom>
      <diagonal/>
    </border>
    <border>
      <left/>
      <right/>
      <top style="medium">
        <color indexed="64"/>
      </top>
      <bottom style="thin">
        <color theme="0"/>
      </bottom>
      <diagonal/>
    </border>
    <border>
      <left style="medium">
        <color indexed="64"/>
      </left>
      <right/>
      <top style="medium">
        <color indexed="64"/>
      </top>
      <bottom style="thin">
        <color theme="0"/>
      </bottom>
      <diagonal/>
    </border>
    <border>
      <left/>
      <right style="thin">
        <color indexed="64"/>
      </right>
      <top/>
      <bottom style="medium">
        <color indexed="64"/>
      </bottom>
      <diagonal/>
    </border>
    <border>
      <left/>
      <right style="medium">
        <color indexed="64"/>
      </right>
      <top style="thin">
        <color auto="1"/>
      </top>
      <bottom/>
      <diagonal/>
    </border>
    <border>
      <left/>
      <right/>
      <top style="thin">
        <color auto="1"/>
      </top>
      <bottom/>
      <diagonal/>
    </border>
    <border>
      <left style="medium">
        <color indexed="64"/>
      </left>
      <right/>
      <top style="thin">
        <color auto="1"/>
      </top>
      <bottom/>
      <diagonal/>
    </border>
    <border>
      <left/>
      <right/>
      <top style="thin">
        <color auto="1"/>
      </top>
      <bottom/>
      <diagonal/>
    </border>
    <border>
      <left/>
      <right style="medium">
        <color indexed="64"/>
      </right>
      <top style="thin">
        <color auto="1"/>
      </top>
      <bottom/>
      <diagonal/>
    </border>
    <border>
      <left style="thin">
        <color theme="0"/>
      </left>
      <right style="dashed">
        <color theme="0" tint="-0.24994659260841701"/>
      </right>
      <top style="thin">
        <color theme="0"/>
      </top>
      <bottom/>
      <diagonal/>
    </border>
    <border>
      <left style="thin">
        <color theme="0"/>
      </left>
      <right style="medium">
        <color indexed="64"/>
      </right>
      <top style="thin">
        <color theme="0"/>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64">
    <xf numFmtId="0" fontId="0" fillId="0" borderId="0"/>
    <xf numFmtId="168" fontId="1" fillId="0" borderId="0" applyFont="0" applyFill="0" applyBorder="0" applyAlignment="0" applyProtection="0"/>
    <xf numFmtId="170" fontId="1" fillId="0" borderId="0"/>
    <xf numFmtId="170" fontId="3" fillId="0" borderId="0"/>
    <xf numFmtId="169" fontId="1" fillId="0" borderId="0" applyFont="0" applyFill="0" applyBorder="0" applyAlignment="0" applyProtection="0"/>
    <xf numFmtId="0" fontId="13" fillId="0" borderId="0" applyNumberFormat="0" applyFill="0" applyBorder="0" applyAlignment="0" applyProtection="0"/>
    <xf numFmtId="9" fontId="1" fillId="0" borderId="0" applyFont="0" applyFill="0" applyBorder="0" applyAlignment="0" applyProtection="0"/>
    <xf numFmtId="170" fontId="3" fillId="0" borderId="0"/>
    <xf numFmtId="170" fontId="1" fillId="0" borderId="0"/>
    <xf numFmtId="0" fontId="1" fillId="0" borderId="0"/>
    <xf numFmtId="170" fontId="37" fillId="0" borderId="0" applyFill="0"/>
    <xf numFmtId="170" fontId="1" fillId="0" borderId="0"/>
    <xf numFmtId="0" fontId="37" fillId="0" borderId="0"/>
    <xf numFmtId="170" fontId="3" fillId="0" borderId="0"/>
    <xf numFmtId="0" fontId="37" fillId="0" borderId="0"/>
    <xf numFmtId="0" fontId="37" fillId="0" borderId="0"/>
    <xf numFmtId="0" fontId="3" fillId="0" borderId="0"/>
    <xf numFmtId="0" fontId="1" fillId="0" borderId="0"/>
    <xf numFmtId="0" fontId="51" fillId="0" borderId="0" applyNumberFormat="0" applyFill="0" applyBorder="0" applyAlignment="0" applyProtection="0"/>
    <xf numFmtId="0" fontId="52" fillId="0" borderId="0" applyNumberFormat="0" applyFont="0" applyFill="0" applyBorder="0" applyAlignment="0" applyProtection="0"/>
    <xf numFmtId="0" fontId="37" fillId="0" borderId="0"/>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37" fillId="0" borderId="0" applyFont="0" applyFill="0" applyBorder="0" applyAlignment="0" applyProtection="0"/>
    <xf numFmtId="0" fontId="37" fillId="0" borderId="0" applyFont="0" applyFill="0" applyBorder="0" applyAlignment="0" applyProtection="0"/>
    <xf numFmtId="0" fontId="53" fillId="0" borderId="0">
      <alignment vertical="center"/>
    </xf>
    <xf numFmtId="0" fontId="53" fillId="0" borderId="0">
      <alignment vertical="center"/>
    </xf>
    <xf numFmtId="0" fontId="54" fillId="0" borderId="0">
      <alignment horizontal="left"/>
    </xf>
    <xf numFmtId="0" fontId="54" fillId="0" borderId="0">
      <alignment horizontal="left"/>
    </xf>
    <xf numFmtId="174" fontId="55" fillId="0" borderId="32">
      <alignment horizontal="center"/>
    </xf>
    <xf numFmtId="176" fontId="56" fillId="7" borderId="0" applyFont="0" applyBorder="0"/>
    <xf numFmtId="0" fontId="57" fillId="8" borderId="0"/>
    <xf numFmtId="176" fontId="56" fillId="9" borderId="0" applyNumberFormat="0" applyFont="0" applyBorder="0" applyAlignment="0" applyProtection="0"/>
    <xf numFmtId="176" fontId="53" fillId="10" borderId="0" applyNumberFormat="0" applyFont="0" applyBorder="0" applyAlignment="0" applyProtection="0"/>
    <xf numFmtId="176" fontId="58" fillId="11" borderId="0" applyBorder="0"/>
    <xf numFmtId="176" fontId="37" fillId="0" borderId="33" applyNumberFormat="0" applyBorder="0" applyAlignment="0" applyProtection="0"/>
    <xf numFmtId="191" fontId="59" fillId="0" borderId="0" applyBorder="0">
      <alignment horizontal="right"/>
    </xf>
    <xf numFmtId="191" fontId="58" fillId="0" borderId="33" applyBorder="0">
      <alignment horizontal="right"/>
    </xf>
    <xf numFmtId="175" fontId="60" fillId="0" borderId="0" applyBorder="0">
      <alignment horizontal="right"/>
    </xf>
    <xf numFmtId="175" fontId="61" fillId="0" borderId="33" applyBorder="0">
      <alignment horizontal="right"/>
    </xf>
    <xf numFmtId="176" fontId="62" fillId="0" borderId="0">
      <alignment horizontal="left" indent="1"/>
    </xf>
    <xf numFmtId="176" fontId="63" fillId="0" borderId="29" applyBorder="0"/>
    <xf numFmtId="176" fontId="56" fillId="12" borderId="33" applyNumberFormat="0" applyFont="0" applyBorder="0" applyAlignment="0" applyProtection="0"/>
    <xf numFmtId="191" fontId="64" fillId="13" borderId="29" applyBorder="0">
      <alignment horizontal="right"/>
    </xf>
    <xf numFmtId="191" fontId="64" fillId="0" borderId="29" applyBorder="0">
      <alignment horizontal="right"/>
    </xf>
    <xf numFmtId="176" fontId="65" fillId="0" borderId="33" applyNumberFormat="0" applyBorder="0" applyAlignment="0" applyProtection="0"/>
    <xf numFmtId="0" fontId="64" fillId="7" borderId="34" applyBorder="0">
      <alignment horizontal="center"/>
    </xf>
    <xf numFmtId="0" fontId="37" fillId="0" borderId="0"/>
    <xf numFmtId="0" fontId="66" fillId="0" borderId="0"/>
    <xf numFmtId="0" fontId="58" fillId="0" borderId="35" applyNumberFormat="0" applyFill="0" applyAlignment="0" applyProtection="0"/>
    <xf numFmtId="191" fontId="58" fillId="0" borderId="36" applyNumberFormat="0" applyFont="0" applyFill="0" applyAlignment="0" applyProtection="0"/>
    <xf numFmtId="0" fontId="37" fillId="0" borderId="0"/>
    <xf numFmtId="192" fontId="67" fillId="0" borderId="0" applyFont="0" applyFill="0" applyBorder="0" applyAlignment="0" applyProtection="0">
      <alignment horizontal="right"/>
    </xf>
    <xf numFmtId="169" fontId="37" fillId="0" borderId="0" applyFont="0" applyFill="0" applyBorder="0" applyAlignment="0" applyProtection="0"/>
    <xf numFmtId="0" fontId="37" fillId="0" borderId="0"/>
    <xf numFmtId="0" fontId="37" fillId="0" borderId="0"/>
    <xf numFmtId="193" fontId="67" fillId="0" borderId="0" applyFont="0" applyFill="0" applyBorder="0" applyAlignment="0" applyProtection="0">
      <alignment horizontal="right"/>
    </xf>
    <xf numFmtId="194" fontId="67" fillId="0" borderId="0" applyFont="0" applyFill="0" applyBorder="0" applyAlignment="0" applyProtection="0">
      <alignment horizontal="right"/>
    </xf>
    <xf numFmtId="14" fontId="68" fillId="0" borderId="0"/>
    <xf numFmtId="195" fontId="67" fillId="0" borderId="0" applyFont="0" applyFill="0" applyBorder="0" applyAlignment="0" applyProtection="0"/>
    <xf numFmtId="14" fontId="68" fillId="0" borderId="0"/>
    <xf numFmtId="1" fontId="55" fillId="0" borderId="0">
      <alignment horizontal="center"/>
      <protection locked="0"/>
    </xf>
    <xf numFmtId="1" fontId="69" fillId="0" borderId="0" applyFont="0" applyFill="0" applyBorder="0" applyAlignment="0" applyProtection="0">
      <alignment horizontal="right"/>
    </xf>
    <xf numFmtId="189" fontId="37" fillId="0" borderId="0" applyFont="0" applyFill="0" applyBorder="0" applyAlignment="0" applyProtection="0"/>
    <xf numFmtId="190" fontId="37" fillId="0" borderId="0" applyFont="0" applyFill="0" applyBorder="0" applyAlignment="0" applyProtection="0"/>
    <xf numFmtId="196" fontId="67" fillId="0" borderId="37" applyNumberFormat="0" applyFont="0" applyFill="0" applyAlignment="0" applyProtection="0"/>
    <xf numFmtId="197" fontId="70" fillId="0" borderId="29" applyNumberFormat="0" applyBorder="0"/>
    <xf numFmtId="0" fontId="37" fillId="14" borderId="38" applyNumberFormat="0" applyFont="0" applyAlignment="0">
      <protection locked="0"/>
    </xf>
    <xf numFmtId="165" fontId="55" fillId="0" borderId="0" applyBorder="0">
      <alignment horizontal="center"/>
    </xf>
    <xf numFmtId="170" fontId="37" fillId="0" borderId="0" applyFont="0" applyFill="0" applyBorder="0" applyAlignment="0" applyProtection="0"/>
    <xf numFmtId="198" fontId="69" fillId="0" borderId="0" applyFont="0" applyFill="0" applyBorder="0" applyAlignment="0" applyProtection="0"/>
    <xf numFmtId="176" fontId="69" fillId="0" borderId="0" applyFont="0" applyFill="0" applyBorder="0" applyAlignment="0" applyProtection="0">
      <alignment horizontal="right"/>
    </xf>
    <xf numFmtId="191" fontId="71" fillId="0" borderId="0" applyNumberFormat="0" applyFill="0" applyBorder="0" applyAlignment="0" applyProtection="0"/>
    <xf numFmtId="0" fontId="72" fillId="0" borderId="0" applyFill="0" applyBorder="0" applyProtection="0">
      <alignment horizontal="left"/>
    </xf>
    <xf numFmtId="0" fontId="73" fillId="0" borderId="17" applyProtection="0">
      <alignment horizontal="center"/>
    </xf>
    <xf numFmtId="0" fontId="74" fillId="0" borderId="0"/>
    <xf numFmtId="0" fontId="75" fillId="0" borderId="0"/>
    <xf numFmtId="38" fontId="58" fillId="7" borderId="0" applyNumberFormat="0" applyBorder="0" applyAlignment="0" applyProtection="0"/>
    <xf numFmtId="199" fontId="67" fillId="0" borderId="0" applyFont="0" applyFill="0" applyBorder="0" applyAlignment="0" applyProtection="0">
      <alignment horizontal="right"/>
    </xf>
    <xf numFmtId="0" fontId="76" fillId="0" borderId="0" applyAlignment="0" applyProtection="0"/>
    <xf numFmtId="0" fontId="77" fillId="0" borderId="0" applyAlignment="0" applyProtection="0"/>
    <xf numFmtId="0" fontId="78" fillId="0" borderId="0" applyAlignment="0" applyProtection="0"/>
    <xf numFmtId="0" fontId="79" fillId="0" borderId="0" applyFill="0" applyBorder="0" applyProtection="0">
      <alignment horizontal="right"/>
    </xf>
    <xf numFmtId="0" fontId="80" fillId="0" borderId="2" applyNumberFormat="0" applyAlignment="0" applyProtection="0">
      <alignment horizontal="left" vertical="center"/>
    </xf>
    <xf numFmtId="0" fontId="80" fillId="0" borderId="25">
      <alignment horizontal="left" vertical="center"/>
    </xf>
    <xf numFmtId="0" fontId="81" fillId="0" borderId="0">
      <alignment horizontal="left"/>
    </xf>
    <xf numFmtId="191" fontId="82" fillId="0" borderId="0" applyNumberFormat="0" applyFill="0" applyBorder="0" applyAlignment="0" applyProtection="0"/>
    <xf numFmtId="191" fontId="79" fillId="0" borderId="0" applyNumberFormat="0" applyFill="0" applyBorder="0" applyAlignment="0" applyProtection="0"/>
    <xf numFmtId="10" fontId="58" fillId="15" borderId="7" applyNumberFormat="0" applyBorder="0" applyAlignment="0" applyProtection="0"/>
    <xf numFmtId="167" fontId="37" fillId="0" borderId="0" applyFont="0" applyFill="0" applyBorder="0" applyAlignment="0" applyProtection="0"/>
    <xf numFmtId="169" fontId="37" fillId="0" borderId="0" applyFont="0" applyFill="0" applyBorder="0" applyAlignment="0" applyProtection="0"/>
    <xf numFmtId="166" fontId="37" fillId="0" borderId="0" applyFont="0" applyFill="0" applyBorder="0" applyAlignment="0" applyProtection="0"/>
    <xf numFmtId="168" fontId="37" fillId="0" borderId="0" applyFont="0" applyFill="0" applyBorder="0" applyAlignment="0" applyProtection="0"/>
    <xf numFmtId="200" fontId="67" fillId="0" borderId="0" applyFont="0" applyFill="0" applyBorder="0" applyAlignment="0" applyProtection="0">
      <alignment horizontal="right"/>
    </xf>
    <xf numFmtId="0" fontId="83" fillId="0" borderId="0"/>
    <xf numFmtId="201" fontId="84" fillId="0" borderId="0"/>
    <xf numFmtId="0" fontId="37" fillId="0" borderId="0">
      <alignment vertical="center"/>
    </xf>
    <xf numFmtId="0" fontId="9" fillId="0" borderId="0"/>
    <xf numFmtId="14" fontId="58" fillId="0" borderId="0" applyFont="0" applyFill="0" applyBorder="0" applyAlignment="0" applyProtection="0"/>
    <xf numFmtId="174" fontId="85" fillId="0" borderId="0" applyFont="0" applyBorder="0">
      <alignment horizontal="center"/>
    </xf>
    <xf numFmtId="164" fontId="55" fillId="0" borderId="0">
      <alignment horizontal="center"/>
    </xf>
    <xf numFmtId="197" fontId="86" fillId="0" borderId="39" applyBorder="0"/>
    <xf numFmtId="197" fontId="87" fillId="0" borderId="39" applyBorder="0"/>
    <xf numFmtId="1" fontId="88" fillId="0" borderId="0" applyProtection="0">
      <alignment horizontal="right" vertical="center"/>
    </xf>
    <xf numFmtId="191" fontId="58" fillId="16" borderId="0" applyNumberFormat="0" applyFont="0" applyBorder="0" applyAlignment="0" applyProtection="0"/>
    <xf numFmtId="175" fontId="89" fillId="0" borderId="39" applyBorder="0"/>
    <xf numFmtId="10" fontId="37" fillId="0" borderId="0" applyFont="0" applyFill="0" applyBorder="0" applyAlignment="0" applyProtection="0"/>
    <xf numFmtId="9" fontId="37" fillId="0" borderId="0" applyFont="0" applyFill="0" applyBorder="0" applyAlignment="0" applyProtection="0"/>
    <xf numFmtId="9" fontId="9" fillId="0" borderId="0" applyFont="0" applyFill="0" applyBorder="0" applyAlignment="0" applyProtection="0"/>
    <xf numFmtId="175" fontId="55" fillId="0" borderId="0" applyBorder="0" applyAlignment="0">
      <alignment horizontal="left"/>
    </xf>
    <xf numFmtId="0" fontId="90" fillId="17" borderId="0" applyNumberFormat="0" applyBorder="0" applyAlignment="0" applyProtection="0"/>
    <xf numFmtId="0" fontId="91" fillId="0" borderId="0"/>
    <xf numFmtId="0" fontId="92" fillId="0" borderId="0">
      <alignment horizontal="right"/>
    </xf>
    <xf numFmtId="191" fontId="69" fillId="0" borderId="17" applyFont="0" applyFill="0" applyBorder="0" applyAlignment="0" applyProtection="0">
      <alignment horizontal="right"/>
    </xf>
    <xf numFmtId="191" fontId="55" fillId="0" borderId="0">
      <alignment horizontal="center"/>
    </xf>
    <xf numFmtId="0" fontId="78" fillId="0" borderId="0" applyNumberFormat="0" applyFill="0" applyBorder="0" applyAlignment="0" applyProtection="0"/>
    <xf numFmtId="0" fontId="37" fillId="0" borderId="0"/>
    <xf numFmtId="0" fontId="37" fillId="0" borderId="0" applyFont="0" applyFill="0" applyBorder="0" applyAlignment="0" applyProtection="0"/>
    <xf numFmtId="191" fontId="93" fillId="0" borderId="39" applyBorder="0"/>
    <xf numFmtId="0" fontId="94" fillId="0" borderId="0" applyBorder="0" applyProtection="0">
      <alignment vertical="center"/>
    </xf>
    <xf numFmtId="196" fontId="94" fillId="0" borderId="17" applyBorder="0" applyProtection="0">
      <alignment horizontal="right" vertical="center"/>
    </xf>
    <xf numFmtId="0" fontId="95" fillId="18" borderId="0" applyBorder="0" applyProtection="0">
      <alignment horizontal="centerContinuous" vertical="center"/>
    </xf>
    <xf numFmtId="0" fontId="95" fillId="19" borderId="17" applyBorder="0" applyProtection="0">
      <alignment horizontal="centerContinuous" vertical="center"/>
    </xf>
    <xf numFmtId="0" fontId="96" fillId="0" borderId="0" applyFill="0" applyBorder="0" applyProtection="0">
      <alignment horizontal="left"/>
    </xf>
    <xf numFmtId="0" fontId="72" fillId="0" borderId="18" applyFill="0" applyBorder="0" applyProtection="0">
      <alignment horizontal="left" vertical="top"/>
    </xf>
    <xf numFmtId="0" fontId="97" fillId="0" borderId="0" applyNumberFormat="0" applyFill="0" applyBorder="0">
      <alignment horizontal="left"/>
    </xf>
    <xf numFmtId="0" fontId="97" fillId="0" borderId="0" applyNumberFormat="0" applyFill="0" applyBorder="0">
      <alignment horizontal="right"/>
    </xf>
    <xf numFmtId="0" fontId="98" fillId="0" borderId="0" applyNumberFormat="0" applyFill="0" applyBorder="0">
      <alignment horizontal="right"/>
    </xf>
    <xf numFmtId="40" fontId="37" fillId="0" borderId="0"/>
    <xf numFmtId="191" fontId="58" fillId="0" borderId="0" applyNumberFormat="0" applyFont="0" applyBorder="0" applyAlignment="0" applyProtection="0"/>
    <xf numFmtId="1" fontId="58" fillId="7" borderId="0" applyFont="0" applyBorder="0" applyAlignment="0" applyProtection="0"/>
    <xf numFmtId="202" fontId="55" fillId="0" borderId="32">
      <alignment horizontal="center"/>
    </xf>
    <xf numFmtId="0" fontId="85" fillId="0" borderId="32" applyNumberFormat="0" applyFont="0" applyAlignment="0">
      <alignment horizontal="left"/>
    </xf>
    <xf numFmtId="202" fontId="55" fillId="0" borderId="32">
      <alignment horizontal="center"/>
    </xf>
    <xf numFmtId="0" fontId="55" fillId="0" borderId="32">
      <alignment horizontal="center"/>
    </xf>
    <xf numFmtId="3" fontId="55" fillId="0" borderId="0" applyBorder="0">
      <alignment horizontal="center"/>
    </xf>
    <xf numFmtId="197" fontId="99" fillId="0" borderId="0" applyNumberFormat="0"/>
    <xf numFmtId="0" fontId="37" fillId="20" borderId="40">
      <alignment horizontal="left"/>
    </xf>
    <xf numFmtId="198" fontId="69" fillId="0" borderId="0" applyFont="0" applyFill="0" applyBorder="0" applyAlignment="0" applyProtection="0"/>
    <xf numFmtId="37" fontId="69" fillId="0" borderId="0" applyFont="0" applyFill="0" applyBorder="0" applyAlignment="0" applyProtection="0"/>
    <xf numFmtId="203" fontId="37" fillId="0" borderId="0" applyFont="0" applyFill="0" applyBorder="0" applyAlignment="0" applyProtection="0"/>
    <xf numFmtId="204" fontId="37" fillId="0" borderId="0" applyFont="0" applyFill="0" applyBorder="0" applyAlignment="0" applyProtection="0"/>
    <xf numFmtId="0" fontId="58" fillId="0" borderId="0"/>
    <xf numFmtId="0" fontId="37" fillId="0" borderId="0"/>
    <xf numFmtId="0" fontId="58" fillId="0" borderId="0"/>
    <xf numFmtId="0" fontId="58" fillId="0" borderId="0"/>
    <xf numFmtId="170" fontId="3" fillId="0" borderId="0"/>
    <xf numFmtId="0" fontId="13" fillId="0" borderId="0" applyNumberFormat="0" applyFill="0" applyBorder="0" applyAlignment="0" applyProtection="0"/>
    <xf numFmtId="9" fontId="3" fillId="0" borderId="0" applyFont="0" applyFill="0" applyBorder="0" applyAlignment="0" applyProtection="0"/>
    <xf numFmtId="170" fontId="3" fillId="0" borderId="0"/>
    <xf numFmtId="9" fontId="1" fillId="0" borderId="0" applyFont="0" applyFill="0" applyBorder="0" applyAlignment="0" applyProtection="0"/>
    <xf numFmtId="170" fontId="1" fillId="0" borderId="0"/>
    <xf numFmtId="0" fontId="37" fillId="0" borderId="0"/>
    <xf numFmtId="0" fontId="1" fillId="23" borderId="46" applyNumberFormat="0" applyFont="0" applyAlignment="0" applyProtection="0"/>
    <xf numFmtId="0" fontId="111" fillId="24" borderId="0"/>
    <xf numFmtId="0" fontId="90" fillId="24" borderId="51">
      <alignment horizontal="right"/>
    </xf>
    <xf numFmtId="0" fontId="112" fillId="0" borderId="0" applyAlignment="0"/>
    <xf numFmtId="170" fontId="1" fillId="0" borderId="0"/>
    <xf numFmtId="0" fontId="3" fillId="0" borderId="0"/>
    <xf numFmtId="0" fontId="58" fillId="0" borderId="0"/>
    <xf numFmtId="169" fontId="1" fillId="0" borderId="0" applyFont="0" applyFill="0" applyBorder="0" applyAlignment="0" applyProtection="0"/>
    <xf numFmtId="9" fontId="1" fillId="0" borderId="0" applyFont="0" applyFill="0" applyBorder="0" applyAlignment="0" applyProtection="0"/>
  </cellStyleXfs>
  <cellXfs count="861">
    <xf numFmtId="0" fontId="0" fillId="0" borderId="0" xfId="0"/>
    <xf numFmtId="170" fontId="2" fillId="0" borderId="0" xfId="3" applyFont="1"/>
    <xf numFmtId="14" fontId="7" fillId="0" borderId="0" xfId="2" applyNumberFormat="1" applyFont="1"/>
    <xf numFmtId="170" fontId="2" fillId="0" borderId="4" xfId="3" applyFont="1" applyBorder="1"/>
    <xf numFmtId="170" fontId="8" fillId="0" borderId="0" xfId="2" applyFont="1" applyAlignment="1">
      <alignment horizontal="right"/>
    </xf>
    <xf numFmtId="171" fontId="2" fillId="0" borderId="5" xfId="3" applyNumberFormat="1" applyFont="1" applyBorder="1" applyAlignment="1">
      <alignment horizontal="left"/>
    </xf>
    <xf numFmtId="170" fontId="9" fillId="0" borderId="0" xfId="2" applyFont="1"/>
    <xf numFmtId="170" fontId="10" fillId="0" borderId="0" xfId="3" applyFont="1" applyAlignment="1">
      <alignment horizontal="left"/>
    </xf>
    <xf numFmtId="170" fontId="2" fillId="0" borderId="0" xfId="3" applyFont="1" applyAlignment="1">
      <alignment horizontal="right"/>
    </xf>
    <xf numFmtId="170" fontId="10" fillId="0" borderId="6" xfId="3" applyFont="1" applyBorder="1" applyAlignment="1">
      <alignment horizontal="left"/>
    </xf>
    <xf numFmtId="173" fontId="10" fillId="0" borderId="0" xfId="3" applyNumberFormat="1" applyFont="1" applyAlignment="1">
      <alignment horizontal="left"/>
    </xf>
    <xf numFmtId="170" fontId="2" fillId="0" borderId="9" xfId="3" applyFont="1" applyBorder="1"/>
    <xf numFmtId="170" fontId="9" fillId="0" borderId="9" xfId="2" applyFont="1" applyBorder="1"/>
    <xf numFmtId="170" fontId="10" fillId="0" borderId="9" xfId="3" applyFont="1" applyBorder="1" applyAlignment="1">
      <alignment horizontal="left"/>
    </xf>
    <xf numFmtId="169" fontId="2" fillId="0" borderId="9" xfId="4" applyFont="1" applyBorder="1" applyAlignment="1">
      <alignment horizontal="right"/>
    </xf>
    <xf numFmtId="0" fontId="14" fillId="0" borderId="9" xfId="5" applyFont="1" applyBorder="1"/>
    <xf numFmtId="170" fontId="10" fillId="0" borderId="10" xfId="3" quotePrefix="1" applyFont="1" applyBorder="1" applyAlignment="1">
      <alignment horizontal="left"/>
    </xf>
    <xf numFmtId="170" fontId="11" fillId="0" borderId="0" xfId="2" applyFont="1" applyAlignment="1">
      <alignment horizontal="left"/>
    </xf>
    <xf numFmtId="170" fontId="11" fillId="0" borderId="11" xfId="2" applyFont="1" applyBorder="1"/>
    <xf numFmtId="170" fontId="11" fillId="0" borderId="12" xfId="3" applyFont="1" applyBorder="1"/>
    <xf numFmtId="170" fontId="11" fillId="0" borderId="12" xfId="3" applyFont="1" applyBorder="1" applyAlignment="1">
      <alignment horizontal="right"/>
    </xf>
    <xf numFmtId="170" fontId="11" fillId="0" borderId="12" xfId="2" applyFont="1" applyBorder="1" applyAlignment="1">
      <alignment horizontal="right"/>
    </xf>
    <xf numFmtId="170" fontId="16" fillId="0" borderId="14" xfId="3" applyFont="1" applyBorder="1"/>
    <xf numFmtId="170" fontId="2" fillId="0" borderId="5" xfId="3" applyFont="1" applyBorder="1"/>
    <xf numFmtId="170" fontId="9" fillId="0" borderId="5" xfId="2" applyFont="1" applyBorder="1"/>
    <xf numFmtId="170" fontId="2" fillId="0" borderId="15" xfId="3" applyFont="1" applyBorder="1"/>
    <xf numFmtId="170" fontId="2" fillId="2" borderId="0" xfId="2" applyFont="1" applyFill="1"/>
    <xf numFmtId="170" fontId="11" fillId="0" borderId="16" xfId="3" applyFont="1" applyBorder="1"/>
    <xf numFmtId="170" fontId="2" fillId="0" borderId="6" xfId="3" applyFont="1" applyBorder="1"/>
    <xf numFmtId="0" fontId="18" fillId="0" borderId="0" xfId="2" applyNumberFormat="1" applyFont="1"/>
    <xf numFmtId="170" fontId="9" fillId="0" borderId="6" xfId="2" applyFont="1" applyBorder="1"/>
    <xf numFmtId="170" fontId="10" fillId="0" borderId="0" xfId="2" applyFont="1" applyAlignment="1">
      <alignment horizontal="right"/>
    </xf>
    <xf numFmtId="172" fontId="19" fillId="0" borderId="6" xfId="3" applyNumberFormat="1" applyFont="1" applyBorder="1"/>
    <xf numFmtId="173" fontId="10" fillId="0" borderId="0" xfId="7" applyNumberFormat="1" applyFont="1"/>
    <xf numFmtId="170" fontId="9" fillId="0" borderId="4" xfId="2" applyFont="1" applyBorder="1"/>
    <xf numFmtId="173" fontId="10" fillId="0" borderId="6" xfId="7" applyNumberFormat="1" applyFont="1" applyBorder="1"/>
    <xf numFmtId="170" fontId="16" fillId="0" borderId="4" xfId="3" applyFont="1" applyBorder="1"/>
    <xf numFmtId="170" fontId="18" fillId="0" borderId="0" xfId="3" applyFont="1" applyAlignment="1">
      <alignment horizontal="left" vertical="top" wrapText="1"/>
    </xf>
    <xf numFmtId="170" fontId="9" fillId="0" borderId="18" xfId="2" applyFont="1" applyBorder="1"/>
    <xf numFmtId="170" fontId="20" fillId="0" borderId="4" xfId="3" applyFont="1" applyBorder="1" applyAlignment="1">
      <alignment horizontal="left"/>
    </xf>
    <xf numFmtId="170" fontId="21" fillId="0" borderId="0" xfId="3" applyFont="1" applyAlignment="1">
      <alignment horizontal="right"/>
    </xf>
    <xf numFmtId="170" fontId="2" fillId="0" borderId="18" xfId="2" applyFont="1" applyBorder="1"/>
    <xf numFmtId="170" fontId="2" fillId="0" borderId="4" xfId="3" applyFont="1" applyBorder="1" applyAlignment="1">
      <alignment vertical="top" wrapText="1"/>
    </xf>
    <xf numFmtId="170" fontId="2" fillId="0" borderId="0" xfId="3" applyFont="1" applyAlignment="1">
      <alignment vertical="top" wrapText="1"/>
    </xf>
    <xf numFmtId="174" fontId="18" fillId="0" borderId="4" xfId="7" applyNumberFormat="1" applyFont="1" applyBorder="1" applyAlignment="1">
      <alignment horizontal="left"/>
    </xf>
    <xf numFmtId="37" fontId="8" fillId="0" borderId="0" xfId="3" applyNumberFormat="1" applyFont="1"/>
    <xf numFmtId="170" fontId="16" fillId="0" borderId="18" xfId="3" applyFont="1" applyBorder="1"/>
    <xf numFmtId="174" fontId="18" fillId="0" borderId="16" xfId="7" applyNumberFormat="1" applyFont="1" applyBorder="1" applyAlignment="1">
      <alignment horizontal="left"/>
    </xf>
    <xf numFmtId="170" fontId="2" fillId="0" borderId="17" xfId="3" applyFont="1" applyBorder="1"/>
    <xf numFmtId="37" fontId="8" fillId="0" borderId="17" xfId="3" applyNumberFormat="1" applyFont="1" applyBorder="1"/>
    <xf numFmtId="170" fontId="18" fillId="0" borderId="0" xfId="3" applyFont="1"/>
    <xf numFmtId="178" fontId="2" fillId="0" borderId="0" xfId="3" applyNumberFormat="1" applyFont="1" applyAlignment="1">
      <alignment horizontal="right"/>
    </xf>
    <xf numFmtId="177" fontId="18" fillId="0" borderId="4" xfId="3" applyNumberFormat="1" applyFont="1" applyBorder="1" applyAlignment="1">
      <alignment horizontal="left" indent="1"/>
    </xf>
    <xf numFmtId="173" fontId="2" fillId="0" borderId="0" xfId="3" applyNumberFormat="1" applyFont="1"/>
    <xf numFmtId="174" fontId="23" fillId="0" borderId="6" xfId="7" applyNumberFormat="1" applyFont="1" applyBorder="1" applyAlignment="1">
      <alignment horizontal="right"/>
    </xf>
    <xf numFmtId="170" fontId="2" fillId="0" borderId="8" xfId="3" applyFont="1" applyBorder="1" applyAlignment="1">
      <alignment vertical="top" wrapText="1"/>
    </xf>
    <xf numFmtId="170" fontId="2" fillId="0" borderId="9" xfId="3" applyFont="1" applyBorder="1" applyAlignment="1">
      <alignment vertical="top" wrapText="1"/>
    </xf>
    <xf numFmtId="170" fontId="9" fillId="0" borderId="10" xfId="2" applyFont="1" applyBorder="1"/>
    <xf numFmtId="170" fontId="2" fillId="0" borderId="8" xfId="2" applyFont="1" applyBorder="1"/>
    <xf numFmtId="170" fontId="2" fillId="0" borderId="9" xfId="2" applyFont="1" applyBorder="1"/>
    <xf numFmtId="170" fontId="2" fillId="0" borderId="23" xfId="2" applyFont="1" applyBorder="1"/>
    <xf numFmtId="170" fontId="2" fillId="0" borderId="10" xfId="2" applyFont="1" applyBorder="1"/>
    <xf numFmtId="170" fontId="2" fillId="0" borderId="0" xfId="7" applyFont="1"/>
    <xf numFmtId="172" fontId="18" fillId="0" borderId="0" xfId="7" applyNumberFormat="1" applyFont="1" applyAlignment="1">
      <alignment horizontal="right"/>
    </xf>
    <xf numFmtId="170" fontId="16" fillId="0" borderId="0" xfId="3" applyFont="1"/>
    <xf numFmtId="170" fontId="2" fillId="0" borderId="16" xfId="3" applyFont="1" applyBorder="1"/>
    <xf numFmtId="170" fontId="18" fillId="0" borderId="17" xfId="3" applyFont="1" applyBorder="1" applyAlignment="1">
      <alignment horizontal="left"/>
    </xf>
    <xf numFmtId="170" fontId="18" fillId="0" borderId="17" xfId="3" applyFont="1" applyBorder="1"/>
    <xf numFmtId="170" fontId="21" fillId="0" borderId="18" xfId="3" applyFont="1" applyBorder="1" applyAlignment="1">
      <alignment horizontal="left"/>
    </xf>
    <xf numFmtId="172" fontId="21" fillId="0" borderId="0" xfId="7" applyNumberFormat="1" applyFont="1" applyAlignment="1">
      <alignment horizontal="right"/>
    </xf>
    <xf numFmtId="170" fontId="21" fillId="0" borderId="0" xfId="3" applyFont="1" applyAlignment="1">
      <alignment horizontal="left"/>
    </xf>
    <xf numFmtId="170" fontId="21" fillId="0" borderId="0" xfId="7" applyFont="1" applyAlignment="1">
      <alignment horizontal="left"/>
    </xf>
    <xf numFmtId="170" fontId="2" fillId="0" borderId="4" xfId="3" applyFont="1" applyBorder="1" applyAlignment="1">
      <alignment horizontal="left" indent="1"/>
    </xf>
    <xf numFmtId="172" fontId="10" fillId="0" borderId="0" xfId="3" applyNumberFormat="1" applyFont="1" applyAlignment="1">
      <alignment horizontal="left"/>
    </xf>
    <xf numFmtId="179" fontId="10" fillId="0" borderId="0" xfId="3" applyNumberFormat="1" applyFont="1" applyAlignment="1">
      <alignment horizontal="left"/>
    </xf>
    <xf numFmtId="180" fontId="2" fillId="0" borderId="0" xfId="3" applyNumberFormat="1" applyFont="1" applyAlignment="1">
      <alignment horizontal="left"/>
    </xf>
    <xf numFmtId="170" fontId="11" fillId="0" borderId="18" xfId="3" applyFont="1" applyBorder="1" applyAlignment="1">
      <alignment horizontal="left"/>
    </xf>
    <xf numFmtId="170" fontId="11" fillId="0" borderId="0" xfId="3" applyFont="1"/>
    <xf numFmtId="1" fontId="2" fillId="0" borderId="0" xfId="3" applyNumberFormat="1" applyFont="1" applyAlignment="1">
      <alignment horizontal="left"/>
    </xf>
    <xf numFmtId="1" fontId="10" fillId="0" borderId="0" xfId="3" applyNumberFormat="1" applyFont="1" applyAlignment="1">
      <alignment horizontal="left"/>
    </xf>
    <xf numFmtId="170" fontId="2" fillId="0" borderId="18" xfId="3" applyFont="1" applyBorder="1" applyAlignment="1">
      <alignment horizontal="left"/>
    </xf>
    <xf numFmtId="1" fontId="21" fillId="0" borderId="0" xfId="3" applyNumberFormat="1" applyFont="1" applyAlignment="1">
      <alignment horizontal="left"/>
    </xf>
    <xf numFmtId="1" fontId="2" fillId="0" borderId="0" xfId="7" applyNumberFormat="1" applyFont="1"/>
    <xf numFmtId="1" fontId="27" fillId="0" borderId="0" xfId="3" applyNumberFormat="1" applyFont="1" applyAlignment="1">
      <alignment horizontal="left"/>
    </xf>
    <xf numFmtId="170" fontId="11" fillId="3" borderId="4" xfId="3" applyFont="1" applyFill="1" applyBorder="1" applyAlignment="1">
      <alignment horizontal="left" indent="1"/>
    </xf>
    <xf numFmtId="173" fontId="28" fillId="3" borderId="0" xfId="3" applyNumberFormat="1" applyFont="1" applyFill="1" applyAlignment="1">
      <alignment horizontal="left"/>
    </xf>
    <xf numFmtId="172" fontId="26" fillId="3" borderId="0" xfId="3" applyNumberFormat="1" applyFont="1" applyFill="1" applyAlignment="1">
      <alignment horizontal="left"/>
    </xf>
    <xf numFmtId="179" fontId="26" fillId="3" borderId="0" xfId="3" applyNumberFormat="1" applyFont="1" applyFill="1" applyAlignment="1">
      <alignment horizontal="left"/>
    </xf>
    <xf numFmtId="180" fontId="11" fillId="3" borderId="0" xfId="3" applyNumberFormat="1" applyFont="1" applyFill="1" applyAlignment="1">
      <alignment horizontal="left"/>
    </xf>
    <xf numFmtId="1" fontId="2" fillId="0" borderId="0" xfId="7" applyNumberFormat="1" applyFont="1" applyAlignment="1">
      <alignment horizontal="left"/>
    </xf>
    <xf numFmtId="170" fontId="21" fillId="0" borderId="4" xfId="7" applyFont="1" applyBorder="1" applyAlignment="1">
      <alignment horizontal="left"/>
    </xf>
    <xf numFmtId="172" fontId="29" fillId="0" borderId="0" xfId="7" applyNumberFormat="1" applyFont="1" applyAlignment="1">
      <alignment horizontal="left"/>
    </xf>
    <xf numFmtId="175" fontId="2" fillId="0" borderId="0" xfId="3" applyNumberFormat="1" applyFont="1" applyAlignment="1">
      <alignment horizontal="left"/>
    </xf>
    <xf numFmtId="180" fontId="21" fillId="0" borderId="0" xfId="3" applyNumberFormat="1" applyFont="1" applyAlignment="1">
      <alignment horizontal="left"/>
    </xf>
    <xf numFmtId="170" fontId="11" fillId="0" borderId="18" xfId="3" applyFont="1" applyBorder="1" applyAlignment="1">
      <alignment horizontal="left" indent="1"/>
    </xf>
    <xf numFmtId="181" fontId="11" fillId="0" borderId="0" xfId="7" applyNumberFormat="1" applyFont="1"/>
    <xf numFmtId="170" fontId="2" fillId="0" borderId="4" xfId="7" applyFont="1" applyBorder="1" applyAlignment="1">
      <alignment horizontal="left" indent="1"/>
    </xf>
    <xf numFmtId="170" fontId="2" fillId="0" borderId="0" xfId="3" applyFont="1" applyAlignment="1">
      <alignment horizontal="left"/>
    </xf>
    <xf numFmtId="172" fontId="2" fillId="0" borderId="0" xfId="3" applyNumberFormat="1" applyFont="1" applyAlignment="1">
      <alignment horizontal="left"/>
    </xf>
    <xf numFmtId="173" fontId="2" fillId="0" borderId="0" xfId="3" applyNumberFormat="1" applyFont="1" applyAlignment="1">
      <alignment horizontal="left"/>
    </xf>
    <xf numFmtId="170" fontId="30" fillId="0" borderId="0" xfId="3" applyFont="1"/>
    <xf numFmtId="170" fontId="2" fillId="0" borderId="4" xfId="3" applyFont="1" applyBorder="1" applyAlignment="1">
      <alignment horizontal="left"/>
    </xf>
    <xf numFmtId="172" fontId="19" fillId="0" borderId="0" xfId="7" applyNumberFormat="1" applyFont="1" applyAlignment="1">
      <alignment horizontal="left"/>
    </xf>
    <xf numFmtId="170" fontId="21" fillId="0" borderId="4" xfId="3" applyFont="1" applyBorder="1"/>
    <xf numFmtId="172" fontId="21" fillId="0" borderId="0" xfId="3" applyNumberFormat="1" applyFont="1" applyAlignment="1">
      <alignment horizontal="left"/>
    </xf>
    <xf numFmtId="165" fontId="2" fillId="0" borderId="0" xfId="3" applyNumberFormat="1" applyFont="1" applyAlignment="1">
      <alignment horizontal="left"/>
    </xf>
    <xf numFmtId="180" fontId="2" fillId="0" borderId="0" xfId="8" applyNumberFormat="1" applyFont="1" applyAlignment="1">
      <alignment horizontal="left"/>
    </xf>
    <xf numFmtId="170" fontId="11" fillId="0" borderId="24" xfId="2" applyFont="1" applyBorder="1"/>
    <xf numFmtId="170" fontId="11" fillId="0" borderId="25" xfId="2" applyFont="1" applyBorder="1"/>
    <xf numFmtId="182" fontId="11" fillId="0" borderId="26" xfId="4" applyNumberFormat="1" applyFont="1" applyBorder="1" applyAlignment="1">
      <alignment horizontal="left"/>
    </xf>
    <xf numFmtId="170" fontId="9" fillId="0" borderId="23" xfId="2" applyFont="1" applyBorder="1"/>
    <xf numFmtId="180" fontId="2" fillId="0" borderId="10" xfId="3" applyNumberFormat="1" applyFont="1" applyBorder="1"/>
    <xf numFmtId="180" fontId="2" fillId="0" borderId="0" xfId="3" applyNumberFormat="1" applyFont="1"/>
    <xf numFmtId="183" fontId="10" fillId="0" borderId="17" xfId="3" applyNumberFormat="1" applyFont="1" applyBorder="1" applyAlignment="1">
      <alignment horizontal="right"/>
    </xf>
    <xf numFmtId="183" fontId="2" fillId="0" borderId="17" xfId="3" applyNumberFormat="1" applyFont="1" applyBorder="1" applyAlignment="1">
      <alignment horizontal="right"/>
    </xf>
    <xf numFmtId="170" fontId="2" fillId="0" borderId="17" xfId="3" applyFont="1" applyBorder="1" applyAlignment="1">
      <alignment horizontal="right"/>
    </xf>
    <xf numFmtId="184" fontId="2" fillId="0" borderId="27" xfId="3" applyNumberFormat="1" applyFont="1" applyBorder="1" applyAlignment="1">
      <alignment horizontal="right"/>
    </xf>
    <xf numFmtId="170" fontId="2" fillId="0" borderId="26" xfId="2" applyFont="1" applyBorder="1" applyAlignment="1">
      <alignment horizontal="right"/>
    </xf>
    <xf numFmtId="170" fontId="11" fillId="0" borderId="4" xfId="3" applyFont="1" applyBorder="1"/>
    <xf numFmtId="172" fontId="26" fillId="0" borderId="0" xfId="3" applyNumberFormat="1" applyFont="1" applyAlignment="1">
      <alignment horizontal="right"/>
    </xf>
    <xf numFmtId="172" fontId="26" fillId="0" borderId="18" xfId="3" applyNumberFormat="1" applyFont="1" applyBorder="1" applyAlignment="1">
      <alignment horizontal="right"/>
    </xf>
    <xf numFmtId="172" fontId="26" fillId="0" borderId="28" xfId="3" applyNumberFormat="1" applyFont="1" applyBorder="1" applyAlignment="1">
      <alignment horizontal="right"/>
    </xf>
    <xf numFmtId="179" fontId="31" fillId="0" borderId="0" xfId="3" applyNumberFormat="1" applyFont="1" applyAlignment="1">
      <alignment horizontal="right"/>
    </xf>
    <xf numFmtId="179" fontId="31" fillId="0" borderId="18" xfId="3" applyNumberFormat="1" applyFont="1" applyBorder="1" applyAlignment="1">
      <alignment horizontal="right"/>
    </xf>
    <xf numFmtId="179" fontId="31" fillId="0" borderId="28" xfId="3" applyNumberFormat="1" applyFont="1" applyBorder="1" applyAlignment="1">
      <alignment horizontal="right"/>
    </xf>
    <xf numFmtId="170" fontId="32" fillId="0" borderId="0" xfId="3" applyFont="1"/>
    <xf numFmtId="170" fontId="2" fillId="0" borderId="4" xfId="7" applyFont="1" applyBorder="1"/>
    <xf numFmtId="170" fontId="33" fillId="0" borderId="0" xfId="3" applyFont="1"/>
    <xf numFmtId="182" fontId="26" fillId="0" borderId="0" xfId="4" applyNumberFormat="1" applyFont="1" applyBorder="1" applyAlignment="1">
      <alignment horizontal="right"/>
    </xf>
    <xf numFmtId="182" fontId="26" fillId="0" borderId="18" xfId="4" applyNumberFormat="1" applyFont="1" applyBorder="1" applyAlignment="1">
      <alignment horizontal="right"/>
    </xf>
    <xf numFmtId="182" fontId="26" fillId="0" borderId="28" xfId="4" applyNumberFormat="1" applyFont="1" applyBorder="1" applyAlignment="1">
      <alignment horizontal="right"/>
    </xf>
    <xf numFmtId="0" fontId="34" fillId="0" borderId="0" xfId="9" applyFont="1"/>
    <xf numFmtId="170" fontId="16" fillId="0" borderId="6" xfId="7" applyFont="1" applyBorder="1" applyAlignment="1">
      <alignment horizontal="center"/>
    </xf>
    <xf numFmtId="170" fontId="2" fillId="0" borderId="6" xfId="7" applyFont="1" applyBorder="1"/>
    <xf numFmtId="180" fontId="31" fillId="0" borderId="18" xfId="3" applyNumberFormat="1" applyFont="1" applyBorder="1" applyAlignment="1">
      <alignment horizontal="right"/>
    </xf>
    <xf numFmtId="180" fontId="31" fillId="0" borderId="28" xfId="3" applyNumberFormat="1" applyFont="1" applyBorder="1" applyAlignment="1">
      <alignment horizontal="right"/>
    </xf>
    <xf numFmtId="170" fontId="2" fillId="0" borderId="8" xfId="7" applyFont="1" applyBorder="1"/>
    <xf numFmtId="170" fontId="20" fillId="0" borderId="9" xfId="3" applyFont="1" applyBorder="1" applyAlignment="1">
      <alignment horizontal="left" wrapText="1"/>
    </xf>
    <xf numFmtId="170" fontId="2" fillId="0" borderId="10" xfId="7" applyFont="1" applyBorder="1"/>
    <xf numFmtId="180" fontId="2" fillId="0" borderId="4" xfId="3" applyNumberFormat="1" applyFont="1" applyBorder="1"/>
    <xf numFmtId="180" fontId="31" fillId="0" borderId="0" xfId="3" applyNumberFormat="1" applyFont="1" applyAlignment="1">
      <alignment horizontal="right"/>
    </xf>
    <xf numFmtId="170" fontId="23" fillId="0" borderId="0" xfId="3" applyFont="1" applyAlignment="1">
      <alignment horizontal="left"/>
    </xf>
    <xf numFmtId="170" fontId="18" fillId="0" borderId="0" xfId="3" applyFont="1" applyAlignment="1">
      <alignment horizontal="center" wrapText="1"/>
    </xf>
    <xf numFmtId="183" fontId="2" fillId="0" borderId="0" xfId="3" applyNumberFormat="1" applyFont="1" applyAlignment="1">
      <alignment horizontal="center"/>
    </xf>
    <xf numFmtId="184" fontId="2" fillId="0" borderId="0" xfId="3" applyNumberFormat="1" applyFont="1" applyAlignment="1">
      <alignment horizontal="center"/>
    </xf>
    <xf numFmtId="170" fontId="35" fillId="0" borderId="18" xfId="3" applyFont="1" applyBorder="1" applyAlignment="1">
      <alignment horizontal="left"/>
    </xf>
    <xf numFmtId="170" fontId="2" fillId="0" borderId="4" xfId="2" applyFont="1" applyBorder="1"/>
    <xf numFmtId="180" fontId="36" fillId="0" borderId="0" xfId="4" applyNumberFormat="1" applyFont="1" applyFill="1" applyBorder="1"/>
    <xf numFmtId="180" fontId="36" fillId="0" borderId="18" xfId="4" applyNumberFormat="1" applyFont="1" applyFill="1" applyBorder="1"/>
    <xf numFmtId="180" fontId="36" fillId="0" borderId="28" xfId="4" applyNumberFormat="1" applyFont="1" applyFill="1" applyBorder="1"/>
    <xf numFmtId="170" fontId="20" fillId="0" borderId="0" xfId="3" applyFont="1" applyAlignment="1">
      <alignment horizontal="center" wrapText="1"/>
    </xf>
    <xf numFmtId="170" fontId="10" fillId="0" borderId="4" xfId="2" applyFont="1" applyBorder="1"/>
    <xf numFmtId="185" fontId="18" fillId="0" borderId="0" xfId="10" applyNumberFormat="1" applyFont="1" applyAlignment="1">
      <alignment horizontal="center"/>
    </xf>
    <xf numFmtId="9" fontId="18" fillId="0" borderId="0" xfId="6" applyFont="1" applyBorder="1" applyAlignment="1">
      <alignment horizontal="center"/>
    </xf>
    <xf numFmtId="170" fontId="21" fillId="0" borderId="6" xfId="3" applyFont="1" applyBorder="1" applyAlignment="1">
      <alignment horizontal="right"/>
    </xf>
    <xf numFmtId="170" fontId="23" fillId="0" borderId="17" xfId="3" applyFont="1" applyBorder="1" applyAlignment="1">
      <alignment horizontal="left"/>
    </xf>
    <xf numFmtId="179" fontId="31" fillId="0" borderId="17" xfId="3" applyNumberFormat="1" applyFont="1" applyBorder="1" applyAlignment="1">
      <alignment horizontal="right"/>
    </xf>
    <xf numFmtId="179" fontId="31" fillId="0" borderId="30" xfId="3" applyNumberFormat="1" applyFont="1" applyBorder="1" applyAlignment="1">
      <alignment horizontal="right"/>
    </xf>
    <xf numFmtId="10" fontId="10" fillId="0" borderId="6" xfId="7" applyNumberFormat="1" applyFont="1" applyBorder="1" applyAlignment="1">
      <alignment horizontal="right"/>
    </xf>
    <xf numFmtId="179" fontId="38" fillId="0" borderId="0" xfId="9" applyNumberFormat="1" applyFont="1"/>
    <xf numFmtId="9" fontId="18" fillId="0" borderId="0" xfId="6" applyFont="1" applyBorder="1" applyAlignment="1">
      <alignment horizontal="center" vertical="center"/>
    </xf>
    <xf numFmtId="170" fontId="2" fillId="0" borderId="18" xfId="3" applyFont="1" applyBorder="1" applyAlignment="1">
      <alignment horizontal="left" vertical="center"/>
    </xf>
    <xf numFmtId="170" fontId="9" fillId="0" borderId="0" xfId="2" applyFont="1" applyAlignment="1">
      <alignment vertical="center"/>
    </xf>
    <xf numFmtId="10" fontId="10" fillId="0" borderId="6" xfId="7" applyNumberFormat="1" applyFont="1" applyBorder="1" applyAlignment="1">
      <alignment horizontal="right" vertical="center"/>
    </xf>
    <xf numFmtId="185" fontId="18" fillId="0" borderId="0" xfId="10" applyNumberFormat="1" applyFont="1" applyFill="1" applyAlignment="1">
      <alignment horizontal="center" vertical="center"/>
    </xf>
    <xf numFmtId="170" fontId="2" fillId="0" borderId="4" xfId="3" applyFont="1" applyBorder="1" applyAlignment="1">
      <alignment vertical="top"/>
    </xf>
    <xf numFmtId="9" fontId="20" fillId="0" borderId="0" xfId="6" applyFont="1" applyBorder="1" applyAlignment="1">
      <alignment horizontal="center"/>
    </xf>
    <xf numFmtId="170" fontId="2" fillId="0" borderId="4" xfId="8" applyFont="1" applyBorder="1"/>
    <xf numFmtId="185" fontId="2" fillId="0" borderId="0" xfId="8" applyNumberFormat="1" applyFont="1" applyAlignment="1">
      <alignment horizontal="center"/>
    </xf>
    <xf numFmtId="170" fontId="11" fillId="4" borderId="31" xfId="2" applyFont="1" applyFill="1" applyBorder="1"/>
    <xf numFmtId="170" fontId="7" fillId="4" borderId="22" xfId="2" applyFont="1" applyFill="1" applyBorder="1"/>
    <xf numFmtId="170" fontId="2" fillId="0" borderId="0" xfId="8" applyFont="1" applyAlignment="1">
      <alignment horizontal="left"/>
    </xf>
    <xf numFmtId="176" fontId="18" fillId="0" borderId="0" xfId="7" applyNumberFormat="1" applyFont="1"/>
    <xf numFmtId="170" fontId="11" fillId="0" borderId="0" xfId="2" applyFont="1"/>
    <xf numFmtId="170" fontId="41" fillId="0" borderId="0" xfId="2" applyFont="1" applyAlignment="1">
      <alignment wrapText="1"/>
    </xf>
    <xf numFmtId="170" fontId="41" fillId="0" borderId="0" xfId="7" applyFont="1" applyAlignment="1">
      <alignment wrapText="1"/>
    </xf>
    <xf numFmtId="170" fontId="41" fillId="0" borderId="0" xfId="11" applyFont="1" applyAlignment="1">
      <alignment wrapText="1"/>
    </xf>
    <xf numFmtId="170" fontId="2" fillId="0" borderId="0" xfId="11" applyFont="1"/>
    <xf numFmtId="186" fontId="2" fillId="0" borderId="0" xfId="2" applyNumberFormat="1" applyFont="1"/>
    <xf numFmtId="170" fontId="42" fillId="0" borderId="0" xfId="3" applyFont="1" applyAlignment="1">
      <alignment horizontal="center"/>
    </xf>
    <xf numFmtId="170" fontId="42" fillId="0" borderId="0" xfId="3" applyFont="1"/>
    <xf numFmtId="0" fontId="42" fillId="0" borderId="0" xfId="12" applyFont="1" applyAlignment="1">
      <alignment horizontal="center"/>
    </xf>
    <xf numFmtId="170" fontId="42" fillId="0" borderId="0" xfId="13" applyFont="1"/>
    <xf numFmtId="173" fontId="9" fillId="0" borderId="0" xfId="3" applyNumberFormat="1" applyFont="1"/>
    <xf numFmtId="179" fontId="9" fillId="0" borderId="0" xfId="3" applyNumberFormat="1" applyFont="1" applyAlignment="1">
      <alignment horizontal="center"/>
    </xf>
    <xf numFmtId="172" fontId="9" fillId="0" borderId="0" xfId="3" applyNumberFormat="1" applyFont="1" applyAlignment="1">
      <alignment horizontal="center"/>
    </xf>
    <xf numFmtId="187" fontId="9" fillId="0" borderId="0" xfId="3" applyNumberFormat="1" applyFont="1"/>
    <xf numFmtId="0" fontId="9" fillId="0" borderId="0" xfId="2" applyNumberFormat="1" applyFont="1" applyAlignment="1">
      <alignment horizontal="center"/>
    </xf>
    <xf numFmtId="173" fontId="9" fillId="0" borderId="0" xfId="13" applyNumberFormat="1" applyFont="1" applyAlignment="1">
      <alignment horizontal="left" indent="1"/>
    </xf>
    <xf numFmtId="172" fontId="9" fillId="0" borderId="0" xfId="13" applyNumberFormat="1" applyFont="1" applyAlignment="1">
      <alignment horizontal="left" indent="1"/>
    </xf>
    <xf numFmtId="188" fontId="9" fillId="0" borderId="0" xfId="11" applyNumberFormat="1" applyFont="1" applyAlignment="1">
      <alignment horizontal="center"/>
    </xf>
    <xf numFmtId="187" fontId="9" fillId="0" borderId="0" xfId="3" applyNumberFormat="1" applyFont="1" applyAlignment="1">
      <alignment horizontal="center"/>
    </xf>
    <xf numFmtId="179" fontId="9" fillId="0" borderId="0" xfId="3" applyNumberFormat="1" applyFont="1"/>
    <xf numFmtId="179" fontId="9" fillId="0" borderId="0" xfId="13" applyNumberFormat="1" applyFont="1"/>
    <xf numFmtId="0" fontId="43" fillId="0" borderId="0" xfId="9" applyFont="1"/>
    <xf numFmtId="0" fontId="44" fillId="0" borderId="0" xfId="9" applyFont="1"/>
    <xf numFmtId="170" fontId="45" fillId="0" borderId="0" xfId="3" quotePrefix="1" applyFont="1" applyAlignment="1">
      <alignment horizontal="right"/>
    </xf>
    <xf numFmtId="170" fontId="45" fillId="0" borderId="0" xfId="3" applyFont="1" applyAlignment="1">
      <alignment horizontal="right"/>
    </xf>
    <xf numFmtId="0" fontId="44" fillId="0" borderId="0" xfId="9" applyFont="1" applyAlignment="1">
      <alignment horizontal="right"/>
    </xf>
    <xf numFmtId="170" fontId="46" fillId="0" borderId="0" xfId="3" quotePrefix="1" applyFont="1" applyAlignment="1">
      <alignment horizontal="right"/>
    </xf>
    <xf numFmtId="170" fontId="46" fillId="0" borderId="0" xfId="3" applyFont="1" applyAlignment="1">
      <alignment horizontal="right"/>
    </xf>
    <xf numFmtId="170" fontId="43" fillId="5" borderId="0" xfId="3" applyFont="1" applyFill="1" applyAlignment="1">
      <alignment horizontal="right"/>
    </xf>
    <xf numFmtId="170" fontId="43" fillId="5" borderId="28" xfId="3" applyFont="1" applyFill="1" applyBorder="1" applyAlignment="1">
      <alignment horizontal="right"/>
    </xf>
    <xf numFmtId="170" fontId="47" fillId="0" borderId="0" xfId="3" applyFont="1" applyAlignment="1">
      <alignment horizontal="right"/>
    </xf>
    <xf numFmtId="0" fontId="44" fillId="0" borderId="0" xfId="16" applyFont="1"/>
    <xf numFmtId="172" fontId="45" fillId="0" borderId="0" xfId="3" applyNumberFormat="1" applyFont="1" applyAlignment="1">
      <alignment horizontal="right"/>
    </xf>
    <xf numFmtId="179" fontId="45" fillId="0" borderId="0" xfId="3" applyNumberFormat="1" applyFont="1" applyAlignment="1">
      <alignment horizontal="right"/>
    </xf>
    <xf numFmtId="0" fontId="43" fillId="0" borderId="0" xfId="16" applyFont="1"/>
    <xf numFmtId="172" fontId="49" fillId="0" borderId="0" xfId="3" applyNumberFormat="1" applyFont="1" applyAlignment="1">
      <alignment horizontal="right"/>
    </xf>
    <xf numFmtId="172" fontId="44" fillId="0" borderId="0" xfId="16" applyNumberFormat="1" applyFont="1" applyAlignment="1">
      <alignment horizontal="right"/>
    </xf>
    <xf numFmtId="0" fontId="44" fillId="0" borderId="0" xfId="16" applyFont="1" applyAlignment="1">
      <alignment horizontal="right"/>
    </xf>
    <xf numFmtId="0" fontId="43" fillId="0" borderId="0" xfId="16" applyFont="1" applyAlignment="1">
      <alignment horizontal="right"/>
    </xf>
    <xf numFmtId="172" fontId="43" fillId="0" borderId="0" xfId="16" applyNumberFormat="1" applyFont="1" applyAlignment="1">
      <alignment horizontal="right"/>
    </xf>
    <xf numFmtId="0" fontId="44" fillId="6" borderId="0" xfId="16" applyFont="1" applyFill="1"/>
    <xf numFmtId="0" fontId="44" fillId="6" borderId="0" xfId="16" applyFont="1" applyFill="1" applyAlignment="1">
      <alignment horizontal="right"/>
    </xf>
    <xf numFmtId="180" fontId="44" fillId="0" borderId="0" xfId="16" applyNumberFormat="1" applyFont="1" applyAlignment="1">
      <alignment horizontal="right"/>
    </xf>
    <xf numFmtId="180" fontId="45" fillId="0" borderId="0" xfId="3" applyNumberFormat="1" applyFont="1" applyAlignment="1">
      <alignment horizontal="right"/>
    </xf>
    <xf numFmtId="179" fontId="44" fillId="0" borderId="0" xfId="9" applyNumberFormat="1" applyFont="1" applyAlignment="1">
      <alignment horizontal="right"/>
    </xf>
    <xf numFmtId="0" fontId="44" fillId="5" borderId="0" xfId="9" applyFont="1" applyFill="1"/>
    <xf numFmtId="0" fontId="43" fillId="5" borderId="0" xfId="9" applyFont="1" applyFill="1"/>
    <xf numFmtId="0" fontId="46" fillId="0" borderId="0" xfId="9" applyFont="1"/>
    <xf numFmtId="14" fontId="44" fillId="0" borderId="0" xfId="9" applyNumberFormat="1" applyFont="1"/>
    <xf numFmtId="0" fontId="45" fillId="0" borderId="0" xfId="9" applyFont="1"/>
    <xf numFmtId="172" fontId="45" fillId="0" borderId="0" xfId="3" applyNumberFormat="1" applyFont="1" applyAlignment="1">
      <alignment horizontal="left"/>
    </xf>
    <xf numFmtId="0" fontId="44" fillId="0" borderId="0" xfId="9" applyFont="1" applyAlignment="1">
      <alignment horizontal="center"/>
    </xf>
    <xf numFmtId="0" fontId="43" fillId="5" borderId="0" xfId="9" applyFont="1" applyFill="1" applyAlignment="1">
      <alignment horizontal="center"/>
    </xf>
    <xf numFmtId="0" fontId="46" fillId="0" borderId="0" xfId="9" applyFont="1" applyAlignment="1">
      <alignment horizontal="center"/>
    </xf>
    <xf numFmtId="179" fontId="2" fillId="0" borderId="0" xfId="6" applyNumberFormat="1" applyFont="1" applyFill="1" applyBorder="1" applyAlignment="1"/>
    <xf numFmtId="170" fontId="7" fillId="0" borderId="17" xfId="148" applyFont="1" applyBorder="1" applyAlignment="1">
      <alignment horizontal="right"/>
    </xf>
    <xf numFmtId="10" fontId="2" fillId="0" borderId="0" xfId="6" applyNumberFormat="1" applyFont="1" applyFill="1" applyBorder="1"/>
    <xf numFmtId="10" fontId="8" fillId="0" borderId="0" xfId="148" applyNumberFormat="1" applyFont="1"/>
    <xf numFmtId="170" fontId="2" fillId="0" borderId="0" xfId="2" quotePrefix="1" applyFont="1"/>
    <xf numFmtId="170" fontId="8" fillId="0" borderId="0" xfId="148" applyFont="1"/>
    <xf numFmtId="170" fontId="7" fillId="0" borderId="17" xfId="2" applyFont="1" applyBorder="1" applyAlignment="1">
      <alignment horizontal="right"/>
    </xf>
    <xf numFmtId="170" fontId="2" fillId="0" borderId="0" xfId="2" applyFont="1"/>
    <xf numFmtId="205" fontId="2" fillId="0" borderId="9" xfId="1" applyNumberFormat="1" applyFont="1" applyFill="1" applyBorder="1"/>
    <xf numFmtId="170" fontId="4" fillId="21" borderId="1" xfId="148" applyFont="1" applyFill="1" applyBorder="1"/>
    <xf numFmtId="170" fontId="4" fillId="21" borderId="2" xfId="148" applyFont="1" applyFill="1" applyBorder="1" applyAlignment="1">
      <alignment horizontal="left"/>
    </xf>
    <xf numFmtId="170" fontId="5" fillId="21" borderId="2" xfId="3" applyFont="1" applyFill="1" applyBorder="1"/>
    <xf numFmtId="170" fontId="6" fillId="21" borderId="2" xfId="3" applyFont="1" applyFill="1" applyBorder="1" applyAlignment="1">
      <alignment horizontal="right"/>
    </xf>
    <xf numFmtId="170" fontId="6" fillId="21" borderId="3" xfId="3" applyFont="1" applyFill="1" applyBorder="1" applyAlignment="1">
      <alignment horizontal="right"/>
    </xf>
    <xf numFmtId="170" fontId="6" fillId="21" borderId="1" xfId="3" applyFont="1" applyFill="1" applyBorder="1"/>
    <xf numFmtId="170" fontId="15" fillId="21" borderId="2" xfId="2" applyFont="1" applyFill="1" applyBorder="1"/>
    <xf numFmtId="170" fontId="5" fillId="21" borderId="3" xfId="3" applyFont="1" applyFill="1" applyBorder="1"/>
    <xf numFmtId="170" fontId="6" fillId="21" borderId="1" xfId="2" applyFont="1" applyFill="1" applyBorder="1"/>
    <xf numFmtId="170" fontId="6" fillId="21" borderId="2" xfId="2" applyFont="1" applyFill="1" applyBorder="1"/>
    <xf numFmtId="170" fontId="6" fillId="21" borderId="3" xfId="2" applyFont="1" applyFill="1" applyBorder="1"/>
    <xf numFmtId="170" fontId="6" fillId="21" borderId="20" xfId="3" applyFont="1" applyFill="1" applyBorder="1"/>
    <xf numFmtId="176" fontId="5" fillId="21" borderId="21" xfId="3" applyNumberFormat="1" applyFont="1" applyFill="1" applyBorder="1"/>
    <xf numFmtId="170" fontId="15" fillId="21" borderId="21" xfId="2" applyFont="1" applyFill="1" applyBorder="1"/>
    <xf numFmtId="170" fontId="5" fillId="21" borderId="21" xfId="3" applyFont="1" applyFill="1" applyBorder="1"/>
    <xf numFmtId="170" fontId="5" fillId="21" borderId="22" xfId="3" applyFont="1" applyFill="1" applyBorder="1"/>
    <xf numFmtId="170" fontId="6" fillId="21" borderId="11" xfId="3" applyFont="1" applyFill="1" applyBorder="1"/>
    <xf numFmtId="170" fontId="24" fillId="21" borderId="12" xfId="3" applyFont="1" applyFill="1" applyBorder="1"/>
    <xf numFmtId="37" fontId="5" fillId="21" borderId="12" xfId="3" applyNumberFormat="1" applyFont="1" applyFill="1" applyBorder="1"/>
    <xf numFmtId="170" fontId="5" fillId="21" borderId="12" xfId="3" applyFont="1" applyFill="1" applyBorder="1"/>
    <xf numFmtId="170" fontId="5" fillId="21" borderId="12" xfId="7" applyFont="1" applyFill="1" applyBorder="1"/>
    <xf numFmtId="170" fontId="15" fillId="21" borderId="12" xfId="2" applyFont="1" applyFill="1" applyBorder="1"/>
    <xf numFmtId="170" fontId="24" fillId="21" borderId="13" xfId="3" applyFont="1" applyFill="1" applyBorder="1" applyAlignment="1">
      <alignment horizontal="right"/>
    </xf>
    <xf numFmtId="170" fontId="6" fillId="21" borderId="14" xfId="3" applyFont="1" applyFill="1" applyBorder="1"/>
    <xf numFmtId="170" fontId="5" fillId="21" borderId="5" xfId="3" applyFont="1" applyFill="1" applyBorder="1"/>
    <xf numFmtId="170" fontId="6" fillId="21" borderId="5" xfId="3" applyFont="1" applyFill="1" applyBorder="1" applyAlignment="1">
      <alignment horizontal="center"/>
    </xf>
    <xf numFmtId="170" fontId="5" fillId="21" borderId="15" xfId="2" applyFont="1" applyFill="1" applyBorder="1"/>
    <xf numFmtId="170" fontId="6" fillId="21" borderId="11" xfId="2" applyFont="1" applyFill="1" applyBorder="1"/>
    <xf numFmtId="170" fontId="6" fillId="21" borderId="12" xfId="2" applyFont="1" applyFill="1" applyBorder="1"/>
    <xf numFmtId="170" fontId="6" fillId="21" borderId="13" xfId="3" applyFont="1" applyFill="1" applyBorder="1"/>
    <xf numFmtId="170" fontId="6" fillId="21" borderId="11" xfId="7" applyFont="1" applyFill="1" applyBorder="1"/>
    <xf numFmtId="170" fontId="17" fillId="21" borderId="12" xfId="2" applyFont="1" applyFill="1" applyBorder="1"/>
    <xf numFmtId="9" fontId="28" fillId="21" borderId="12" xfId="6" applyFont="1" applyFill="1" applyBorder="1" applyAlignment="1">
      <alignment horizontal="left"/>
    </xf>
    <xf numFmtId="170" fontId="11" fillId="21" borderId="13" xfId="7" applyFont="1" applyFill="1" applyBorder="1"/>
    <xf numFmtId="170" fontId="10" fillId="0" borderId="9" xfId="148" applyFont="1" applyBorder="1"/>
    <xf numFmtId="170" fontId="11" fillId="0" borderId="12" xfId="148" applyFont="1" applyBorder="1" applyAlignment="1">
      <alignment horizontal="right"/>
    </xf>
    <xf numFmtId="170" fontId="11" fillId="0" borderId="13" xfId="148" applyFont="1" applyBorder="1" applyAlignment="1">
      <alignment horizontal="right"/>
    </xf>
    <xf numFmtId="170" fontId="39" fillId="0" borderId="4" xfId="2" applyFont="1" applyBorder="1" applyAlignment="1">
      <alignment vertical="center"/>
    </xf>
    <xf numFmtId="170" fontId="2" fillId="0" borderId="0" xfId="3" applyFont="1" applyAlignment="1">
      <alignment vertical="center"/>
    </xf>
    <xf numFmtId="173" fontId="2" fillId="0" borderId="0" xfId="3" applyNumberFormat="1" applyFont="1" applyAlignment="1">
      <alignment horizontal="left" vertical="center"/>
    </xf>
    <xf numFmtId="180" fontId="2" fillId="0" borderId="0" xfId="3" applyNumberFormat="1" applyFont="1" applyAlignment="1">
      <alignment horizontal="left" vertical="center"/>
    </xf>
    <xf numFmtId="170" fontId="2" fillId="0" borderId="0" xfId="7" applyFont="1" applyAlignment="1">
      <alignment vertical="center"/>
    </xf>
    <xf numFmtId="170" fontId="2" fillId="0" borderId="6" xfId="7" applyFont="1" applyBorder="1" applyAlignment="1">
      <alignment vertical="center"/>
    </xf>
    <xf numFmtId="9" fontId="18" fillId="0" borderId="0" xfId="6" applyFont="1" applyFill="1" applyBorder="1" applyAlignment="1">
      <alignment horizontal="center" vertical="center"/>
    </xf>
    <xf numFmtId="170" fontId="2" fillId="0" borderId="0" xfId="2" applyFont="1" applyAlignment="1">
      <alignment vertical="center"/>
    </xf>
    <xf numFmtId="0" fontId="44" fillId="0" borderId="0" xfId="0" applyFont="1"/>
    <xf numFmtId="173" fontId="45" fillId="0" borderId="0" xfId="0" applyNumberFormat="1" applyFont="1"/>
    <xf numFmtId="173" fontId="44" fillId="0" borderId="0" xfId="0" applyNumberFormat="1" applyFont="1"/>
    <xf numFmtId="179" fontId="46" fillId="0" borderId="0" xfId="0" applyNumberFormat="1" applyFont="1"/>
    <xf numFmtId="179" fontId="44" fillId="0" borderId="0" xfId="0" applyNumberFormat="1" applyFont="1"/>
    <xf numFmtId="173" fontId="44" fillId="5" borderId="0" xfId="0" applyNumberFormat="1" applyFont="1" applyFill="1"/>
    <xf numFmtId="173" fontId="47" fillId="5" borderId="0" xfId="0" applyNumberFormat="1" applyFont="1" applyFill="1"/>
    <xf numFmtId="0" fontId="44" fillId="6" borderId="0" xfId="0" applyFont="1" applyFill="1"/>
    <xf numFmtId="206" fontId="44" fillId="3" borderId="41" xfId="0" applyNumberFormat="1" applyFont="1" applyFill="1" applyBorder="1" applyAlignment="1">
      <alignment horizontal="center"/>
    </xf>
    <xf numFmtId="206" fontId="44" fillId="3" borderId="42" xfId="0" applyNumberFormat="1" applyFont="1" applyFill="1" applyBorder="1" applyAlignment="1">
      <alignment horizontal="center"/>
    </xf>
    <xf numFmtId="206" fontId="44" fillId="0" borderId="0" xfId="0" applyNumberFormat="1" applyFont="1" applyAlignment="1">
      <alignment horizontal="center"/>
    </xf>
    <xf numFmtId="206" fontId="44" fillId="3" borderId="43" xfId="0" applyNumberFormat="1" applyFont="1" applyFill="1" applyBorder="1" applyAlignment="1">
      <alignment horizontal="center"/>
    </xf>
    <xf numFmtId="0" fontId="44" fillId="0" borderId="0" xfId="0" applyFont="1" applyAlignment="1">
      <alignment horizontal="center"/>
    </xf>
    <xf numFmtId="206" fontId="44" fillId="3" borderId="0" xfId="0" applyNumberFormat="1" applyFont="1" applyFill="1" applyAlignment="1">
      <alignment horizontal="center"/>
    </xf>
    <xf numFmtId="4" fontId="101" fillId="22" borderId="44" xfId="0" applyNumberFormat="1" applyFont="1" applyFill="1" applyBorder="1" applyAlignment="1">
      <alignment horizontal="centerContinuous" vertical="center"/>
    </xf>
    <xf numFmtId="4" fontId="101" fillId="22" borderId="43" xfId="0" applyNumberFormat="1" applyFont="1" applyFill="1" applyBorder="1" applyAlignment="1">
      <alignment horizontal="centerContinuous"/>
    </xf>
    <xf numFmtId="207" fontId="101" fillId="0" borderId="0" xfId="0" applyNumberFormat="1" applyFont="1" applyAlignment="1">
      <alignment horizontal="center"/>
    </xf>
    <xf numFmtId="207" fontId="101" fillId="22" borderId="44" xfId="0" applyNumberFormat="1" applyFont="1" applyFill="1" applyBorder="1" applyAlignment="1">
      <alignment horizontal="center"/>
    </xf>
    <xf numFmtId="208" fontId="101" fillId="22" borderId="44" xfId="0" applyNumberFormat="1" applyFont="1" applyFill="1" applyBorder="1" applyAlignment="1">
      <alignment horizontal="center"/>
    </xf>
    <xf numFmtId="209" fontId="101" fillId="22" borderId="44" xfId="0" applyNumberFormat="1" applyFont="1" applyFill="1" applyBorder="1" applyAlignment="1">
      <alignment horizontal="center"/>
    </xf>
    <xf numFmtId="210" fontId="101" fillId="22" borderId="44" xfId="0" applyNumberFormat="1" applyFont="1" applyFill="1" applyBorder="1" applyAlignment="1">
      <alignment horizontal="center"/>
    </xf>
    <xf numFmtId="211" fontId="101" fillId="22" borderId="44" xfId="0" applyNumberFormat="1" applyFont="1" applyFill="1" applyBorder="1" applyAlignment="1">
      <alignment horizontal="center"/>
    </xf>
    <xf numFmtId="212" fontId="101" fillId="22" borderId="43" xfId="0" applyNumberFormat="1" applyFont="1" applyFill="1" applyBorder="1" applyAlignment="1">
      <alignment horizontal="center"/>
    </xf>
    <xf numFmtId="213" fontId="101" fillId="22" borderId="43" xfId="0" applyNumberFormat="1" applyFont="1" applyFill="1" applyBorder="1" applyAlignment="1">
      <alignment horizontal="centerContinuous"/>
    </xf>
    <xf numFmtId="173" fontId="48" fillId="0" borderId="0" xfId="0" applyNumberFormat="1" applyFont="1"/>
    <xf numFmtId="0" fontId="102" fillId="0" borderId="0" xfId="0" applyFont="1"/>
    <xf numFmtId="0" fontId="43" fillId="0" borderId="0" xfId="0" applyFont="1"/>
    <xf numFmtId="173" fontId="49" fillId="0" borderId="0" xfId="0" applyNumberFormat="1" applyFont="1"/>
    <xf numFmtId="173" fontId="49" fillId="0" borderId="29" xfId="0" applyNumberFormat="1" applyFont="1" applyBorder="1"/>
    <xf numFmtId="173" fontId="48" fillId="0" borderId="29" xfId="0" applyNumberFormat="1" applyFont="1" applyBorder="1"/>
    <xf numFmtId="173" fontId="43" fillId="0" borderId="0" xfId="0" applyNumberFormat="1" applyFont="1" applyAlignment="1">
      <alignment horizontal="left" indent="2"/>
    </xf>
    <xf numFmtId="173" fontId="44" fillId="0" borderId="0" xfId="0" applyNumberFormat="1" applyFont="1" applyAlignment="1">
      <alignment horizontal="left" indent="1"/>
    </xf>
    <xf numFmtId="173" fontId="43" fillId="0" borderId="0" xfId="0" applyNumberFormat="1" applyFont="1"/>
    <xf numFmtId="173" fontId="46" fillId="0" borderId="0" xfId="0" applyNumberFormat="1" applyFont="1"/>
    <xf numFmtId="173" fontId="103" fillId="0" borderId="0" xfId="0" applyNumberFormat="1" applyFont="1"/>
    <xf numFmtId="173" fontId="43" fillId="0" borderId="0" xfId="0" applyNumberFormat="1" applyFont="1" applyAlignment="1">
      <alignment horizontal="left" indent="1"/>
    </xf>
    <xf numFmtId="173" fontId="104" fillId="0" borderId="0" xfId="0" applyNumberFormat="1" applyFont="1"/>
    <xf numFmtId="173" fontId="45" fillId="0" borderId="29" xfId="0" applyNumberFormat="1" applyFont="1" applyBorder="1"/>
    <xf numFmtId="173" fontId="105" fillId="0" borderId="0" xfId="0" applyNumberFormat="1" applyFont="1"/>
    <xf numFmtId="0" fontId="43" fillId="0" borderId="0" xfId="0" applyFont="1" applyAlignment="1">
      <alignment horizontal="left" indent="1"/>
    </xf>
    <xf numFmtId="188" fontId="47" fillId="5" borderId="0" xfId="0" applyNumberFormat="1" applyFont="1" applyFill="1"/>
    <xf numFmtId="179" fontId="43" fillId="0" borderId="0" xfId="0" applyNumberFormat="1" applyFont="1"/>
    <xf numFmtId="173" fontId="44" fillId="0" borderId="0" xfId="0" applyNumberFormat="1" applyFont="1" applyAlignment="1">
      <alignment horizontal="left"/>
    </xf>
    <xf numFmtId="0" fontId="44" fillId="6" borderId="0" xfId="0" applyFont="1" applyFill="1" applyAlignment="1">
      <alignment horizontal="center"/>
    </xf>
    <xf numFmtId="0" fontId="45" fillId="0" borderId="0" xfId="0" applyFont="1" applyAlignment="1">
      <alignment horizontal="left" vertical="top"/>
    </xf>
    <xf numFmtId="0" fontId="46" fillId="0" borderId="0" xfId="0" applyFont="1"/>
    <xf numFmtId="0" fontId="108" fillId="0" borderId="0" xfId="0" applyFont="1"/>
    <xf numFmtId="187" fontId="45" fillId="0" borderId="45" xfId="0" applyNumberFormat="1" applyFont="1" applyBorder="1" applyAlignment="1">
      <alignment horizontal="center"/>
    </xf>
    <xf numFmtId="179" fontId="48" fillId="0" borderId="0" xfId="0" applyNumberFormat="1" applyFont="1"/>
    <xf numFmtId="3" fontId="44" fillId="0" borderId="0" xfId="0" applyNumberFormat="1" applyFont="1"/>
    <xf numFmtId="173" fontId="43" fillId="0" borderId="29" xfId="0" applyNumberFormat="1" applyFont="1" applyBorder="1"/>
    <xf numFmtId="173" fontId="46" fillId="0" borderId="0" xfId="0" applyNumberFormat="1" applyFont="1" applyAlignment="1">
      <alignment horizontal="left"/>
    </xf>
    <xf numFmtId="179" fontId="109" fillId="23" borderId="46" xfId="155" applyNumberFormat="1" applyFont="1"/>
    <xf numFmtId="179" fontId="102" fillId="0" borderId="0" xfId="0" applyNumberFormat="1" applyFont="1"/>
    <xf numFmtId="0" fontId="102" fillId="0" borderId="0" xfId="0" applyFont="1" applyAlignment="1">
      <alignment horizontal="left" indent="1"/>
    </xf>
    <xf numFmtId="186" fontId="108" fillId="0" borderId="0" xfId="0" applyNumberFormat="1" applyFont="1"/>
    <xf numFmtId="206" fontId="43" fillId="3" borderId="42" xfId="0" applyNumberFormat="1" applyFont="1" applyFill="1" applyBorder="1" applyAlignment="1">
      <alignment horizontal="center"/>
    </xf>
    <xf numFmtId="206" fontId="43" fillId="3" borderId="43" xfId="0" applyNumberFormat="1" applyFont="1" applyFill="1" applyBorder="1" applyAlignment="1">
      <alignment horizontal="center"/>
    </xf>
    <xf numFmtId="186" fontId="44" fillId="0" borderId="0" xfId="0" applyNumberFormat="1" applyFont="1"/>
    <xf numFmtId="170" fontId="2" fillId="0" borderId="8" xfId="148" applyFont="1" applyBorder="1"/>
    <xf numFmtId="173" fontId="106" fillId="0" borderId="0" xfId="0" applyNumberFormat="1" applyFont="1"/>
    <xf numFmtId="213" fontId="101" fillId="22" borderId="47" xfId="0" applyNumberFormat="1" applyFont="1" applyFill="1" applyBorder="1" applyAlignment="1">
      <alignment horizontal="center"/>
    </xf>
    <xf numFmtId="172" fontId="11" fillId="0" borderId="52" xfId="2" applyNumberFormat="1" applyFont="1" applyBorder="1" applyAlignment="1">
      <alignment horizontal="center"/>
    </xf>
    <xf numFmtId="170" fontId="2" fillId="0" borderId="4" xfId="148" applyFont="1" applyBorder="1"/>
    <xf numFmtId="174" fontId="18" fillId="0" borderId="9" xfId="148" applyNumberFormat="1" applyFont="1" applyBorder="1"/>
    <xf numFmtId="170" fontId="16" fillId="0" borderId="53" xfId="3" applyFont="1" applyBorder="1"/>
    <xf numFmtId="173" fontId="2" fillId="0" borderId="4" xfId="3" applyNumberFormat="1" applyFont="1" applyBorder="1"/>
    <xf numFmtId="174" fontId="2" fillId="0" borderId="0" xfId="3" applyNumberFormat="1" applyFont="1" applyAlignment="1">
      <alignment horizontal="right"/>
    </xf>
    <xf numFmtId="164" fontId="2" fillId="0" borderId="0" xfId="3" applyNumberFormat="1" applyFont="1" applyAlignment="1">
      <alignment horizontal="right"/>
    </xf>
    <xf numFmtId="37" fontId="10" fillId="0" borderId="0" xfId="148" applyNumberFormat="1" applyFont="1"/>
    <xf numFmtId="176" fontId="10" fillId="0" borderId="0" xfId="2" applyNumberFormat="1" applyFont="1"/>
    <xf numFmtId="170" fontId="2" fillId="0" borderId="18" xfId="3" applyFont="1" applyBorder="1"/>
    <xf numFmtId="170" fontId="9" fillId="0" borderId="17" xfId="2" applyFont="1" applyBorder="1"/>
    <xf numFmtId="170" fontId="2" fillId="0" borderId="17" xfId="148" applyFont="1" applyBorder="1"/>
    <xf numFmtId="170" fontId="9" fillId="0" borderId="19" xfId="2" applyFont="1" applyBorder="1"/>
    <xf numFmtId="170" fontId="100" fillId="0" borderId="4" xfId="2" applyFont="1" applyBorder="1"/>
    <xf numFmtId="173" fontId="19" fillId="0" borderId="18" xfId="3" applyNumberFormat="1" applyFont="1" applyBorder="1"/>
    <xf numFmtId="170" fontId="25" fillId="0" borderId="0" xfId="3" applyFont="1" applyAlignment="1">
      <alignment horizontal="left"/>
    </xf>
    <xf numFmtId="179" fontId="26" fillId="3" borderId="0" xfId="3" applyNumberFormat="1" applyFont="1" applyFill="1"/>
    <xf numFmtId="172" fontId="10" fillId="0" borderId="0" xfId="7" applyNumberFormat="1" applyFont="1"/>
    <xf numFmtId="172" fontId="2" fillId="0" borderId="6" xfId="3" applyNumberFormat="1" applyFont="1" applyBorder="1" applyAlignment="1">
      <alignment horizontal="right"/>
    </xf>
    <xf numFmtId="179" fontId="31" fillId="0" borderId="50" xfId="3" applyNumberFormat="1" applyFont="1" applyBorder="1" applyAlignment="1">
      <alignment horizontal="right"/>
    </xf>
    <xf numFmtId="180" fontId="31" fillId="0" borderId="50" xfId="3" applyNumberFormat="1" applyFont="1" applyBorder="1" applyAlignment="1">
      <alignment horizontal="right"/>
    </xf>
    <xf numFmtId="170" fontId="2" fillId="0" borderId="50" xfId="3" applyFont="1" applyBorder="1"/>
    <xf numFmtId="0" fontId="9" fillId="0" borderId="0" xfId="14" applyFont="1"/>
    <xf numFmtId="173" fontId="9" fillId="0" borderId="0" xfId="11" applyNumberFormat="1" applyFont="1" applyAlignment="1">
      <alignment horizontal="center"/>
    </xf>
    <xf numFmtId="172" fontId="9" fillId="0" borderId="0" xfId="11" applyNumberFormat="1" applyFont="1" applyAlignment="1">
      <alignment horizontal="center"/>
    </xf>
    <xf numFmtId="0" fontId="44" fillId="25" borderId="0" xfId="9" applyFont="1" applyFill="1"/>
    <xf numFmtId="170" fontId="43" fillId="5" borderId="0" xfId="3" applyFont="1" applyFill="1" applyAlignment="1">
      <alignment horizontal="left"/>
    </xf>
    <xf numFmtId="179" fontId="45" fillId="0" borderId="50" xfId="3" applyNumberFormat="1" applyFont="1" applyBorder="1" applyAlignment="1">
      <alignment horizontal="right"/>
    </xf>
    <xf numFmtId="180" fontId="45" fillId="0" borderId="50" xfId="3" applyNumberFormat="1" applyFont="1" applyBorder="1" applyAlignment="1">
      <alignment horizontal="right"/>
    </xf>
    <xf numFmtId="215" fontId="45" fillId="0" borderId="0" xfId="0" applyNumberFormat="1" applyFont="1"/>
    <xf numFmtId="0" fontId="48" fillId="0" borderId="0" xfId="0" applyFont="1"/>
    <xf numFmtId="0" fontId="103" fillId="23" borderId="46" xfId="155" applyFont="1" applyAlignment="1">
      <alignment horizontal="center"/>
    </xf>
    <xf numFmtId="9" fontId="48" fillId="23" borderId="46" xfId="155" applyNumberFormat="1" applyFont="1" applyAlignment="1">
      <alignment horizontal="center"/>
    </xf>
    <xf numFmtId="0" fontId="109" fillId="0" borderId="0" xfId="0" applyFont="1"/>
    <xf numFmtId="173" fontId="48" fillId="23" borderId="46" xfId="155" applyNumberFormat="1" applyFont="1"/>
    <xf numFmtId="213" fontId="101" fillId="22" borderId="47" xfId="0" applyNumberFormat="1" applyFont="1" applyFill="1" applyBorder="1" applyAlignment="1">
      <alignment horizontal="centerContinuous"/>
    </xf>
    <xf numFmtId="173" fontId="43" fillId="0" borderId="50" xfId="0" applyNumberFormat="1" applyFont="1" applyBorder="1"/>
    <xf numFmtId="176" fontId="44" fillId="0" borderId="0" xfId="0" applyNumberFormat="1" applyFont="1"/>
    <xf numFmtId="176" fontId="43" fillId="0" borderId="50" xfId="0" applyNumberFormat="1" applyFont="1" applyBorder="1"/>
    <xf numFmtId="173" fontId="49" fillId="0" borderId="50" xfId="0" applyNumberFormat="1" applyFont="1" applyBorder="1"/>
    <xf numFmtId="216" fontId="44" fillId="0" borderId="0" xfId="0" applyNumberFormat="1" applyFont="1"/>
    <xf numFmtId="188" fontId="48" fillId="0" borderId="0" xfId="0" applyNumberFormat="1" applyFont="1"/>
    <xf numFmtId="0" fontId="44" fillId="26" borderId="0" xfId="0" applyFont="1" applyFill="1" applyAlignment="1">
      <alignment horizontal="left" indent="1"/>
    </xf>
    <xf numFmtId="0" fontId="44" fillId="26" borderId="0" xfId="0" applyFont="1" applyFill="1"/>
    <xf numFmtId="173" fontId="44" fillId="26" borderId="0" xfId="0" applyNumberFormat="1" applyFont="1" applyFill="1"/>
    <xf numFmtId="173" fontId="48" fillId="26" borderId="0" xfId="0" applyNumberFormat="1" applyFont="1" applyFill="1"/>
    <xf numFmtId="0" fontId="115" fillId="0" borderId="0" xfId="0" applyFont="1"/>
    <xf numFmtId="0" fontId="46" fillId="0" borderId="0" xfId="0" applyFont="1" applyAlignment="1">
      <alignment horizontal="right"/>
    </xf>
    <xf numFmtId="188" fontId="105" fillId="0" borderId="0" xfId="0" applyNumberFormat="1" applyFont="1"/>
    <xf numFmtId="0" fontId="44" fillId="0" borderId="0" xfId="0" quotePrefix="1" applyFont="1"/>
    <xf numFmtId="0" fontId="44" fillId="0" borderId="0" xfId="0" applyFont="1" applyAlignment="1">
      <alignment horizontal="left" indent="1"/>
    </xf>
    <xf numFmtId="173" fontId="47" fillId="0" borderId="0" xfId="0" applyNumberFormat="1" applyFont="1"/>
    <xf numFmtId="173" fontId="45" fillId="26" borderId="0" xfId="0" applyNumberFormat="1" applyFont="1" applyFill="1"/>
    <xf numFmtId="218" fontId="48" fillId="0" borderId="0" xfId="0" applyNumberFormat="1" applyFont="1"/>
    <xf numFmtId="172" fontId="19" fillId="0" borderId="6" xfId="3" applyNumberFormat="1" applyFont="1" applyBorder="1" applyAlignment="1">
      <alignment horizontal="right"/>
    </xf>
    <xf numFmtId="219" fontId="48" fillId="0" borderId="0" xfId="0" applyNumberFormat="1" applyFont="1"/>
    <xf numFmtId="188" fontId="44" fillId="0" borderId="0" xfId="0" applyNumberFormat="1" applyFont="1"/>
    <xf numFmtId="219" fontId="44" fillId="0" borderId="0" xfId="0" applyNumberFormat="1" applyFont="1"/>
    <xf numFmtId="219" fontId="44" fillId="0" borderId="0" xfId="0" applyNumberFormat="1" applyFont="1" applyAlignment="1">
      <alignment horizontal="left" indent="1"/>
    </xf>
    <xf numFmtId="0" fontId="44" fillId="0" borderId="0" xfId="0" applyFont="1" applyAlignment="1">
      <alignment horizontal="left"/>
    </xf>
    <xf numFmtId="172" fontId="44" fillId="0" borderId="0" xfId="0" applyNumberFormat="1" applyFont="1"/>
    <xf numFmtId="172" fontId="43" fillId="0" borderId="50" xfId="0" applyNumberFormat="1" applyFont="1" applyBorder="1"/>
    <xf numFmtId="179" fontId="48" fillId="23" borderId="46" xfId="155" applyNumberFormat="1" applyFont="1"/>
    <xf numFmtId="172" fontId="48" fillId="23" borderId="46" xfId="155" applyNumberFormat="1" applyFont="1"/>
    <xf numFmtId="220" fontId="44" fillId="0" borderId="0" xfId="0" applyNumberFormat="1" applyFont="1"/>
    <xf numFmtId="188" fontId="46" fillId="0" borderId="0" xfId="0" applyNumberFormat="1" applyFont="1"/>
    <xf numFmtId="222" fontId="44" fillId="0" borderId="0" xfId="0" applyNumberFormat="1" applyFont="1"/>
    <xf numFmtId="188" fontId="43" fillId="0" borderId="50" xfId="0" applyNumberFormat="1" applyFont="1" applyBorder="1"/>
    <xf numFmtId="221" fontId="45" fillId="0" borderId="0" xfId="0" applyNumberFormat="1" applyFont="1"/>
    <xf numFmtId="219" fontId="49" fillId="0" borderId="0" xfId="0" applyNumberFormat="1" applyFont="1"/>
    <xf numFmtId="219" fontId="43" fillId="0" borderId="0" xfId="0" applyNumberFormat="1" applyFont="1" applyAlignment="1">
      <alignment horizontal="left" indent="1"/>
    </xf>
    <xf numFmtId="0" fontId="38" fillId="0" borderId="0" xfId="0" applyFont="1"/>
    <xf numFmtId="0" fontId="49" fillId="0" borderId="0" xfId="0" applyFont="1"/>
    <xf numFmtId="0" fontId="49" fillId="0" borderId="0" xfId="0" applyFont="1" applyAlignment="1">
      <alignment horizontal="left" indent="1"/>
    </xf>
    <xf numFmtId="217" fontId="45" fillId="0" borderId="0" xfId="0" applyNumberFormat="1" applyFont="1"/>
    <xf numFmtId="217" fontId="105" fillId="23" borderId="46" xfId="155" applyNumberFormat="1" applyFont="1"/>
    <xf numFmtId="172" fontId="43" fillId="0" borderId="0" xfId="0" applyNumberFormat="1" applyFont="1"/>
    <xf numFmtId="218" fontId="44" fillId="0" borderId="0" xfId="0" applyNumberFormat="1" applyFont="1"/>
    <xf numFmtId="0" fontId="43" fillId="0" borderId="0" xfId="0" applyFont="1" applyAlignment="1">
      <alignment horizontal="left"/>
    </xf>
    <xf numFmtId="188" fontId="45" fillId="0" borderId="0" xfId="0" applyNumberFormat="1" applyFont="1"/>
    <xf numFmtId="188" fontId="43" fillId="0" borderId="0" xfId="0" applyNumberFormat="1" applyFont="1"/>
    <xf numFmtId="173" fontId="43" fillId="5" borderId="0" xfId="0" applyNumberFormat="1" applyFont="1" applyFill="1" applyAlignment="1">
      <alignment horizontal="center"/>
    </xf>
    <xf numFmtId="0" fontId="44" fillId="0" borderId="0" xfId="0" applyFont="1" applyAlignment="1">
      <alignment horizontal="left" indent="2"/>
    </xf>
    <xf numFmtId="216" fontId="48" fillId="0" borderId="0" xfId="0" applyNumberFormat="1" applyFont="1"/>
    <xf numFmtId="216" fontId="45" fillId="0" borderId="0" xfId="0" applyNumberFormat="1" applyFont="1"/>
    <xf numFmtId="180" fontId="48" fillId="0" borderId="0" xfId="0" applyNumberFormat="1" applyFont="1"/>
    <xf numFmtId="173" fontId="103" fillId="0" borderId="50" xfId="0" applyNumberFormat="1" applyFont="1" applyBorder="1"/>
    <xf numFmtId="0" fontId="44" fillId="0" borderId="0" xfId="0" quotePrefix="1" applyFont="1" applyAlignment="1">
      <alignment horizontal="left"/>
    </xf>
    <xf numFmtId="217" fontId="44" fillId="0" borderId="0" xfId="0" applyNumberFormat="1" applyFont="1"/>
    <xf numFmtId="173" fontId="44" fillId="0" borderId="0" xfId="0" quotePrefix="1" applyNumberFormat="1" applyFont="1"/>
    <xf numFmtId="188" fontId="44" fillId="5" borderId="0" xfId="0" applyNumberFormat="1" applyFont="1" applyFill="1"/>
    <xf numFmtId="0" fontId="46" fillId="0" borderId="0" xfId="0" applyFont="1" applyAlignment="1">
      <alignment horizontal="left" indent="1"/>
    </xf>
    <xf numFmtId="173" fontId="45" fillId="0" borderId="0" xfId="0" quotePrefix="1" applyNumberFormat="1" applyFont="1" applyAlignment="1">
      <alignment horizontal="left"/>
    </xf>
    <xf numFmtId="0" fontId="102" fillId="26" borderId="0" xfId="0" applyFont="1" applyFill="1" applyAlignment="1">
      <alignment horizontal="left"/>
    </xf>
    <xf numFmtId="0" fontId="102" fillId="26" borderId="0" xfId="0" applyFont="1" applyFill="1"/>
    <xf numFmtId="173" fontId="109" fillId="26" borderId="0" xfId="0" applyNumberFormat="1" applyFont="1" applyFill="1"/>
    <xf numFmtId="173" fontId="109" fillId="0" borderId="0" xfId="0" applyNumberFormat="1" applyFont="1"/>
    <xf numFmtId="173" fontId="102" fillId="26" borderId="0" xfId="0" applyNumberFormat="1" applyFont="1" applyFill="1"/>
    <xf numFmtId="173" fontId="118" fillId="26" borderId="0" xfId="0" applyNumberFormat="1" applyFont="1" applyFill="1"/>
    <xf numFmtId="188" fontId="109" fillId="26" borderId="0" xfId="0" applyNumberFormat="1" applyFont="1" applyFill="1"/>
    <xf numFmtId="219" fontId="45" fillId="0" borderId="0" xfId="0" applyNumberFormat="1" applyFont="1"/>
    <xf numFmtId="219" fontId="49" fillId="27" borderId="50" xfId="0" applyNumberFormat="1" applyFont="1" applyFill="1" applyBorder="1"/>
    <xf numFmtId="219" fontId="44" fillId="27" borderId="0" xfId="0" applyNumberFormat="1" applyFont="1" applyFill="1"/>
    <xf numFmtId="219" fontId="45" fillId="27" borderId="0" xfId="0" applyNumberFormat="1" applyFont="1" applyFill="1"/>
    <xf numFmtId="219" fontId="48" fillId="27" borderId="0" xfId="0" applyNumberFormat="1" applyFont="1" applyFill="1"/>
    <xf numFmtId="221" fontId="45" fillId="27" borderId="0" xfId="0" applyNumberFormat="1" applyFont="1" applyFill="1"/>
    <xf numFmtId="173" fontId="45" fillId="27" borderId="0" xfId="0" applyNumberFormat="1" applyFont="1" applyFill="1"/>
    <xf numFmtId="173" fontId="48" fillId="27" borderId="0" xfId="0" applyNumberFormat="1" applyFont="1" applyFill="1"/>
    <xf numFmtId="0" fontId="44" fillId="27" borderId="0" xfId="0" applyFont="1" applyFill="1"/>
    <xf numFmtId="173" fontId="48" fillId="28" borderId="0" xfId="0" applyNumberFormat="1" applyFont="1" applyFill="1"/>
    <xf numFmtId="180" fontId="45" fillId="0" borderId="0" xfId="0" quotePrefix="1" applyNumberFormat="1" applyFont="1"/>
    <xf numFmtId="179" fontId="119" fillId="0" borderId="0" xfId="0" applyNumberFormat="1" applyFont="1"/>
    <xf numFmtId="0" fontId="102" fillId="0" borderId="0" xfId="0" applyFont="1" applyAlignment="1">
      <alignment horizontal="left"/>
    </xf>
    <xf numFmtId="173" fontId="119" fillId="0" borderId="0" xfId="0" applyNumberFormat="1" applyFont="1"/>
    <xf numFmtId="179" fontId="109" fillId="0" borderId="0" xfId="0" applyNumberFormat="1" applyFont="1"/>
    <xf numFmtId="0" fontId="120" fillId="0" borderId="0" xfId="0" applyFont="1"/>
    <xf numFmtId="179" fontId="118" fillId="0" borderId="0" xfId="0" applyNumberFormat="1" applyFont="1"/>
    <xf numFmtId="173" fontId="118" fillId="0" borderId="0" xfId="0" applyNumberFormat="1" applyFont="1"/>
    <xf numFmtId="173" fontId="49" fillId="27" borderId="50" xfId="0" applyNumberFormat="1" applyFont="1" applyFill="1" applyBorder="1"/>
    <xf numFmtId="0" fontId="48" fillId="27" borderId="0" xfId="0" applyFont="1" applyFill="1"/>
    <xf numFmtId="173" fontId="46" fillId="0" borderId="0" xfId="0" applyNumberFormat="1" applyFont="1" applyAlignment="1">
      <alignment horizontal="left" indent="1"/>
    </xf>
    <xf numFmtId="173" fontId="102" fillId="0" borderId="0" xfId="0" applyNumberFormat="1" applyFont="1"/>
    <xf numFmtId="173" fontId="102" fillId="0" borderId="0" xfId="0" applyNumberFormat="1" applyFont="1" applyAlignment="1">
      <alignment horizontal="left"/>
    </xf>
    <xf numFmtId="173" fontId="109" fillId="23" borderId="46" xfId="155" applyNumberFormat="1" applyFont="1"/>
    <xf numFmtId="0" fontId="43" fillId="27" borderId="50" xfId="0" applyFont="1" applyFill="1" applyBorder="1"/>
    <xf numFmtId="0" fontId="43" fillId="27" borderId="17" xfId="0" applyFont="1" applyFill="1" applyBorder="1"/>
    <xf numFmtId="173" fontId="49" fillId="27" borderId="17" xfId="0" applyNumberFormat="1" applyFont="1" applyFill="1" applyBorder="1"/>
    <xf numFmtId="219" fontId="38" fillId="27" borderId="0" xfId="0" applyNumberFormat="1" applyFont="1" applyFill="1" applyAlignment="1">
      <alignment horizontal="left"/>
    </xf>
    <xf numFmtId="173" fontId="38" fillId="0" borderId="0" xfId="0" applyNumberFormat="1" applyFont="1"/>
    <xf numFmtId="173" fontId="43" fillId="27" borderId="50" xfId="0" applyNumberFormat="1" applyFont="1" applyFill="1" applyBorder="1"/>
    <xf numFmtId="173" fontId="43" fillId="27" borderId="17" xfId="0" applyNumberFormat="1" applyFont="1" applyFill="1" applyBorder="1"/>
    <xf numFmtId="0" fontId="45" fillId="0" borderId="0" xfId="0" applyFont="1"/>
    <xf numFmtId="173" fontId="44" fillId="27" borderId="0" xfId="0" applyNumberFormat="1" applyFont="1" applyFill="1"/>
    <xf numFmtId="173" fontId="45" fillId="27" borderId="0" xfId="0" applyNumberFormat="1" applyFont="1" applyFill="1" applyAlignment="1">
      <alignment horizontal="left"/>
    </xf>
    <xf numFmtId="188" fontId="119" fillId="0" borderId="0" xfId="0" applyNumberFormat="1" applyFont="1"/>
    <xf numFmtId="173" fontId="44" fillId="26" borderId="0" xfId="0" applyNumberFormat="1" applyFont="1" applyFill="1" applyAlignment="1">
      <alignment horizontal="left" indent="1"/>
    </xf>
    <xf numFmtId="216" fontId="105" fillId="0" borderId="0" xfId="0" applyNumberFormat="1" applyFont="1"/>
    <xf numFmtId="0" fontId="45" fillId="0" borderId="0" xfId="0" applyFont="1" applyAlignment="1">
      <alignment horizontal="left" indent="1"/>
    </xf>
    <xf numFmtId="179" fontId="118" fillId="23" borderId="46" xfId="155" applyNumberFormat="1" applyFont="1"/>
    <xf numFmtId="0" fontId="44" fillId="23" borderId="46" xfId="155" applyFont="1" applyAlignment="1">
      <alignment horizontal="center"/>
    </xf>
    <xf numFmtId="0" fontId="38" fillId="0" borderId="0" xfId="0" quotePrefix="1" applyFont="1"/>
    <xf numFmtId="213" fontId="101" fillId="22" borderId="43" xfId="0" applyNumberFormat="1" applyFont="1" applyFill="1" applyBorder="1" applyAlignment="1">
      <alignment horizontal="center"/>
    </xf>
    <xf numFmtId="173" fontId="47" fillId="5" borderId="0" xfId="0" applyNumberFormat="1" applyFont="1" applyFill="1" applyAlignment="1">
      <alignment horizontal="center"/>
    </xf>
    <xf numFmtId="173" fontId="44" fillId="0" borderId="0" xfId="0" applyNumberFormat="1" applyFont="1" applyAlignment="1">
      <alignment horizontal="center"/>
    </xf>
    <xf numFmtId="173" fontId="102" fillId="0" borderId="0" xfId="0" applyNumberFormat="1" applyFont="1" applyAlignment="1">
      <alignment horizontal="center"/>
    </xf>
    <xf numFmtId="173" fontId="46" fillId="0" borderId="0" xfId="0" applyNumberFormat="1" applyFont="1" applyAlignment="1">
      <alignment horizontal="center"/>
    </xf>
    <xf numFmtId="0" fontId="46" fillId="0" borderId="0" xfId="0" applyFont="1" applyAlignment="1">
      <alignment horizontal="center"/>
    </xf>
    <xf numFmtId="0" fontId="44" fillId="27" borderId="0" xfId="0" applyFont="1" applyFill="1" applyAlignment="1">
      <alignment horizontal="center"/>
    </xf>
    <xf numFmtId="173" fontId="44" fillId="27" borderId="0" xfId="0" applyNumberFormat="1" applyFont="1" applyFill="1" applyAlignment="1">
      <alignment horizontal="center"/>
    </xf>
    <xf numFmtId="0" fontId="102" fillId="0" borderId="0" xfId="0" applyFont="1" applyAlignment="1">
      <alignment horizontal="center"/>
    </xf>
    <xf numFmtId="0" fontId="45" fillId="0" borderId="0" xfId="0" applyFont="1" applyAlignment="1">
      <alignment horizontal="center"/>
    </xf>
    <xf numFmtId="173" fontId="43" fillId="27" borderId="50" xfId="0" applyNumberFormat="1" applyFont="1" applyFill="1" applyBorder="1" applyAlignment="1">
      <alignment horizontal="center"/>
    </xf>
    <xf numFmtId="173" fontId="43" fillId="27" borderId="17" xfId="0" applyNumberFormat="1" applyFont="1" applyFill="1" applyBorder="1" applyAlignment="1">
      <alignment horizontal="center"/>
    </xf>
    <xf numFmtId="219" fontId="44" fillId="27" borderId="0" xfId="0" applyNumberFormat="1" applyFont="1" applyFill="1" applyAlignment="1">
      <alignment horizontal="center"/>
    </xf>
    <xf numFmtId="219" fontId="44" fillId="0" borderId="0" xfId="0" applyNumberFormat="1" applyFont="1" applyAlignment="1">
      <alignment horizontal="center"/>
    </xf>
    <xf numFmtId="0" fontId="43" fillId="0" borderId="0" xfId="0" applyFont="1" applyAlignment="1">
      <alignment horizontal="center"/>
    </xf>
    <xf numFmtId="0" fontId="43" fillId="27" borderId="50" xfId="0" applyFont="1" applyFill="1" applyBorder="1" applyAlignment="1">
      <alignment horizontal="center"/>
    </xf>
    <xf numFmtId="0" fontId="43" fillId="27" borderId="17" xfId="0" applyFont="1" applyFill="1" applyBorder="1" applyAlignment="1">
      <alignment horizontal="center"/>
    </xf>
    <xf numFmtId="173" fontId="48" fillId="0" borderId="0" xfId="0" applyNumberFormat="1" applyFont="1" applyAlignment="1">
      <alignment horizontal="center"/>
    </xf>
    <xf numFmtId="0" fontId="48" fillId="0" borderId="0" xfId="0" applyFont="1" applyAlignment="1">
      <alignment horizontal="center"/>
    </xf>
    <xf numFmtId="0" fontId="44" fillId="0" borderId="0" xfId="0" applyFont="1" applyAlignment="1">
      <alignment horizontal="right"/>
    </xf>
    <xf numFmtId="0" fontId="43" fillId="29" borderId="0" xfId="0" applyFont="1" applyFill="1"/>
    <xf numFmtId="0" fontId="43" fillId="29" borderId="0" xfId="0" applyFont="1" applyFill="1" applyAlignment="1">
      <alignment horizontal="center"/>
    </xf>
    <xf numFmtId="173" fontId="43" fillId="29" borderId="0" xfId="0" applyNumberFormat="1" applyFont="1" applyFill="1"/>
    <xf numFmtId="0" fontId="43" fillId="29" borderId="25" xfId="0" applyFont="1" applyFill="1" applyBorder="1"/>
    <xf numFmtId="0" fontId="43" fillId="29" borderId="25" xfId="0" applyFont="1" applyFill="1" applyBorder="1" applyAlignment="1">
      <alignment horizontal="center"/>
    </xf>
    <xf numFmtId="173" fontId="103" fillId="29" borderId="25" xfId="0" applyNumberFormat="1" applyFont="1" applyFill="1" applyBorder="1"/>
    <xf numFmtId="173" fontId="49" fillId="29" borderId="25" xfId="0" applyNumberFormat="1" applyFont="1" applyFill="1" applyBorder="1"/>
    <xf numFmtId="176" fontId="43" fillId="29" borderId="25" xfId="0" applyNumberFormat="1" applyFont="1" applyFill="1" applyBorder="1"/>
    <xf numFmtId="176" fontId="43" fillId="0" borderId="0" xfId="0" applyNumberFormat="1" applyFont="1"/>
    <xf numFmtId="216" fontId="44" fillId="27" borderId="0" xfId="0" applyNumberFormat="1" applyFont="1" applyFill="1"/>
    <xf numFmtId="216" fontId="44" fillId="27" borderId="0" xfId="0" applyNumberFormat="1" applyFont="1" applyFill="1" applyAlignment="1">
      <alignment horizontal="left"/>
    </xf>
    <xf numFmtId="216" fontId="44" fillId="27" borderId="0" xfId="0" applyNumberFormat="1" applyFont="1" applyFill="1" applyAlignment="1">
      <alignment horizontal="center"/>
    </xf>
    <xf numFmtId="216" fontId="45" fillId="27" borderId="0" xfId="0" applyNumberFormat="1" applyFont="1" applyFill="1"/>
    <xf numFmtId="216" fontId="49" fillId="27" borderId="50" xfId="0" applyNumberFormat="1" applyFont="1" applyFill="1" applyBorder="1"/>
    <xf numFmtId="0" fontId="44" fillId="29" borderId="0" xfId="0" applyFont="1" applyFill="1"/>
    <xf numFmtId="0" fontId="44" fillId="29" borderId="0" xfId="0" applyFont="1" applyFill="1" applyAlignment="1">
      <alignment horizontal="center"/>
    </xf>
    <xf numFmtId="173" fontId="48" fillId="29" borderId="0" xfId="0" applyNumberFormat="1" applyFont="1" applyFill="1"/>
    <xf numFmtId="173" fontId="45" fillId="29" borderId="0" xfId="0" applyNumberFormat="1" applyFont="1" applyFill="1"/>
    <xf numFmtId="0" fontId="43" fillId="29" borderId="0" xfId="0" applyFont="1" applyFill="1" applyAlignment="1">
      <alignment horizontal="left" indent="1"/>
    </xf>
    <xf numFmtId="173" fontId="43" fillId="29" borderId="50" xfId="0" applyNumberFormat="1" applyFont="1" applyFill="1" applyBorder="1"/>
    <xf numFmtId="0" fontId="102" fillId="29" borderId="0" xfId="0" applyFont="1" applyFill="1"/>
    <xf numFmtId="0" fontId="102" fillId="29" borderId="0" xfId="0" applyFont="1" applyFill="1" applyAlignment="1">
      <alignment horizontal="left" indent="1"/>
    </xf>
    <xf numFmtId="0" fontId="102" fillId="29" borderId="0" xfId="0" applyFont="1" applyFill="1" applyAlignment="1">
      <alignment horizontal="center"/>
    </xf>
    <xf numFmtId="179" fontId="102" fillId="29" borderId="0" xfId="0" applyNumberFormat="1" applyFont="1" applyFill="1"/>
    <xf numFmtId="0" fontId="44" fillId="29" borderId="0" xfId="0" applyFont="1" applyFill="1" applyAlignment="1">
      <alignment horizontal="left"/>
    </xf>
    <xf numFmtId="173" fontId="44" fillId="29" borderId="0" xfId="0" applyNumberFormat="1" applyFont="1" applyFill="1"/>
    <xf numFmtId="173" fontId="103" fillId="29" borderId="50" xfId="0" applyNumberFormat="1" applyFont="1" applyFill="1" applyBorder="1"/>
    <xf numFmtId="173" fontId="49" fillId="29" borderId="50" xfId="0" applyNumberFormat="1" applyFont="1" applyFill="1" applyBorder="1"/>
    <xf numFmtId="216" fontId="43" fillId="27" borderId="0" xfId="0" applyNumberFormat="1" applyFont="1" applyFill="1" applyAlignment="1">
      <alignment horizontal="left" indent="1"/>
    </xf>
    <xf numFmtId="216" fontId="44" fillId="27" borderId="0" xfId="0" applyNumberFormat="1" applyFont="1" applyFill="1" applyAlignment="1">
      <alignment horizontal="left" indent="1"/>
    </xf>
    <xf numFmtId="0" fontId="119" fillId="0" borderId="0" xfId="0" applyFont="1"/>
    <xf numFmtId="0" fontId="119" fillId="0" borderId="0" xfId="0" applyFont="1" applyAlignment="1">
      <alignment horizontal="center"/>
    </xf>
    <xf numFmtId="179" fontId="45" fillId="0" borderId="0" xfId="0" applyNumberFormat="1" applyFont="1"/>
    <xf numFmtId="180" fontId="102" fillId="29" borderId="0" xfId="0" applyNumberFormat="1" applyFont="1" applyFill="1"/>
    <xf numFmtId="180" fontId="109" fillId="23" borderId="46" xfId="155" applyNumberFormat="1" applyFont="1"/>
    <xf numFmtId="173" fontId="105" fillId="23" borderId="46" xfId="155" applyNumberFormat="1" applyFont="1"/>
    <xf numFmtId="219" fontId="121" fillId="27" borderId="0" xfId="0" applyNumberFormat="1" applyFont="1" applyFill="1" applyAlignment="1">
      <alignment horizontal="left"/>
    </xf>
    <xf numFmtId="180" fontId="119" fillId="0" borderId="0" xfId="0" applyNumberFormat="1" applyFont="1"/>
    <xf numFmtId="180" fontId="45" fillId="0" borderId="0" xfId="0" applyNumberFormat="1" applyFont="1"/>
    <xf numFmtId="173" fontId="45" fillId="0" borderId="0" xfId="0" applyNumberFormat="1" applyFont="1" applyAlignment="1">
      <alignment horizontal="left" indent="1"/>
    </xf>
    <xf numFmtId="173" fontId="119" fillId="0" borderId="0" xfId="0" applyNumberFormat="1" applyFont="1" applyAlignment="1">
      <alignment horizontal="center"/>
    </xf>
    <xf numFmtId="173" fontId="102" fillId="29" borderId="0" xfId="0" applyNumberFormat="1" applyFont="1" applyFill="1"/>
    <xf numFmtId="173" fontId="45" fillId="0" borderId="0" xfId="0" quotePrefix="1" applyNumberFormat="1" applyFont="1"/>
    <xf numFmtId="170" fontId="2" fillId="2" borderId="0" xfId="2" applyFont="1" applyFill="1" applyAlignment="1">
      <alignment vertical="center"/>
    </xf>
    <xf numFmtId="170" fontId="11" fillId="2" borderId="0" xfId="2" applyFont="1" applyFill="1"/>
    <xf numFmtId="172" fontId="45" fillId="0" borderId="50" xfId="3" applyNumberFormat="1" applyFont="1" applyBorder="1" applyAlignment="1">
      <alignment horizontal="right"/>
    </xf>
    <xf numFmtId="172" fontId="46" fillId="0" borderId="0" xfId="3" applyNumberFormat="1" applyFont="1" applyAlignment="1">
      <alignment horizontal="left"/>
    </xf>
    <xf numFmtId="172" fontId="104" fillId="0" borderId="0" xfId="3" applyNumberFormat="1" applyFont="1" applyAlignment="1">
      <alignment horizontal="right"/>
    </xf>
    <xf numFmtId="170" fontId="113" fillId="0" borderId="0" xfId="15" applyNumberFormat="1" applyFont="1"/>
    <xf numFmtId="14" fontId="9" fillId="0" borderId="0" xfId="3" applyNumberFormat="1" applyFont="1" applyAlignment="1">
      <alignment horizontal="center"/>
    </xf>
    <xf numFmtId="188" fontId="122" fillId="0" borderId="0" xfId="11" applyNumberFormat="1" applyFont="1" applyAlignment="1">
      <alignment horizontal="center"/>
    </xf>
    <xf numFmtId="187" fontId="122" fillId="0" borderId="0" xfId="3" applyNumberFormat="1" applyFont="1" applyAlignment="1">
      <alignment horizontal="center"/>
    </xf>
    <xf numFmtId="172" fontId="122" fillId="0" borderId="0" xfId="11" applyNumberFormat="1" applyFont="1" applyAlignment="1">
      <alignment horizontal="center"/>
    </xf>
    <xf numFmtId="173" fontId="122" fillId="0" borderId="0" xfId="11" applyNumberFormat="1" applyFont="1" applyAlignment="1">
      <alignment horizontal="center"/>
    </xf>
    <xf numFmtId="172" fontId="123" fillId="0" borderId="0" xfId="3" applyNumberFormat="1" applyFont="1" applyAlignment="1">
      <alignment horizontal="center"/>
    </xf>
    <xf numFmtId="179" fontId="122" fillId="0" borderId="0" xfId="3" applyNumberFormat="1" applyFont="1" applyAlignment="1">
      <alignment horizontal="center"/>
    </xf>
    <xf numFmtId="172" fontId="26" fillId="0" borderId="0" xfId="7" applyNumberFormat="1" applyFont="1"/>
    <xf numFmtId="172" fontId="10" fillId="0" borderId="0" xfId="2" applyNumberFormat="1" applyFont="1"/>
    <xf numFmtId="172" fontId="19" fillId="0" borderId="0" xfId="7" applyNumberFormat="1" applyFont="1"/>
    <xf numFmtId="172" fontId="50" fillId="0" borderId="6" xfId="3" applyNumberFormat="1" applyFont="1" applyBorder="1" applyAlignment="1">
      <alignment horizontal="right"/>
    </xf>
    <xf numFmtId="172" fontId="114" fillId="0" borderId="6" xfId="3" applyNumberFormat="1" applyFont="1" applyBorder="1" applyAlignment="1">
      <alignment horizontal="right"/>
    </xf>
    <xf numFmtId="173" fontId="46" fillId="26" borderId="0" xfId="0" applyNumberFormat="1" applyFont="1" applyFill="1"/>
    <xf numFmtId="0" fontId="102" fillId="27" borderId="0" xfId="0" applyFont="1" applyFill="1"/>
    <xf numFmtId="0" fontId="102" fillId="27" borderId="0" xfId="0" applyFont="1" applyFill="1" applyAlignment="1">
      <alignment horizontal="center"/>
    </xf>
    <xf numFmtId="179" fontId="102" fillId="27" borderId="0" xfId="0" applyNumberFormat="1" applyFont="1" applyFill="1"/>
    <xf numFmtId="0" fontId="124" fillId="27" borderId="0" xfId="0" applyFont="1" applyFill="1" applyAlignment="1">
      <alignment horizontal="left" indent="1"/>
    </xf>
    <xf numFmtId="179" fontId="124" fillId="27" borderId="50" xfId="0" applyNumberFormat="1" applyFont="1" applyFill="1" applyBorder="1"/>
    <xf numFmtId="0" fontId="124" fillId="27" borderId="0" xfId="0" applyFont="1" applyFill="1"/>
    <xf numFmtId="0" fontId="124" fillId="27" borderId="0" xfId="0" applyFont="1" applyFill="1" applyAlignment="1">
      <alignment horizontal="center"/>
    </xf>
    <xf numFmtId="0" fontId="124" fillId="0" borderId="0" xfId="0" applyFont="1"/>
    <xf numFmtId="173" fontId="102" fillId="27" borderId="0" xfId="0" applyNumberFormat="1" applyFont="1" applyFill="1"/>
    <xf numFmtId="173" fontId="102" fillId="27" borderId="0" xfId="0" applyNumberFormat="1" applyFont="1" applyFill="1" applyAlignment="1">
      <alignment horizontal="center"/>
    </xf>
    <xf numFmtId="173" fontId="124" fillId="27" borderId="0" xfId="0" applyNumberFormat="1" applyFont="1" applyFill="1" applyAlignment="1">
      <alignment horizontal="left" indent="1"/>
    </xf>
    <xf numFmtId="221" fontId="46" fillId="0" borderId="0" xfId="0" applyNumberFormat="1" applyFont="1"/>
    <xf numFmtId="216" fontId="104" fillId="0" borderId="0" xfId="0" applyNumberFormat="1" applyFont="1"/>
    <xf numFmtId="165" fontId="44" fillId="0" borderId="0" xfId="0" applyNumberFormat="1" applyFont="1"/>
    <xf numFmtId="173" fontId="125" fillId="0" borderId="8" xfId="0" applyNumberFormat="1" applyFont="1" applyBorder="1" applyAlignment="1">
      <alignment vertical="center"/>
    </xf>
    <xf numFmtId="206" fontId="44" fillId="3" borderId="4" xfId="0" applyNumberFormat="1" applyFont="1" applyFill="1" applyBorder="1" applyAlignment="1">
      <alignment horizontal="center"/>
    </xf>
    <xf numFmtId="207" fontId="101" fillId="22" borderId="54" xfId="0" applyNumberFormat="1" applyFont="1" applyFill="1" applyBorder="1" applyAlignment="1">
      <alignment horizontal="center"/>
    </xf>
    <xf numFmtId="207" fontId="101" fillId="22" borderId="55" xfId="0" applyNumberFormat="1" applyFont="1" applyFill="1" applyBorder="1" applyAlignment="1">
      <alignment horizontal="center"/>
    </xf>
    <xf numFmtId="209" fontId="101" fillId="22" borderId="55" xfId="0" applyNumberFormat="1" applyFont="1" applyFill="1" applyBorder="1" applyAlignment="1">
      <alignment horizontal="center"/>
    </xf>
    <xf numFmtId="210" fontId="101" fillId="22" borderId="55" xfId="0" applyNumberFormat="1" applyFont="1" applyFill="1" applyBorder="1" applyAlignment="1">
      <alignment horizontal="center"/>
    </xf>
    <xf numFmtId="212" fontId="101" fillId="22" borderId="56" xfId="0" applyNumberFormat="1" applyFont="1" applyFill="1" applyBorder="1" applyAlignment="1">
      <alignment horizontal="center"/>
    </xf>
    <xf numFmtId="0" fontId="128" fillId="0" borderId="0" xfId="149" applyFont="1"/>
    <xf numFmtId="0" fontId="43" fillId="27" borderId="0" xfId="0" applyFont="1" applyFill="1"/>
    <xf numFmtId="0" fontId="43" fillId="27" borderId="0" xfId="0" applyFont="1" applyFill="1" applyAlignment="1">
      <alignment horizontal="center"/>
    </xf>
    <xf numFmtId="173" fontId="49" fillId="27" borderId="0" xfId="0" applyNumberFormat="1" applyFont="1" applyFill="1"/>
    <xf numFmtId="179" fontId="104" fillId="0" borderId="0" xfId="3" applyNumberFormat="1" applyFont="1" applyAlignment="1">
      <alignment horizontal="right"/>
    </xf>
    <xf numFmtId="172" fontId="50" fillId="0" borderId="0" xfId="7" applyNumberFormat="1" applyFont="1"/>
    <xf numFmtId="173" fontId="45" fillId="2" borderId="0" xfId="0" applyNumberFormat="1" applyFont="1" applyFill="1"/>
    <xf numFmtId="173" fontId="43" fillId="29" borderId="25" xfId="0" applyNumberFormat="1" applyFont="1" applyFill="1" applyBorder="1"/>
    <xf numFmtId="173" fontId="43" fillId="29" borderId="25" xfId="0" applyNumberFormat="1" applyFont="1" applyFill="1" applyBorder="1" applyAlignment="1">
      <alignment horizontal="center"/>
    </xf>
    <xf numFmtId="216" fontId="49" fillId="29" borderId="25" xfId="0" applyNumberFormat="1" applyFont="1" applyFill="1" applyBorder="1"/>
    <xf numFmtId="173" fontId="108" fillId="0" borderId="0" xfId="0" applyNumberFormat="1" applyFont="1"/>
    <xf numFmtId="173" fontId="110" fillId="0" borderId="45" xfId="0" applyNumberFormat="1" applyFont="1" applyBorder="1" applyAlignment="1">
      <alignment horizontal="center"/>
    </xf>
    <xf numFmtId="173" fontId="43" fillId="3" borderId="42" xfId="0" applyNumberFormat="1" applyFont="1" applyFill="1" applyBorder="1" applyAlignment="1">
      <alignment horizontal="center"/>
    </xf>
    <xf numFmtId="173" fontId="43" fillId="3" borderId="43" xfId="0" applyNumberFormat="1" applyFont="1" applyFill="1" applyBorder="1" applyAlignment="1">
      <alignment horizontal="center"/>
    </xf>
    <xf numFmtId="170" fontId="9" fillId="0" borderId="57" xfId="2" applyFont="1" applyBorder="1"/>
    <xf numFmtId="170" fontId="9" fillId="0" borderId="8" xfId="2" applyFont="1" applyBorder="1"/>
    <xf numFmtId="170" fontId="2" fillId="0" borderId="6" xfId="2" applyFont="1" applyBorder="1"/>
    <xf numFmtId="175" fontId="18" fillId="0" borderId="0" xfId="162" applyNumberFormat="1" applyFont="1" applyBorder="1"/>
    <xf numFmtId="223" fontId="8" fillId="0" borderId="0" xfId="162" applyNumberFormat="1" applyFont="1" applyBorder="1"/>
    <xf numFmtId="205" fontId="2" fillId="0" borderId="0" xfId="1" applyNumberFormat="1" applyFont="1" applyBorder="1"/>
    <xf numFmtId="170" fontId="2" fillId="0" borderId="19" xfId="2" applyFont="1" applyBorder="1"/>
    <xf numFmtId="224" fontId="2" fillId="0" borderId="17" xfId="162" applyNumberFormat="1" applyFont="1" applyBorder="1"/>
    <xf numFmtId="170" fontId="2" fillId="0" borderId="17" xfId="2" applyFont="1" applyBorder="1"/>
    <xf numFmtId="223" fontId="8" fillId="0" borderId="17" xfId="162" applyNumberFormat="1" applyFont="1" applyBorder="1"/>
    <xf numFmtId="170" fontId="2" fillId="0" borderId="16" xfId="2" applyFont="1" applyBorder="1"/>
    <xf numFmtId="9" fontId="2" fillId="0" borderId="6" xfId="163" applyFont="1" applyBorder="1"/>
    <xf numFmtId="224" fontId="2" fillId="0" borderId="0" xfId="162" applyNumberFormat="1" applyFont="1" applyBorder="1"/>
    <xf numFmtId="170" fontId="18" fillId="0" borderId="4" xfId="2" applyFont="1" applyBorder="1" applyAlignment="1">
      <alignment horizontal="left"/>
    </xf>
    <xf numFmtId="170" fontId="18" fillId="0" borderId="4" xfId="148" applyFont="1" applyBorder="1" applyAlignment="1">
      <alignment horizontal="left"/>
    </xf>
    <xf numFmtId="170" fontId="7" fillId="0" borderId="6" xfId="148" applyFont="1" applyBorder="1" applyAlignment="1">
      <alignment horizontal="center"/>
    </xf>
    <xf numFmtId="170" fontId="7" fillId="0" borderId="0" xfId="148" applyFont="1" applyAlignment="1">
      <alignment horizontal="center"/>
    </xf>
    <xf numFmtId="223" fontId="8" fillId="0" borderId="0" xfId="162" applyNumberFormat="1" applyFont="1" applyFill="1" applyBorder="1" applyAlignment="1">
      <alignment horizontal="center"/>
    </xf>
    <xf numFmtId="170" fontId="7" fillId="0" borderId="0" xfId="148" applyFont="1"/>
    <xf numFmtId="223" fontId="8" fillId="0" borderId="0" xfId="162" applyNumberFormat="1" applyFont="1" applyFill="1" applyBorder="1" applyAlignment="1"/>
    <xf numFmtId="223" fontId="7" fillId="0" borderId="0" xfId="162" applyNumberFormat="1" applyFont="1" applyFill="1" applyBorder="1" applyAlignment="1"/>
    <xf numFmtId="170" fontId="9" fillId="0" borderId="15" xfId="2" applyFont="1" applyBorder="1"/>
    <xf numFmtId="170" fontId="129" fillId="0" borderId="6" xfId="148" applyFont="1" applyBorder="1" applyAlignment="1">
      <alignment horizontal="left"/>
    </xf>
    <xf numFmtId="225" fontId="16" fillId="0" borderId="0" xfId="162" applyNumberFormat="1" applyFont="1" applyBorder="1"/>
    <xf numFmtId="223" fontId="129" fillId="0" borderId="0" xfId="162" applyNumberFormat="1" applyFont="1" applyFill="1" applyBorder="1" applyAlignment="1">
      <alignment horizontal="left"/>
    </xf>
    <xf numFmtId="170" fontId="129" fillId="0" borderId="4" xfId="148" applyFont="1" applyBorder="1" applyAlignment="1">
      <alignment horizontal="left"/>
    </xf>
    <xf numFmtId="170" fontId="5" fillId="30" borderId="3" xfId="148" applyFont="1" applyFill="1" applyBorder="1"/>
    <xf numFmtId="170" fontId="5" fillId="30" borderId="2" xfId="148" applyFont="1" applyFill="1" applyBorder="1"/>
    <xf numFmtId="170" fontId="15" fillId="30" borderId="2" xfId="2" applyFont="1" applyFill="1" applyBorder="1"/>
    <xf numFmtId="170" fontId="6" fillId="30" borderId="2" xfId="148" applyFont="1" applyFill="1" applyBorder="1"/>
    <xf numFmtId="170" fontId="6" fillId="30" borderId="1" xfId="148" applyFont="1" applyFill="1" applyBorder="1"/>
    <xf numFmtId="176" fontId="5" fillId="30" borderId="2" xfId="148" applyNumberFormat="1" applyFont="1" applyFill="1" applyBorder="1"/>
    <xf numFmtId="178" fontId="2" fillId="0" borderId="0" xfId="148" applyNumberFormat="1" applyFont="1" applyAlignment="1">
      <alignment horizontal="right"/>
    </xf>
    <xf numFmtId="170" fontId="2" fillId="0" borderId="0" xfId="148" applyFont="1"/>
    <xf numFmtId="170" fontId="2" fillId="0" borderId="0" xfId="148" applyFont="1" applyAlignment="1">
      <alignment vertical="top" wrapText="1"/>
    </xf>
    <xf numFmtId="170" fontId="2" fillId="0" borderId="4" xfId="148" applyFont="1" applyBorder="1" applyAlignment="1">
      <alignment vertical="top" wrapText="1"/>
    </xf>
    <xf numFmtId="174" fontId="23" fillId="0" borderId="6" xfId="151" applyNumberFormat="1" applyFont="1" applyBorder="1" applyAlignment="1">
      <alignment horizontal="right"/>
    </xf>
    <xf numFmtId="37" fontId="2" fillId="0" borderId="4" xfId="148" applyNumberFormat="1" applyFont="1" applyBorder="1"/>
    <xf numFmtId="9" fontId="2" fillId="0" borderId="0" xfId="2" applyNumberFormat="1" applyFont="1"/>
    <xf numFmtId="37" fontId="2" fillId="0" borderId="0" xfId="2" applyNumberFormat="1" applyFont="1"/>
    <xf numFmtId="170" fontId="2" fillId="0" borderId="6" xfId="148" applyFont="1" applyBorder="1"/>
    <xf numFmtId="37" fontId="22" fillId="0" borderId="4" xfId="148" applyNumberFormat="1" applyFont="1" applyBorder="1" applyAlignment="1">
      <alignment horizontal="right"/>
    </xf>
    <xf numFmtId="37" fontId="8" fillId="0" borderId="4" xfId="148" applyNumberFormat="1" applyFont="1" applyBorder="1"/>
    <xf numFmtId="170" fontId="130" fillId="0" borderId="0" xfId="2" applyFont="1"/>
    <xf numFmtId="170" fontId="16" fillId="0" borderId="0" xfId="148" applyFont="1"/>
    <xf numFmtId="170" fontId="2" fillId="0" borderId="15" xfId="148" applyFont="1" applyBorder="1"/>
    <xf numFmtId="170" fontId="2" fillId="0" borderId="5" xfId="2" applyFont="1" applyBorder="1"/>
    <xf numFmtId="170" fontId="2" fillId="0" borderId="5" xfId="148" applyFont="1" applyBorder="1"/>
    <xf numFmtId="170" fontId="21" fillId="0" borderId="14" xfId="148" applyFont="1" applyBorder="1" applyAlignment="1">
      <alignment horizontal="right"/>
    </xf>
    <xf numFmtId="170" fontId="9" fillId="0" borderId="14" xfId="2" applyFont="1" applyBorder="1"/>
    <xf numFmtId="170" fontId="6" fillId="30" borderId="1" xfId="2" applyFont="1" applyFill="1" applyBorder="1"/>
    <xf numFmtId="170" fontId="7" fillId="0" borderId="10" xfId="148" applyFont="1" applyBorder="1" applyAlignment="1">
      <alignment horizontal="center"/>
    </xf>
    <xf numFmtId="170" fontId="7" fillId="0" borderId="9" xfId="148" applyFont="1" applyBorder="1" applyAlignment="1">
      <alignment horizontal="center"/>
    </xf>
    <xf numFmtId="170" fontId="7" fillId="0" borderId="8" xfId="148" applyFont="1" applyBorder="1" applyAlignment="1">
      <alignment horizontal="center"/>
    </xf>
    <xf numFmtId="173" fontId="10" fillId="0" borderId="0" xfId="151" applyNumberFormat="1" applyFont="1"/>
    <xf numFmtId="37" fontId="2" fillId="0" borderId="0" xfId="2" applyNumberFormat="1" applyFont="1" applyAlignment="1">
      <alignment horizontal="left"/>
    </xf>
    <xf numFmtId="170" fontId="9" fillId="0" borderId="0" xfId="2" applyFont="1" applyAlignment="1">
      <alignment horizontal="left"/>
    </xf>
    <xf numFmtId="170" fontId="2" fillId="0" borderId="13" xfId="148" applyFont="1" applyBorder="1"/>
    <xf numFmtId="170" fontId="9" fillId="0" borderId="12" xfId="2" applyFont="1" applyBorder="1"/>
    <xf numFmtId="170" fontId="16" fillId="0" borderId="12" xfId="148" applyFont="1" applyBorder="1"/>
    <xf numFmtId="170" fontId="2" fillId="0" borderId="12" xfId="148" applyFont="1" applyBorder="1"/>
    <xf numFmtId="170" fontId="11" fillId="0" borderId="5" xfId="2" applyFont="1" applyBorder="1" applyAlignment="1">
      <alignment horizontal="right"/>
    </xf>
    <xf numFmtId="170" fontId="11" fillId="0" borderId="5" xfId="148" applyFont="1" applyBorder="1" applyAlignment="1">
      <alignment horizontal="right"/>
    </xf>
    <xf numFmtId="170" fontId="11" fillId="0" borderId="14" xfId="2" applyFont="1" applyBorder="1" applyAlignment="1">
      <alignment horizontal="center"/>
    </xf>
    <xf numFmtId="170" fontId="5" fillId="21" borderId="5" xfId="148" applyFont="1" applyFill="1" applyBorder="1"/>
    <xf numFmtId="170" fontId="15" fillId="21" borderId="5" xfId="2" applyFont="1" applyFill="1" applyBorder="1"/>
    <xf numFmtId="170" fontId="6" fillId="21" borderId="14" xfId="148" applyFont="1" applyFill="1" applyBorder="1"/>
    <xf numFmtId="14" fontId="8" fillId="0" borderId="0" xfId="2" applyNumberFormat="1" applyFont="1"/>
    <xf numFmtId="170" fontId="2" fillId="0" borderId="9" xfId="148" applyFont="1" applyBorder="1"/>
    <xf numFmtId="169" fontId="8" fillId="0" borderId="9" xfId="162" applyFont="1" applyFill="1" applyBorder="1" applyAlignment="1">
      <alignment horizontal="right"/>
    </xf>
    <xf numFmtId="9" fontId="8" fillId="0" borderId="9" xfId="2" applyNumberFormat="1" applyFont="1" applyBorder="1" applyAlignment="1">
      <alignment horizontal="right"/>
    </xf>
    <xf numFmtId="170" fontId="8" fillId="0" borderId="9" xfId="148" applyFont="1" applyBorder="1" applyAlignment="1">
      <alignment horizontal="left"/>
    </xf>
    <xf numFmtId="170" fontId="5" fillId="0" borderId="9" xfId="148" applyFont="1" applyBorder="1"/>
    <xf numFmtId="10" fontId="2" fillId="0" borderId="9" xfId="163" applyNumberFormat="1" applyFont="1" applyFill="1" applyBorder="1"/>
    <xf numFmtId="174" fontId="8" fillId="0" borderId="9" xfId="148" applyNumberFormat="1" applyFont="1" applyBorder="1" applyAlignment="1">
      <alignment horizontal="right"/>
    </xf>
    <xf numFmtId="182" fontId="8" fillId="0" borderId="0" xfId="162" applyNumberFormat="1" applyFont="1" applyFill="1" applyBorder="1" applyAlignment="1">
      <alignment horizontal="right"/>
    </xf>
    <xf numFmtId="37" fontId="8" fillId="0" borderId="0" xfId="2" applyNumberFormat="1" applyFont="1" applyAlignment="1">
      <alignment horizontal="right"/>
    </xf>
    <xf numFmtId="37" fontId="8" fillId="0" borderId="0" xfId="148" applyNumberFormat="1" applyFont="1" applyAlignment="1">
      <alignment horizontal="left"/>
    </xf>
    <xf numFmtId="170" fontId="5" fillId="0" borderId="0" xfId="148" applyFont="1"/>
    <xf numFmtId="170" fontId="8" fillId="0" borderId="0" xfId="148" applyFont="1" applyAlignment="1">
      <alignment horizontal="left"/>
    </xf>
    <xf numFmtId="10" fontId="18" fillId="0" borderId="0" xfId="148" applyNumberFormat="1" applyFont="1"/>
    <xf numFmtId="170" fontId="2" fillId="0" borderId="5" xfId="148" applyFont="1" applyBorder="1" applyAlignment="1">
      <alignment horizontal="right"/>
    </xf>
    <xf numFmtId="170" fontId="8" fillId="0" borderId="5" xfId="2" applyFont="1" applyBorder="1" applyAlignment="1">
      <alignment horizontal="right"/>
    </xf>
    <xf numFmtId="170" fontId="8" fillId="0" borderId="5" xfId="148" applyFont="1" applyBorder="1" applyAlignment="1">
      <alignment horizontal="left"/>
    </xf>
    <xf numFmtId="170" fontId="5" fillId="0" borderId="5" xfId="148" applyFont="1" applyBorder="1"/>
    <xf numFmtId="171" fontId="2" fillId="0" borderId="5" xfId="148" applyNumberFormat="1" applyFont="1" applyBorder="1" applyAlignment="1">
      <alignment horizontal="left"/>
    </xf>
    <xf numFmtId="37" fontId="8" fillId="0" borderId="5" xfId="148" applyNumberFormat="1" applyFont="1" applyBorder="1" applyAlignment="1">
      <alignment horizontal="right"/>
    </xf>
    <xf numFmtId="170" fontId="2" fillId="0" borderId="14" xfId="148" applyFont="1" applyBorder="1"/>
    <xf numFmtId="14" fontId="6" fillId="21" borderId="15" xfId="148" applyNumberFormat="1" applyFont="1" applyFill="1" applyBorder="1" applyAlignment="1">
      <alignment horizontal="right"/>
    </xf>
    <xf numFmtId="170" fontId="6" fillId="21" borderId="5" xfId="148" applyFont="1" applyFill="1" applyBorder="1" applyAlignment="1">
      <alignment horizontal="right"/>
    </xf>
    <xf numFmtId="170" fontId="4" fillId="21" borderId="5" xfId="148" applyFont="1" applyFill="1" applyBorder="1"/>
    <xf numFmtId="170" fontId="4" fillId="21" borderId="14" xfId="148" applyFont="1" applyFill="1" applyBorder="1"/>
    <xf numFmtId="173" fontId="45" fillId="0" borderId="0" xfId="0" applyNumberFormat="1" applyFont="1" applyAlignment="1">
      <alignment horizontal="left"/>
    </xf>
    <xf numFmtId="173" fontId="106" fillId="0" borderId="50" xfId="0" applyNumberFormat="1" applyFont="1" applyBorder="1"/>
    <xf numFmtId="173" fontId="44" fillId="3" borderId="0" xfId="0" applyNumberFormat="1" applyFont="1" applyFill="1"/>
    <xf numFmtId="173" fontId="43" fillId="3" borderId="0" xfId="0" applyNumberFormat="1" applyFont="1" applyFill="1" applyAlignment="1">
      <alignment horizontal="left" indent="1"/>
    </xf>
    <xf numFmtId="173" fontId="44" fillId="3" borderId="0" xfId="0" applyNumberFormat="1" applyFont="1" applyFill="1" applyAlignment="1">
      <alignment horizontal="center"/>
    </xf>
    <xf numFmtId="173" fontId="43" fillId="3" borderId="0" xfId="0" applyNumberFormat="1" applyFont="1" applyFill="1"/>
    <xf numFmtId="173" fontId="45" fillId="3" borderId="0" xfId="0" applyNumberFormat="1" applyFont="1" applyFill="1"/>
    <xf numFmtId="173" fontId="45" fillId="3" borderId="0" xfId="0" applyNumberFormat="1" applyFont="1" applyFill="1" applyAlignment="1">
      <alignment horizontal="left"/>
    </xf>
    <xf numFmtId="173" fontId="45" fillId="3" borderId="0" xfId="0" applyNumberFormat="1" applyFont="1" applyFill="1" applyAlignment="1">
      <alignment horizontal="center"/>
    </xf>
    <xf numFmtId="173" fontId="44" fillId="3" borderId="0" xfId="0" applyNumberFormat="1" applyFont="1" applyFill="1" applyAlignment="1">
      <alignment horizontal="left"/>
    </xf>
    <xf numFmtId="173" fontId="104" fillId="3" borderId="0" xfId="0" applyNumberFormat="1" applyFont="1" applyFill="1"/>
    <xf numFmtId="173" fontId="46" fillId="3" borderId="0" xfId="0" applyNumberFormat="1" applyFont="1" applyFill="1"/>
    <xf numFmtId="173" fontId="46" fillId="3" borderId="0" xfId="0" applyNumberFormat="1" applyFont="1" applyFill="1" applyAlignment="1">
      <alignment horizontal="left"/>
    </xf>
    <xf numFmtId="173" fontId="46" fillId="3" borderId="0" xfId="0" applyNumberFormat="1" applyFont="1" applyFill="1" applyAlignment="1">
      <alignment horizontal="center"/>
    </xf>
    <xf numFmtId="173" fontId="105" fillId="3" borderId="0" xfId="0" applyNumberFormat="1" applyFont="1" applyFill="1"/>
    <xf numFmtId="173" fontId="49" fillId="3" borderId="0" xfId="0" applyNumberFormat="1" applyFont="1" applyFill="1" applyAlignment="1">
      <alignment horizontal="left" indent="1"/>
    </xf>
    <xf numFmtId="173" fontId="105" fillId="3" borderId="0" xfId="0" applyNumberFormat="1" applyFont="1" applyFill="1" applyAlignment="1">
      <alignment horizontal="center"/>
    </xf>
    <xf numFmtId="173" fontId="103" fillId="3" borderId="50" xfId="0" applyNumberFormat="1" applyFont="1" applyFill="1" applyBorder="1"/>
    <xf numFmtId="173" fontId="49" fillId="3" borderId="50" xfId="0" applyNumberFormat="1" applyFont="1" applyFill="1" applyBorder="1"/>
    <xf numFmtId="179" fontId="48" fillId="0" borderId="0" xfId="3" applyNumberFormat="1" applyFont="1" applyAlignment="1">
      <alignment horizontal="right"/>
    </xf>
    <xf numFmtId="185" fontId="18" fillId="0" borderId="0" xfId="10" applyNumberFormat="1" applyFont="1" applyFill="1" applyAlignment="1">
      <alignment horizontal="center"/>
    </xf>
    <xf numFmtId="185" fontId="18" fillId="2" borderId="0" xfId="10" applyNumberFormat="1" applyFont="1" applyFill="1" applyAlignment="1">
      <alignment horizontal="center"/>
    </xf>
    <xf numFmtId="0" fontId="12" fillId="0" borderId="4" xfId="9" applyFont="1" applyBorder="1" applyAlignment="1">
      <alignment horizontal="justify" vertical="center"/>
    </xf>
    <xf numFmtId="170" fontId="2" fillId="0" borderId="4" xfId="3" applyFont="1" applyBorder="1" applyAlignment="1">
      <alignment horizontal="justify"/>
    </xf>
    <xf numFmtId="170" fontId="40" fillId="0" borderId="4" xfId="2" applyFont="1" applyBorder="1"/>
    <xf numFmtId="185" fontId="20" fillId="0" borderId="0" xfId="10" applyNumberFormat="1" applyFont="1" applyFill="1" applyAlignment="1">
      <alignment horizontal="center"/>
    </xf>
    <xf numFmtId="179" fontId="123" fillId="0" borderId="0" xfId="3" applyNumberFormat="1" applyFont="1" applyAlignment="1">
      <alignment horizontal="center"/>
    </xf>
    <xf numFmtId="179" fontId="113" fillId="0" borderId="0" xfId="13" applyNumberFormat="1" applyFont="1"/>
    <xf numFmtId="170" fontId="10" fillId="0" borderId="5" xfId="148" applyFont="1" applyBorder="1"/>
    <xf numFmtId="14" fontId="10" fillId="0" borderId="15" xfId="148" applyNumberFormat="1" applyFont="1" applyBorder="1" applyAlignment="1">
      <alignment horizontal="right"/>
    </xf>
    <xf numFmtId="170" fontId="10" fillId="0" borderId="0" xfId="148" applyFont="1"/>
    <xf numFmtId="14" fontId="10" fillId="0" borderId="6" xfId="148" applyNumberFormat="1" applyFont="1" applyBorder="1" applyAlignment="1">
      <alignment horizontal="right"/>
    </xf>
    <xf numFmtId="14" fontId="10" fillId="0" borderId="10" xfId="148" quotePrefix="1" applyNumberFormat="1" applyFont="1" applyBorder="1" applyAlignment="1">
      <alignment horizontal="right"/>
    </xf>
    <xf numFmtId="170" fontId="9" fillId="0" borderId="16" xfId="2" applyFont="1" applyBorder="1"/>
    <xf numFmtId="10" fontId="2" fillId="0" borderId="17" xfId="148" applyNumberFormat="1" applyFont="1" applyBorder="1"/>
    <xf numFmtId="170" fontId="2" fillId="0" borderId="6" xfId="3" applyFont="1" applyBorder="1" applyAlignment="1">
      <alignment horizontal="right"/>
    </xf>
    <xf numFmtId="175" fontId="48" fillId="0" borderId="0" xfId="0" applyNumberFormat="1" applyFont="1"/>
    <xf numFmtId="170" fontId="4" fillId="21" borderId="2" xfId="148" applyFont="1" applyFill="1" applyBorder="1"/>
    <xf numFmtId="170" fontId="5" fillId="21" borderId="2" xfId="148" applyFont="1" applyFill="1" applyBorder="1"/>
    <xf numFmtId="170" fontId="6" fillId="21" borderId="2" xfId="148" applyFont="1" applyFill="1" applyBorder="1" applyAlignment="1">
      <alignment horizontal="right"/>
    </xf>
    <xf numFmtId="170" fontId="6" fillId="21" borderId="3" xfId="148" applyFont="1" applyFill="1" applyBorder="1" applyAlignment="1">
      <alignment horizontal="right"/>
    </xf>
    <xf numFmtId="170" fontId="18" fillId="0" borderId="5" xfId="148" applyFont="1" applyBorder="1" applyAlignment="1">
      <alignment horizontal="left"/>
    </xf>
    <xf numFmtId="170" fontId="8" fillId="0" borderId="5" xfId="2" applyFont="1" applyBorder="1"/>
    <xf numFmtId="170" fontId="18" fillId="0" borderId="5" xfId="2" applyFont="1" applyBorder="1"/>
    <xf numFmtId="170" fontId="18" fillId="0" borderId="5" xfId="148" applyFont="1" applyBorder="1"/>
    <xf numFmtId="170" fontId="18" fillId="0" borderId="15" xfId="148" applyFont="1" applyBorder="1" applyAlignment="1">
      <alignment horizontal="left"/>
    </xf>
    <xf numFmtId="170" fontId="18" fillId="0" borderId="0" xfId="148" applyFont="1" applyAlignment="1">
      <alignment horizontal="left"/>
    </xf>
    <xf numFmtId="170" fontId="8" fillId="0" borderId="0" xfId="2" applyFont="1"/>
    <xf numFmtId="170" fontId="18" fillId="0" borderId="0" xfId="2" applyFont="1"/>
    <xf numFmtId="175" fontId="8" fillId="0" borderId="0" xfId="2" applyNumberFormat="1" applyFont="1" applyAlignment="1">
      <alignment horizontal="left"/>
    </xf>
    <xf numFmtId="169" fontId="2" fillId="0" borderId="0" xfId="162" applyFont="1" applyBorder="1" applyAlignment="1">
      <alignment horizontal="right"/>
    </xf>
    <xf numFmtId="170" fontId="18" fillId="0" borderId="0" xfId="148" applyFont="1"/>
    <xf numFmtId="170" fontId="18" fillId="0" borderId="6" xfId="148" applyFont="1" applyBorder="1" applyAlignment="1">
      <alignment horizontal="left"/>
    </xf>
    <xf numFmtId="10" fontId="18" fillId="0" borderId="9" xfId="148" applyNumberFormat="1" applyFont="1" applyBorder="1"/>
    <xf numFmtId="170" fontId="8" fillId="0" borderId="9" xfId="2" applyFont="1" applyBorder="1"/>
    <xf numFmtId="170" fontId="18" fillId="0" borderId="9" xfId="2" applyFont="1" applyBorder="1"/>
    <xf numFmtId="169" fontId="2" fillId="0" borderId="9" xfId="162" applyFont="1" applyBorder="1" applyAlignment="1">
      <alignment horizontal="right"/>
    </xf>
    <xf numFmtId="0" fontId="14" fillId="0" borderId="9" xfId="149" applyFont="1" applyBorder="1"/>
    <xf numFmtId="170" fontId="18" fillId="0" borderId="9" xfId="148" applyFont="1" applyBorder="1"/>
    <xf numFmtId="170" fontId="18" fillId="0" borderId="10" xfId="148" quotePrefix="1" applyFont="1" applyBorder="1" applyAlignment="1">
      <alignment horizontal="left"/>
    </xf>
    <xf numFmtId="170" fontId="6" fillId="21" borderId="1" xfId="148" applyFont="1" applyFill="1" applyBorder="1"/>
    <xf numFmtId="170" fontId="9" fillId="0" borderId="11" xfId="2" applyFont="1" applyBorder="1"/>
    <xf numFmtId="176" fontId="6" fillId="21" borderId="2" xfId="148" applyNumberFormat="1" applyFont="1" applyFill="1" applyBorder="1"/>
    <xf numFmtId="170" fontId="131" fillId="21" borderId="2" xfId="2" applyFont="1" applyFill="1" applyBorder="1"/>
    <xf numFmtId="170" fontId="6" fillId="21" borderId="2" xfId="148" applyFont="1" applyFill="1" applyBorder="1"/>
    <xf numFmtId="170" fontId="6" fillId="21" borderId="3" xfId="148" applyFont="1" applyFill="1" applyBorder="1"/>
    <xf numFmtId="170" fontId="6" fillId="31" borderId="1" xfId="148" applyFont="1" applyFill="1" applyBorder="1"/>
    <xf numFmtId="176" fontId="5" fillId="31" borderId="2" xfId="148" applyNumberFormat="1" applyFont="1" applyFill="1" applyBorder="1"/>
    <xf numFmtId="170" fontId="15" fillId="31" borderId="2" xfId="2" applyFont="1" applyFill="1" applyBorder="1"/>
    <xf numFmtId="170" fontId="5" fillId="31" borderId="2" xfId="148" applyFont="1" applyFill="1" applyBorder="1"/>
    <xf numFmtId="170" fontId="5" fillId="31" borderId="3" xfId="148" applyFont="1" applyFill="1" applyBorder="1"/>
    <xf numFmtId="37" fontId="8" fillId="0" borderId="9" xfId="2" applyNumberFormat="1" applyFont="1" applyBorder="1" applyAlignment="1">
      <alignment horizontal="left"/>
    </xf>
    <xf numFmtId="174" fontId="8" fillId="0" borderId="0" xfId="3" applyNumberFormat="1" applyFont="1"/>
    <xf numFmtId="176" fontId="8" fillId="0" borderId="0" xfId="148" applyNumberFormat="1" applyFont="1"/>
    <xf numFmtId="175" fontId="8" fillId="0" borderId="6" xfId="2" applyNumberFormat="1" applyFont="1" applyBorder="1"/>
    <xf numFmtId="173" fontId="43" fillId="0" borderId="61" xfId="0" applyNumberFormat="1" applyFont="1" applyBorder="1"/>
    <xf numFmtId="173" fontId="49" fillId="0" borderId="61" xfId="0" applyNumberFormat="1" applyFont="1" applyBorder="1"/>
    <xf numFmtId="176" fontId="43" fillId="0" borderId="61" xfId="0" applyNumberFormat="1" applyFont="1" applyBorder="1"/>
    <xf numFmtId="176" fontId="48" fillId="0" borderId="0" xfId="0" applyNumberFormat="1" applyFont="1"/>
    <xf numFmtId="176" fontId="103" fillId="29" borderId="25" xfId="0" applyNumberFormat="1" applyFont="1" applyFill="1" applyBorder="1"/>
    <xf numFmtId="173" fontId="43" fillId="29" borderId="61" xfId="0" applyNumberFormat="1" applyFont="1" applyFill="1" applyBorder="1"/>
    <xf numFmtId="173" fontId="103" fillId="29" borderId="61" xfId="0" applyNumberFormat="1" applyFont="1" applyFill="1" applyBorder="1"/>
    <xf numFmtId="173" fontId="49" fillId="27" borderId="61" xfId="0" applyNumberFormat="1" applyFont="1" applyFill="1" applyBorder="1"/>
    <xf numFmtId="219" fontId="49" fillId="27" borderId="61" xfId="0" applyNumberFormat="1" applyFont="1" applyFill="1" applyBorder="1"/>
    <xf numFmtId="173" fontId="103" fillId="3" borderId="61" xfId="0" applyNumberFormat="1" applyFont="1" applyFill="1" applyBorder="1"/>
    <xf numFmtId="173" fontId="48" fillId="0" borderId="61" xfId="0" applyNumberFormat="1" applyFont="1" applyBorder="1"/>
    <xf numFmtId="172" fontId="44" fillId="0" borderId="0" xfId="9" applyNumberFormat="1" applyFont="1"/>
    <xf numFmtId="172" fontId="8" fillId="0" borderId="0" xfId="3" applyNumberFormat="1" applyFont="1"/>
    <xf numFmtId="179" fontId="102" fillId="29" borderId="0" xfId="0" applyNumberFormat="1" applyFont="1" applyFill="1" applyAlignment="1">
      <alignment horizontal="right"/>
    </xf>
    <xf numFmtId="219" fontId="125" fillId="0" borderId="17" xfId="0" applyNumberFormat="1" applyFont="1" applyBorder="1" applyAlignment="1">
      <alignment horizontal="right" vertical="center"/>
    </xf>
    <xf numFmtId="219" fontId="125" fillId="0" borderId="9" xfId="0" applyNumberFormat="1" applyFont="1" applyBorder="1" applyAlignment="1">
      <alignment horizontal="right" vertical="center"/>
    </xf>
    <xf numFmtId="219" fontId="125" fillId="0" borderId="10" xfId="0" applyNumberFormat="1" applyFont="1" applyBorder="1" applyAlignment="1">
      <alignment horizontal="right" vertical="center"/>
    </xf>
    <xf numFmtId="206" fontId="44" fillId="3" borderId="63" xfId="0" applyNumberFormat="1" applyFont="1" applyFill="1" applyBorder="1" applyAlignment="1">
      <alignment horizontal="center"/>
    </xf>
    <xf numFmtId="206" fontId="44" fillId="3" borderId="64" xfId="0" applyNumberFormat="1" applyFont="1" applyFill="1" applyBorder="1" applyAlignment="1">
      <alignment horizontal="center"/>
    </xf>
    <xf numFmtId="173" fontId="125" fillId="0" borderId="16" xfId="0" applyNumberFormat="1" applyFont="1" applyBorder="1" applyAlignment="1">
      <alignment vertical="center"/>
    </xf>
    <xf numFmtId="219" fontId="125" fillId="0" borderId="19" xfId="0" applyNumberFormat="1" applyFont="1" applyBorder="1" applyAlignment="1">
      <alignment horizontal="right" vertical="center"/>
    </xf>
    <xf numFmtId="14" fontId="48" fillId="0" borderId="0" xfId="0" applyNumberFormat="1" applyFont="1"/>
    <xf numFmtId="214" fontId="48" fillId="23" borderId="46" xfId="155" applyNumberFormat="1" applyFont="1"/>
    <xf numFmtId="214" fontId="48" fillId="0" borderId="0" xfId="0" applyNumberFormat="1" applyFont="1"/>
    <xf numFmtId="214" fontId="45" fillId="0" borderId="0" xfId="0" applyNumberFormat="1" applyFont="1"/>
    <xf numFmtId="0" fontId="44" fillId="0" borderId="0" xfId="0" applyFont="1" applyAlignment="1">
      <alignment wrapText="1"/>
    </xf>
    <xf numFmtId="173" fontId="48" fillId="0" borderId="0" xfId="0" quotePrefix="1" applyNumberFormat="1" applyFont="1"/>
    <xf numFmtId="216" fontId="49" fillId="0" borderId="0" xfId="0" applyNumberFormat="1" applyFont="1"/>
    <xf numFmtId="179" fontId="119" fillId="0" borderId="0" xfId="0" applyNumberFormat="1" applyFont="1" applyAlignment="1">
      <alignment horizontal="right"/>
    </xf>
    <xf numFmtId="188" fontId="49" fillId="0" borderId="50" xfId="0" applyNumberFormat="1" applyFont="1" applyBorder="1"/>
    <xf numFmtId="188" fontId="45" fillId="27" borderId="0" xfId="0" applyNumberFormat="1" applyFont="1" applyFill="1"/>
    <xf numFmtId="188" fontId="49" fillId="29" borderId="25" xfId="0" applyNumberFormat="1" applyFont="1" applyFill="1" applyBorder="1"/>
    <xf numFmtId="0" fontId="49" fillId="29" borderId="25" xfId="0" applyFont="1" applyFill="1" applyBorder="1"/>
    <xf numFmtId="0" fontId="49" fillId="29" borderId="25" xfId="0" applyFont="1" applyFill="1" applyBorder="1" applyAlignment="1">
      <alignment horizontal="center"/>
    </xf>
    <xf numFmtId="176" fontId="49" fillId="29" borderId="25" xfId="0" applyNumberFormat="1" applyFont="1" applyFill="1" applyBorder="1"/>
    <xf numFmtId="173" fontId="106" fillId="3" borderId="0" xfId="0" applyNumberFormat="1" applyFont="1" applyFill="1"/>
    <xf numFmtId="188" fontId="43" fillId="0" borderId="61" xfId="0" applyNumberFormat="1" applyFont="1" applyBorder="1"/>
    <xf numFmtId="173" fontId="45" fillId="23" borderId="46" xfId="155" applyNumberFormat="1" applyFont="1"/>
    <xf numFmtId="219" fontId="104" fillId="0" borderId="0" xfId="0" applyNumberFormat="1" applyFont="1"/>
    <xf numFmtId="188" fontId="109" fillId="23" borderId="46" xfId="155" applyNumberFormat="1" applyFont="1"/>
    <xf numFmtId="176" fontId="44" fillId="26" borderId="0" xfId="0" applyNumberFormat="1" applyFont="1" applyFill="1"/>
    <xf numFmtId="180" fontId="102" fillId="29" borderId="0" xfId="0" applyNumberFormat="1" applyFont="1" applyFill="1" applyAlignment="1">
      <alignment horizontal="right"/>
    </xf>
    <xf numFmtId="173" fontId="49" fillId="26" borderId="0" xfId="0" applyNumberFormat="1" applyFont="1" applyFill="1"/>
    <xf numFmtId="212" fontId="101" fillId="22" borderId="55" xfId="0" applyNumberFormat="1" applyFont="1" applyFill="1" applyBorder="1" applyAlignment="1">
      <alignment horizontal="center"/>
    </xf>
    <xf numFmtId="0" fontId="127" fillId="22" borderId="14" xfId="149" applyFont="1" applyFill="1" applyBorder="1" applyAlignment="1">
      <alignment horizontal="centerContinuous"/>
    </xf>
    <xf numFmtId="206" fontId="44" fillId="3" borderId="8" xfId="0" applyNumberFormat="1" applyFont="1" applyFill="1" applyBorder="1" applyAlignment="1">
      <alignment horizontal="center"/>
    </xf>
    <xf numFmtId="0" fontId="101" fillId="22" borderId="65" xfId="0" applyFont="1" applyFill="1" applyBorder="1" applyAlignment="1">
      <alignment horizontal="centerContinuous"/>
    </xf>
    <xf numFmtId="173" fontId="125" fillId="0" borderId="33" xfId="0" applyNumberFormat="1" applyFont="1" applyBorder="1" applyAlignment="1">
      <alignment horizontal="right" vertical="center"/>
    </xf>
    <xf numFmtId="173" fontId="125" fillId="0" borderId="66" xfId="0" applyNumberFormat="1" applyFont="1" applyBorder="1" applyAlignment="1">
      <alignment horizontal="right" vertical="center"/>
    </xf>
    <xf numFmtId="0" fontId="126" fillId="0" borderId="8" xfId="0" applyFont="1" applyBorder="1" applyAlignment="1">
      <alignment horizontal="center"/>
    </xf>
    <xf numFmtId="0" fontId="126" fillId="0" borderId="66" xfId="0" applyFont="1" applyBorder="1" applyAlignment="1">
      <alignment horizontal="center"/>
    </xf>
    <xf numFmtId="0" fontId="126" fillId="0" borderId="8" xfId="0" applyFont="1" applyBorder="1" applyAlignment="1">
      <alignment horizontal="left" vertical="center"/>
    </xf>
    <xf numFmtId="219" fontId="133" fillId="0" borderId="9" xfId="0" applyNumberFormat="1" applyFont="1" applyBorder="1" applyAlignment="1">
      <alignment horizontal="right" vertical="center"/>
    </xf>
    <xf numFmtId="180" fontId="118" fillId="23" borderId="46" xfId="155" applyNumberFormat="1" applyFont="1"/>
    <xf numFmtId="188" fontId="44" fillId="0" borderId="0" xfId="0" applyNumberFormat="1" applyFont="1" applyAlignment="1">
      <alignment horizontal="center"/>
    </xf>
    <xf numFmtId="176" fontId="104" fillId="0" borderId="0" xfId="0" applyNumberFormat="1" applyFont="1"/>
    <xf numFmtId="176" fontId="43" fillId="3" borderId="0" xfId="0" applyNumberFormat="1" applyFont="1" applyFill="1"/>
    <xf numFmtId="176" fontId="45" fillId="3" borderId="0" xfId="0" applyNumberFormat="1" applyFont="1" applyFill="1"/>
    <xf numFmtId="188" fontId="48" fillId="26" borderId="0" xfId="0" applyNumberFormat="1" applyFont="1" applyFill="1"/>
    <xf numFmtId="37" fontId="22" fillId="0" borderId="0" xfId="3" applyNumberFormat="1" applyFont="1"/>
    <xf numFmtId="182" fontId="2" fillId="0" borderId="9" xfId="162" applyNumberFormat="1" applyFont="1" applyFill="1" applyBorder="1"/>
    <xf numFmtId="177" fontId="18" fillId="0" borderId="4" xfId="3" applyNumberFormat="1" applyFont="1" applyBorder="1"/>
    <xf numFmtId="37" fontId="8" fillId="0" borderId="0" xfId="3" applyNumberFormat="1" applyFont="1" applyAlignment="1">
      <alignment horizontal="right"/>
    </xf>
    <xf numFmtId="170" fontId="10" fillId="2" borderId="0" xfId="2" applyFont="1" applyFill="1"/>
    <xf numFmtId="176" fontId="49" fillId="3" borderId="0" xfId="0" applyNumberFormat="1" applyFont="1" applyFill="1"/>
    <xf numFmtId="173" fontId="115" fillId="0" borderId="0" xfId="0" applyNumberFormat="1" applyFont="1"/>
    <xf numFmtId="179" fontId="102" fillId="27" borderId="0" xfId="0" applyNumberFormat="1" applyFont="1" applyFill="1" applyAlignment="1">
      <alignment horizontal="center"/>
    </xf>
    <xf numFmtId="173" fontId="125" fillId="0" borderId="0" xfId="0" applyNumberFormat="1" applyFont="1" applyAlignment="1">
      <alignment horizontal="right" vertical="center"/>
    </xf>
    <xf numFmtId="206" fontId="44" fillId="3" borderId="14" xfId="0" applyNumberFormat="1" applyFont="1" applyFill="1" applyBorder="1" applyAlignment="1">
      <alignment horizontal="center"/>
    </xf>
    <xf numFmtId="173" fontId="125" fillId="0" borderId="65" xfId="0" applyNumberFormat="1" applyFont="1" applyBorder="1" applyAlignment="1">
      <alignment horizontal="right" vertical="center"/>
    </xf>
    <xf numFmtId="170" fontId="11" fillId="0" borderId="5" xfId="148" applyFont="1" applyBorder="1" applyAlignment="1">
      <alignment horizontal="left"/>
    </xf>
    <xf numFmtId="170" fontId="7" fillId="0" borderId="60" xfId="148" applyFont="1" applyBorder="1" applyAlignment="1">
      <alignment horizontal="center"/>
    </xf>
    <xf numFmtId="170" fontId="7" fillId="0" borderId="61" xfId="148" applyFont="1" applyBorder="1" applyAlignment="1">
      <alignment horizontal="center"/>
    </xf>
    <xf numFmtId="170" fontId="7" fillId="0" borderId="62" xfId="148" applyFont="1" applyBorder="1" applyAlignment="1">
      <alignment horizontal="center"/>
    </xf>
    <xf numFmtId="170" fontId="7" fillId="0" borderId="4" xfId="148" applyFont="1" applyBorder="1" applyAlignment="1">
      <alignment horizontal="center"/>
    </xf>
    <xf numFmtId="170" fontId="7" fillId="0" borderId="0" xfId="148" applyFont="1" applyAlignment="1">
      <alignment horizontal="center"/>
    </xf>
    <xf numFmtId="170" fontId="7" fillId="0" borderId="6" xfId="148" applyFont="1" applyBorder="1" applyAlignment="1">
      <alignment horizontal="center"/>
    </xf>
    <xf numFmtId="213" fontId="101" fillId="22" borderId="47" xfId="0" applyNumberFormat="1" applyFont="1" applyFill="1" applyBorder="1" applyAlignment="1">
      <alignment horizontal="center"/>
    </xf>
    <xf numFmtId="213" fontId="101" fillId="22" borderId="49" xfId="0" applyNumberFormat="1" applyFont="1" applyFill="1" applyBorder="1" applyAlignment="1">
      <alignment horizontal="center"/>
    </xf>
    <xf numFmtId="213" fontId="101" fillId="22" borderId="48" xfId="0" applyNumberFormat="1" applyFont="1" applyFill="1" applyBorder="1" applyAlignment="1">
      <alignment horizontal="center"/>
    </xf>
    <xf numFmtId="212" fontId="101" fillId="22" borderId="47" xfId="0" applyNumberFormat="1" applyFont="1" applyFill="1" applyBorder="1" applyAlignment="1">
      <alignment horizontal="center"/>
    </xf>
    <xf numFmtId="212" fontId="101" fillId="22" borderId="49" xfId="0" applyNumberFormat="1" applyFont="1" applyFill="1" applyBorder="1" applyAlignment="1">
      <alignment horizontal="center"/>
    </xf>
    <xf numFmtId="173" fontId="101" fillId="22" borderId="47" xfId="0" applyNumberFormat="1" applyFont="1" applyFill="1" applyBorder="1" applyAlignment="1">
      <alignment horizontal="center"/>
    </xf>
    <xf numFmtId="173" fontId="101" fillId="22" borderId="49" xfId="0" applyNumberFormat="1" applyFont="1" applyFill="1" applyBorder="1" applyAlignment="1">
      <alignment horizontal="center"/>
    </xf>
    <xf numFmtId="211" fontId="101" fillId="22" borderId="47" xfId="0" applyNumberFormat="1" applyFont="1" applyFill="1" applyBorder="1" applyAlignment="1">
      <alignment horizontal="center"/>
    </xf>
    <xf numFmtId="211" fontId="101" fillId="22" borderId="49" xfId="0" applyNumberFormat="1" applyFont="1" applyFill="1" applyBorder="1" applyAlignment="1">
      <alignment horizontal="center"/>
    </xf>
    <xf numFmtId="210" fontId="101" fillId="22" borderId="47" xfId="0" applyNumberFormat="1" applyFont="1" applyFill="1" applyBorder="1" applyAlignment="1">
      <alignment horizontal="center"/>
    </xf>
    <xf numFmtId="210" fontId="101" fillId="22" borderId="49" xfId="0" applyNumberFormat="1" applyFont="1" applyFill="1" applyBorder="1" applyAlignment="1">
      <alignment horizontal="center"/>
    </xf>
    <xf numFmtId="209" fontId="101" fillId="22" borderId="47" xfId="0" applyNumberFormat="1" applyFont="1" applyFill="1" applyBorder="1" applyAlignment="1">
      <alignment horizontal="center"/>
    </xf>
    <xf numFmtId="209" fontId="101" fillId="22" borderId="49" xfId="0" applyNumberFormat="1" applyFont="1" applyFill="1" applyBorder="1" applyAlignment="1">
      <alignment horizontal="center"/>
    </xf>
    <xf numFmtId="170" fontId="11" fillId="0" borderId="15" xfId="148" applyFont="1" applyBorder="1" applyAlignment="1">
      <alignment horizontal="left"/>
    </xf>
    <xf numFmtId="170" fontId="7" fillId="0" borderId="59" xfId="148" applyFont="1" applyBorder="1" applyAlignment="1">
      <alignment horizontal="center"/>
    </xf>
    <xf numFmtId="170" fontId="7" fillId="0" borderId="58" xfId="148" applyFont="1" applyBorder="1" applyAlignment="1">
      <alignment horizontal="center"/>
    </xf>
  </cellXfs>
  <cellStyles count="164">
    <cellStyle name="_x000a_386grabber=M" xfId="18" xr:uid="{00000000-0005-0000-0000-000000000000}"/>
    <cellStyle name="%" xfId="19" xr:uid="{00000000-0005-0000-0000-000001000000}"/>
    <cellStyle name="?Q\?1@" xfId="20" xr:uid="{00000000-0005-0000-0000-000002000000}"/>
    <cellStyle name="_DB Model_DOV" xfId="21" xr:uid="{00000000-0005-0000-0000-000003000000}"/>
    <cellStyle name="_DB Model_ETN" xfId="22" xr:uid="{00000000-0005-0000-0000-000004000000}"/>
    <cellStyle name="_DB Model_HON" xfId="23" xr:uid="{00000000-0005-0000-0000-000005000000}"/>
    <cellStyle name="_DB Model_IR" xfId="24" xr:uid="{00000000-0005-0000-0000-000006000000}"/>
    <cellStyle name="_Multi Industry variance analysis 3Q07" xfId="25" xr:uid="{00000000-0005-0000-0000-000007000000}"/>
    <cellStyle name="_Quarterly Analysis" xfId="26" xr:uid="{00000000-0005-0000-0000-000008000000}"/>
    <cellStyle name="_SOTP" xfId="27" xr:uid="{00000000-0005-0000-0000-000009000000}"/>
    <cellStyle name="_Tyco_29 May 2007" xfId="28" xr:uid="{00000000-0005-0000-0000-00000A000000}"/>
    <cellStyle name="1st indent" xfId="29" xr:uid="{00000000-0005-0000-0000-00000B000000}"/>
    <cellStyle name="2nd indent" xfId="30" xr:uid="{00000000-0005-0000-0000-00000C000000}"/>
    <cellStyle name="2underline" xfId="31" xr:uid="{00000000-0005-0000-0000-00000D000000}"/>
    <cellStyle name="A_Block Space" xfId="32" xr:uid="{00000000-0005-0000-0000-00000E000000}"/>
    <cellStyle name="A_BlueLine" xfId="33" xr:uid="{00000000-0005-0000-0000-00000F000000}"/>
    <cellStyle name="A_Do not Change" xfId="34" xr:uid="{00000000-0005-0000-0000-000010000000}"/>
    <cellStyle name="A_Estimate" xfId="35" xr:uid="{00000000-0005-0000-0000-000011000000}"/>
    <cellStyle name="A_Memo" xfId="36" xr:uid="{00000000-0005-0000-0000-000012000000}"/>
    <cellStyle name="A_Normal" xfId="37" xr:uid="{00000000-0005-0000-0000-000013000000}"/>
    <cellStyle name="A_Normal Forecast" xfId="38" xr:uid="{00000000-0005-0000-0000-000014000000}"/>
    <cellStyle name="A_Normal Historical" xfId="39" xr:uid="{00000000-0005-0000-0000-000015000000}"/>
    <cellStyle name="A_Rate_Data" xfId="40" xr:uid="{00000000-0005-0000-0000-000016000000}"/>
    <cellStyle name="A_Rate_Data Historical" xfId="41" xr:uid="{00000000-0005-0000-0000-000017000000}"/>
    <cellStyle name="A_Rate_Title" xfId="42" xr:uid="{00000000-0005-0000-0000-000018000000}"/>
    <cellStyle name="A_Simple Title" xfId="43" xr:uid="{00000000-0005-0000-0000-000019000000}"/>
    <cellStyle name="A_Sum" xfId="44" xr:uid="{00000000-0005-0000-0000-00001A000000}"/>
    <cellStyle name="A_SUM_Row Major" xfId="45" xr:uid="{00000000-0005-0000-0000-00001B000000}"/>
    <cellStyle name="A_SUM_Row Minor" xfId="46" xr:uid="{00000000-0005-0000-0000-00001C000000}"/>
    <cellStyle name="A_Title" xfId="47" xr:uid="{00000000-0005-0000-0000-00001D000000}"/>
    <cellStyle name="A_YearHeadings" xfId="48" xr:uid="{00000000-0005-0000-0000-00001E000000}"/>
    <cellStyle name="AFE" xfId="49" xr:uid="{00000000-0005-0000-0000-00001F000000}"/>
    <cellStyle name="Agara" xfId="50" xr:uid="{00000000-0005-0000-0000-000020000000}"/>
    <cellStyle name="ArialNormal" xfId="51" xr:uid="{00000000-0005-0000-0000-000021000000}"/>
    <cellStyle name="blp_column_header" xfId="156" xr:uid="{00000000-0005-0000-0000-000022000000}"/>
    <cellStyle name="Border_Current" xfId="52" xr:uid="{00000000-0005-0000-0000-000023000000}"/>
    <cellStyle name="Comma" xfId="162" builtinId="3"/>
    <cellStyle name="Comma  - Style1" xfId="53" xr:uid="{00000000-0005-0000-0000-000025000000}"/>
    <cellStyle name="Comma 0" xfId="54" xr:uid="{00000000-0005-0000-0000-000026000000}"/>
    <cellStyle name="Comma 18" xfId="4" xr:uid="{00000000-0005-0000-0000-000027000000}"/>
    <cellStyle name="Comma 2" xfId="55" xr:uid="{00000000-0005-0000-0000-000028000000}"/>
    <cellStyle name="Curren - Style3" xfId="56" xr:uid="{00000000-0005-0000-0000-000029000000}"/>
    <cellStyle name="Curren - Style4" xfId="57" xr:uid="{00000000-0005-0000-0000-00002A000000}"/>
    <cellStyle name="Currency" xfId="1" builtinId="4"/>
    <cellStyle name="Currency 0" xfId="58" xr:uid="{00000000-0005-0000-0000-00002C000000}"/>
    <cellStyle name="Currency 2" xfId="59" xr:uid="{00000000-0005-0000-0000-00002D000000}"/>
    <cellStyle name="Date" xfId="60" xr:uid="{00000000-0005-0000-0000-00002E000000}"/>
    <cellStyle name="Date Aligned" xfId="61" xr:uid="{00000000-0005-0000-0000-00002F000000}"/>
    <cellStyle name="Date_Acquisitions" xfId="62" xr:uid="{00000000-0005-0000-0000-000030000000}"/>
    <cellStyle name="Dates" xfId="63" xr:uid="{00000000-0005-0000-0000-000031000000}"/>
    <cellStyle name="Dec_0" xfId="64" xr:uid="{00000000-0005-0000-0000-000032000000}"/>
    <cellStyle name="Dezimal [0]_Ergebnis" xfId="65" xr:uid="{00000000-0005-0000-0000-000033000000}"/>
    <cellStyle name="Dezimal_Ergebnis" xfId="66" xr:uid="{00000000-0005-0000-0000-000034000000}"/>
    <cellStyle name="Dotted Line" xfId="67" xr:uid="{00000000-0005-0000-0000-000035000000}"/>
    <cellStyle name="Download" xfId="68" xr:uid="{00000000-0005-0000-0000-000036000000}"/>
    <cellStyle name="Entry" xfId="69" xr:uid="{00000000-0005-0000-0000-000037000000}"/>
    <cellStyle name="EPS" xfId="70" xr:uid="{00000000-0005-0000-0000-000038000000}"/>
    <cellStyle name="Euro" xfId="71" xr:uid="{00000000-0005-0000-0000-000039000000}"/>
    <cellStyle name="ExchRate" xfId="72" xr:uid="{00000000-0005-0000-0000-00003A000000}"/>
    <cellStyle name="fa_column_header_bottom" xfId="157" xr:uid="{00000000-0005-0000-0000-00003B000000}"/>
    <cellStyle name="Financial" xfId="73" xr:uid="{00000000-0005-0000-0000-00003C000000}"/>
    <cellStyle name="Font_Actual" xfId="74" xr:uid="{00000000-0005-0000-0000-00003D000000}"/>
    <cellStyle name="Footnote" xfId="75" xr:uid="{00000000-0005-0000-0000-00003E000000}"/>
    <cellStyle name="Fyear" xfId="76" xr:uid="{00000000-0005-0000-0000-00003F000000}"/>
    <cellStyle name="Gilsans" xfId="77" xr:uid="{00000000-0005-0000-0000-000040000000}"/>
    <cellStyle name="Gilsansl" xfId="78" xr:uid="{00000000-0005-0000-0000-000041000000}"/>
    <cellStyle name="Grey" xfId="79" xr:uid="{00000000-0005-0000-0000-000042000000}"/>
    <cellStyle name="Hard Percent" xfId="80" xr:uid="{00000000-0005-0000-0000-000043000000}"/>
    <cellStyle name="Head 1" xfId="81" xr:uid="{00000000-0005-0000-0000-000044000000}"/>
    <cellStyle name="Head 2" xfId="82" xr:uid="{00000000-0005-0000-0000-000045000000}"/>
    <cellStyle name="Head 3" xfId="83" xr:uid="{00000000-0005-0000-0000-000046000000}"/>
    <cellStyle name="Header" xfId="84" xr:uid="{00000000-0005-0000-0000-000047000000}"/>
    <cellStyle name="Header1" xfId="85" xr:uid="{00000000-0005-0000-0000-000048000000}"/>
    <cellStyle name="Header2" xfId="86" xr:uid="{00000000-0005-0000-0000-000049000000}"/>
    <cellStyle name="heading" xfId="87" xr:uid="{00000000-0005-0000-0000-00004A000000}"/>
    <cellStyle name="Heading1" xfId="88" xr:uid="{00000000-0005-0000-0000-00004B000000}"/>
    <cellStyle name="Heading2" xfId="89" xr:uid="{00000000-0005-0000-0000-00004C000000}"/>
    <cellStyle name="Hyperlink 2" xfId="149" xr:uid="{00000000-0005-0000-0000-00004D000000}"/>
    <cellStyle name="Hyperlink 2 4" xfId="5" xr:uid="{00000000-0005-0000-0000-00004E000000}"/>
    <cellStyle name="Input [yellow]" xfId="90" xr:uid="{00000000-0005-0000-0000-00004F000000}"/>
    <cellStyle name="Invisible" xfId="158" xr:uid="{00000000-0005-0000-0000-000050000000}"/>
    <cellStyle name="Milliers [0]_AMP" xfId="91" xr:uid="{00000000-0005-0000-0000-000051000000}"/>
    <cellStyle name="Milliers_AMP" xfId="92" xr:uid="{00000000-0005-0000-0000-000052000000}"/>
    <cellStyle name="Monétaire [0]_AMP" xfId="93" xr:uid="{00000000-0005-0000-0000-000053000000}"/>
    <cellStyle name="Monétaire_AMP" xfId="94" xr:uid="{00000000-0005-0000-0000-000054000000}"/>
    <cellStyle name="Multiple" xfId="95" xr:uid="{00000000-0005-0000-0000-000055000000}"/>
    <cellStyle name="New" xfId="96" xr:uid="{00000000-0005-0000-0000-000056000000}"/>
    <cellStyle name="Normal" xfId="0" builtinId="0"/>
    <cellStyle name="Normal - Style1" xfId="97" xr:uid="{00000000-0005-0000-0000-000058000000}"/>
    <cellStyle name="Normal 13" xfId="147" xr:uid="{00000000-0005-0000-0000-000059000000}"/>
    <cellStyle name="Normal 2" xfId="98" xr:uid="{00000000-0005-0000-0000-00005A000000}"/>
    <cellStyle name="Normal 2 2" xfId="148" xr:uid="{00000000-0005-0000-0000-00005B000000}"/>
    <cellStyle name="Normal 2 2 2" xfId="154" xr:uid="{00000000-0005-0000-0000-00005C000000}"/>
    <cellStyle name="Normal 2 2 2 2" xfId="12" xr:uid="{00000000-0005-0000-0000-00005D000000}"/>
    <cellStyle name="Normal 2 2 3 3" xfId="3" xr:uid="{00000000-0005-0000-0000-00005E000000}"/>
    <cellStyle name="Normal 2 3" xfId="15" xr:uid="{00000000-0005-0000-0000-00005F000000}"/>
    <cellStyle name="Normal 2 3 5" xfId="16" xr:uid="{00000000-0005-0000-0000-000060000000}"/>
    <cellStyle name="Normal 2 3_RevVal" xfId="160" xr:uid="{00000000-0005-0000-0000-000061000000}"/>
    <cellStyle name="Normal 2 7" xfId="13" xr:uid="{00000000-0005-0000-0000-000062000000}"/>
    <cellStyle name="Normal 3" xfId="99" xr:uid="{00000000-0005-0000-0000-000063000000}"/>
    <cellStyle name="Normal 3 2" xfId="14" xr:uid="{00000000-0005-0000-0000-000064000000}"/>
    <cellStyle name="Normal 3 2 2" xfId="151" xr:uid="{00000000-0005-0000-0000-000065000000}"/>
    <cellStyle name="Normal 3 2 2 3" xfId="7" xr:uid="{00000000-0005-0000-0000-000066000000}"/>
    <cellStyle name="Normal 3 2 3 2" xfId="2" xr:uid="{00000000-0005-0000-0000-000067000000}"/>
    <cellStyle name="Normal 3 2_One Pager" xfId="159" xr:uid="{00000000-0005-0000-0000-000068000000}"/>
    <cellStyle name="Normal 3 9" xfId="11" xr:uid="{00000000-0005-0000-0000-00006A000000}"/>
    <cellStyle name="Normal 4" xfId="17" xr:uid="{00000000-0005-0000-0000-00006B000000}"/>
    <cellStyle name="Normal 4 2" xfId="146" xr:uid="{00000000-0005-0000-0000-00006C000000}"/>
    <cellStyle name="Normal 4 3" xfId="153" xr:uid="{00000000-0005-0000-0000-00006D000000}"/>
    <cellStyle name="Normal 4 3 4" xfId="8" xr:uid="{00000000-0005-0000-0000-00006E000000}"/>
    <cellStyle name="Normal 4 4" xfId="144" xr:uid="{00000000-0005-0000-0000-00006F000000}"/>
    <cellStyle name="Normal 4_RevVal" xfId="161" xr:uid="{00000000-0005-0000-0000-000070000000}"/>
    <cellStyle name="Normal 5" xfId="145" xr:uid="{00000000-0005-0000-0000-000071000000}"/>
    <cellStyle name="Normal 55" xfId="9" xr:uid="{00000000-0005-0000-0000-000072000000}"/>
    <cellStyle name="Normal_Freescale Semiconductor, Inc. (FSL) - Model New" xfId="10" xr:uid="{00000000-0005-0000-0000-000073000000}"/>
    <cellStyle name="Note" xfId="155" builtinId="10"/>
    <cellStyle name="Num_Date" xfId="100" xr:uid="{00000000-0005-0000-0000-000075000000}"/>
    <cellStyle name="Numbers" xfId="101" xr:uid="{00000000-0005-0000-0000-000076000000}"/>
    <cellStyle name="Numbers0" xfId="102" xr:uid="{00000000-0005-0000-0000-000077000000}"/>
    <cellStyle name="Numdec1" xfId="103" xr:uid="{00000000-0005-0000-0000-000078000000}"/>
    <cellStyle name="Numdec1bold" xfId="104" xr:uid="{00000000-0005-0000-0000-000079000000}"/>
    <cellStyle name="Page Number" xfId="105" xr:uid="{00000000-0005-0000-0000-00007A000000}"/>
    <cellStyle name="Pattern_Forecast" xfId="106" xr:uid="{00000000-0005-0000-0000-00007B000000}"/>
    <cellStyle name="Pctdec1itals" xfId="107" xr:uid="{00000000-0005-0000-0000-00007C000000}"/>
    <cellStyle name="Percent" xfId="163" builtinId="5"/>
    <cellStyle name="Percent [2]" xfId="108" xr:uid="{00000000-0005-0000-0000-00007D000000}"/>
    <cellStyle name="Percent 2" xfId="109" xr:uid="{00000000-0005-0000-0000-00007E000000}"/>
    <cellStyle name="Percent 2 2" xfId="150" xr:uid="{00000000-0005-0000-0000-00007F000000}"/>
    <cellStyle name="Percent 3" xfId="152" xr:uid="{00000000-0005-0000-0000-000080000000}"/>
    <cellStyle name="Percent 3 4" xfId="6" xr:uid="{00000000-0005-0000-0000-000081000000}"/>
    <cellStyle name="Percent 5" xfId="110" xr:uid="{00000000-0005-0000-0000-000082000000}"/>
    <cellStyle name="Percent1" xfId="111" xr:uid="{00000000-0005-0000-0000-000083000000}"/>
    <cellStyle name="Problem" xfId="112" xr:uid="{00000000-0005-0000-0000-000084000000}"/>
    <cellStyle name="RSSmall" xfId="113" xr:uid="{00000000-0005-0000-0000-000085000000}"/>
    <cellStyle name="RSTableHead" xfId="114" xr:uid="{00000000-0005-0000-0000-000086000000}"/>
    <cellStyle name="Share" xfId="115" xr:uid="{00000000-0005-0000-0000-000087000000}"/>
    <cellStyle name="Shares O/S" xfId="116" xr:uid="{00000000-0005-0000-0000-000088000000}"/>
    <cellStyle name="Source" xfId="117" xr:uid="{00000000-0005-0000-0000-000089000000}"/>
    <cellStyle name="Standard_BLUE" xfId="118" xr:uid="{00000000-0005-0000-0000-00008A000000}"/>
    <cellStyle name="Style 1" xfId="119" xr:uid="{00000000-0005-0000-0000-00008B000000}"/>
    <cellStyle name="Subheadbldun" xfId="120" xr:uid="{00000000-0005-0000-0000-00008C000000}"/>
    <cellStyle name="Table Head" xfId="121" xr:uid="{00000000-0005-0000-0000-00008D000000}"/>
    <cellStyle name="Table Head Aligned" xfId="122" xr:uid="{00000000-0005-0000-0000-00008E000000}"/>
    <cellStyle name="Table Head Blue" xfId="123" xr:uid="{00000000-0005-0000-0000-00008F000000}"/>
    <cellStyle name="Table Head Green" xfId="124" xr:uid="{00000000-0005-0000-0000-000090000000}"/>
    <cellStyle name="Table Title" xfId="125" xr:uid="{00000000-0005-0000-0000-000091000000}"/>
    <cellStyle name="Table Units" xfId="126" xr:uid="{00000000-0005-0000-0000-000092000000}"/>
    <cellStyle name="TableBody" xfId="127" xr:uid="{00000000-0005-0000-0000-000093000000}"/>
    <cellStyle name="TableBodyR" xfId="128" xr:uid="{00000000-0005-0000-0000-000094000000}"/>
    <cellStyle name="TableColHeads" xfId="129" xr:uid="{00000000-0005-0000-0000-000095000000}"/>
    <cellStyle name="Times New Roman" xfId="130" xr:uid="{00000000-0005-0000-0000-000096000000}"/>
    <cellStyle name="TOGGLEOFF" xfId="131" xr:uid="{00000000-0005-0000-0000-000097000000}"/>
    <cellStyle name="TOGGLEON" xfId="132" xr:uid="{00000000-0005-0000-0000-000098000000}"/>
    <cellStyle name="underline" xfId="133" xr:uid="{00000000-0005-0000-0000-000099000000}"/>
    <cellStyle name="underline(2)" xfId="134" xr:uid="{00000000-0005-0000-0000-00009A000000}"/>
    <cellStyle name="underline_2Q09 Results" xfId="135" xr:uid="{00000000-0005-0000-0000-00009B000000}"/>
    <cellStyle name="underlined(2)" xfId="136" xr:uid="{00000000-0005-0000-0000-00009C000000}"/>
    <cellStyle name="units" xfId="137" xr:uid="{00000000-0005-0000-0000-00009D000000}"/>
    <cellStyle name="Upload Only" xfId="138" xr:uid="{00000000-0005-0000-0000-00009E000000}"/>
    <cellStyle name="Validation" xfId="139" xr:uid="{00000000-0005-0000-0000-00009F000000}"/>
    <cellStyle name="Vpershare" xfId="140" xr:uid="{00000000-0005-0000-0000-0000A0000000}"/>
    <cellStyle name="Vstandard" xfId="141" xr:uid="{00000000-0005-0000-0000-0000A1000000}"/>
    <cellStyle name="Währung [0]_Ergebnis" xfId="142" xr:uid="{00000000-0005-0000-0000-0000A2000000}"/>
    <cellStyle name="Währung_Ergebnis" xfId="143" xr:uid="{00000000-0005-0000-0000-0000A3000000}"/>
  </cellStyles>
  <dxfs count="32">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sharedStrings" Target="sharedString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styles" Target="styles.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9430125191191E-2"/>
          <c:y val="4.4987078538259638E-2"/>
          <c:w val="0.85251526652693588"/>
          <c:h val="0.80784474056127598"/>
        </c:manualLayout>
      </c:layout>
      <c:barChart>
        <c:barDir val="col"/>
        <c:grouping val="clustered"/>
        <c:varyColors val="0"/>
        <c:ser>
          <c:idx val="0"/>
          <c:order val="0"/>
          <c:tx>
            <c:strRef>
              <c:f>'Tactical Trade'!$Y$26</c:f>
              <c:strCache>
                <c:ptCount val="1"/>
                <c:pt idx="0">
                  <c:v>OAS</c:v>
                </c:pt>
              </c:strCache>
            </c:strRef>
          </c:tx>
          <c:spPr>
            <a:solidFill>
              <a:schemeClr val="accent1">
                <a:lumMod val="50000"/>
              </a:schemeClr>
            </a:solidFill>
            <a:ln>
              <a:noFill/>
            </a:ln>
            <a:effectLst/>
          </c:spPr>
          <c:invertIfNegative val="0"/>
          <c:cat>
            <c:strRef>
              <c:f>'Tactical Trade'!$X$27:$X$33</c:f>
              <c:strCache>
                <c:ptCount val="7"/>
                <c:pt idx="0">
                  <c:v>IMGCN</c:v>
                </c:pt>
                <c:pt idx="1">
                  <c:v>NGDCN</c:v>
                </c:pt>
                <c:pt idx="2">
                  <c:v>ELDCN</c:v>
                </c:pt>
                <c:pt idx="3">
                  <c:v>HL</c:v>
                </c:pt>
                <c:pt idx="4">
                  <c:v>ABXCN</c:v>
                </c:pt>
                <c:pt idx="5">
                  <c:v>YRICN</c:v>
                </c:pt>
                <c:pt idx="6">
                  <c:v>KGC</c:v>
                </c:pt>
              </c:strCache>
            </c:strRef>
          </c:cat>
          <c:val>
            <c:numRef>
              <c:f>'Tactical Trade'!$Y$27:$Y$33</c:f>
              <c:numCache>
                <c:formatCode>#,##0_);\(#,##0\)</c:formatCode>
                <c:ptCount val="7"/>
                <c:pt idx="0">
                  <c:v>453</c:v>
                </c:pt>
                <c:pt idx="1">
                  <c:v>382</c:v>
                </c:pt>
                <c:pt idx="2">
                  <c:v>517</c:v>
                </c:pt>
                <c:pt idx="3">
                  <c:v>460</c:v>
                </c:pt>
                <c:pt idx="4">
                  <c:v>187</c:v>
                </c:pt>
                <c:pt idx="5">
                  <c:v>165</c:v>
                </c:pt>
                <c:pt idx="6">
                  <c:v>287</c:v>
                </c:pt>
              </c:numCache>
            </c:numRef>
          </c:val>
          <c:extLst>
            <c:ext xmlns:c16="http://schemas.microsoft.com/office/drawing/2014/chart" uri="{C3380CC4-5D6E-409C-BE32-E72D297353CC}">
              <c16:uniqueId val="{00000000-4AB4-40FC-A931-D03E5EFE3C4E}"/>
            </c:ext>
          </c:extLst>
        </c:ser>
        <c:ser>
          <c:idx val="1"/>
          <c:order val="1"/>
          <c:tx>
            <c:strRef>
              <c:f>'Tactical Trade'!$Z$26</c:f>
              <c:strCache>
                <c:ptCount val="1"/>
                <c:pt idx="0">
                  <c:v>AISC</c:v>
                </c:pt>
              </c:strCache>
            </c:strRef>
          </c:tx>
          <c:spPr>
            <a:solidFill>
              <a:srgbClr val="C75F09"/>
            </a:solidFill>
            <a:ln>
              <a:noFill/>
            </a:ln>
            <a:effectLst/>
          </c:spPr>
          <c:invertIfNegative val="0"/>
          <c:cat>
            <c:strRef>
              <c:f>'Tactical Trade'!$X$27:$X$33</c:f>
              <c:strCache>
                <c:ptCount val="7"/>
                <c:pt idx="0">
                  <c:v>IMGCN</c:v>
                </c:pt>
                <c:pt idx="1">
                  <c:v>NGDCN</c:v>
                </c:pt>
                <c:pt idx="2">
                  <c:v>ELDCN</c:v>
                </c:pt>
                <c:pt idx="3">
                  <c:v>HL</c:v>
                </c:pt>
                <c:pt idx="4">
                  <c:v>ABXCN</c:v>
                </c:pt>
                <c:pt idx="5">
                  <c:v>YRICN</c:v>
                </c:pt>
                <c:pt idx="6">
                  <c:v>KGC</c:v>
                </c:pt>
              </c:strCache>
            </c:strRef>
          </c:cat>
          <c:val>
            <c:numRef>
              <c:f>'Tactical Trade'!$Z$27:$Z$33</c:f>
              <c:numCache>
                <c:formatCode>#,##0_);\(#,##0\)</c:formatCode>
                <c:ptCount val="7"/>
                <c:pt idx="0">
                  <c:v>1200</c:v>
                </c:pt>
                <c:pt idx="1">
                  <c:v>1250</c:v>
                </c:pt>
                <c:pt idx="2">
                  <c:v>950</c:v>
                </c:pt>
                <c:pt idx="3">
                  <c:v>1200</c:v>
                </c:pt>
                <c:pt idx="4">
                  <c:v>1100</c:v>
                </c:pt>
                <c:pt idx="5">
                  <c:v>1080</c:v>
                </c:pt>
                <c:pt idx="6">
                  <c:v>1000</c:v>
                </c:pt>
              </c:numCache>
            </c:numRef>
          </c:val>
          <c:extLst>
            <c:ext xmlns:c16="http://schemas.microsoft.com/office/drawing/2014/chart" uri="{C3380CC4-5D6E-409C-BE32-E72D297353CC}">
              <c16:uniqueId val="{00000001-4AB4-40FC-A931-D03E5EFE3C4E}"/>
            </c:ext>
          </c:extLst>
        </c:ser>
        <c:dLbls>
          <c:showLegendKey val="0"/>
          <c:showVal val="0"/>
          <c:showCatName val="0"/>
          <c:showSerName val="0"/>
          <c:showPercent val="0"/>
          <c:showBubbleSize val="0"/>
        </c:dLbls>
        <c:gapWidth val="219"/>
        <c:overlap val="-27"/>
        <c:axId val="2044856335"/>
        <c:axId val="1721183199"/>
      </c:barChart>
      <c:lineChart>
        <c:grouping val="standard"/>
        <c:varyColors val="0"/>
        <c:ser>
          <c:idx val="2"/>
          <c:order val="2"/>
          <c:tx>
            <c:strRef>
              <c:f>'Tactical Trade'!$AA$26</c:f>
              <c:strCache>
                <c:ptCount val="1"/>
                <c:pt idx="0">
                  <c:v>Net Debt / EV</c:v>
                </c:pt>
              </c:strCache>
            </c:strRef>
          </c:tx>
          <c:spPr>
            <a:ln w="28575" cap="rnd">
              <a:solidFill>
                <a:schemeClr val="accent3"/>
              </a:solidFill>
              <a:round/>
            </a:ln>
            <a:effectLst/>
          </c:spPr>
          <c:marker>
            <c:symbol val="none"/>
          </c:marker>
          <c:cat>
            <c:strRef>
              <c:f>'Tactical Trade'!$X$27:$X$33</c:f>
              <c:strCache>
                <c:ptCount val="7"/>
                <c:pt idx="0">
                  <c:v>IMGCN</c:v>
                </c:pt>
                <c:pt idx="1">
                  <c:v>NGDCN</c:v>
                </c:pt>
                <c:pt idx="2">
                  <c:v>ELDCN</c:v>
                </c:pt>
                <c:pt idx="3">
                  <c:v>HL</c:v>
                </c:pt>
                <c:pt idx="4">
                  <c:v>ABXCN</c:v>
                </c:pt>
                <c:pt idx="5">
                  <c:v>YRICN</c:v>
                </c:pt>
                <c:pt idx="6">
                  <c:v>KGC</c:v>
                </c:pt>
              </c:strCache>
            </c:strRef>
          </c:cat>
          <c:val>
            <c:numRef>
              <c:f>'Tactical Trade'!$AA$27:$AA$33</c:f>
              <c:numCache>
                <c:formatCode>0%</c:formatCode>
                <c:ptCount val="7"/>
                <c:pt idx="0">
                  <c:v>-0.3041709053916582</c:v>
                </c:pt>
                <c:pt idx="1">
                  <c:v>0.2988505747126437</c:v>
                </c:pt>
                <c:pt idx="2">
                  <c:v>2.5128865979381444E-2</c:v>
                </c:pt>
                <c:pt idx="3">
                  <c:v>0.10809985989182408</c:v>
                </c:pt>
                <c:pt idx="4">
                  <c:v>3.5155975343942623E-4</c:v>
                </c:pt>
                <c:pt idx="5">
                  <c:v>5.6897895557287609E-2</c:v>
                </c:pt>
                <c:pt idx="6">
                  <c:v>0.10132213023600642</c:v>
                </c:pt>
              </c:numCache>
            </c:numRef>
          </c:val>
          <c:smooth val="0"/>
          <c:extLst>
            <c:ext xmlns:c16="http://schemas.microsoft.com/office/drawing/2014/chart" uri="{C3380CC4-5D6E-409C-BE32-E72D297353CC}">
              <c16:uniqueId val="{00000002-4AB4-40FC-A931-D03E5EFE3C4E}"/>
            </c:ext>
          </c:extLst>
        </c:ser>
        <c:dLbls>
          <c:showLegendKey val="0"/>
          <c:showVal val="0"/>
          <c:showCatName val="0"/>
          <c:showSerName val="0"/>
          <c:showPercent val="0"/>
          <c:showBubbleSize val="0"/>
        </c:dLbls>
        <c:marker val="1"/>
        <c:smooth val="0"/>
        <c:axId val="2044858335"/>
        <c:axId val="1721182367"/>
      </c:lineChart>
      <c:catAx>
        <c:axId val="2044856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21183199"/>
        <c:crosses val="autoZero"/>
        <c:auto val="1"/>
        <c:lblAlgn val="ctr"/>
        <c:lblOffset val="100"/>
        <c:noMultiLvlLbl val="0"/>
      </c:catAx>
      <c:valAx>
        <c:axId val="1721183199"/>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44856335"/>
        <c:crosses val="autoZero"/>
        <c:crossBetween val="between"/>
      </c:valAx>
      <c:valAx>
        <c:axId val="1721182367"/>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44858335"/>
        <c:crosses val="max"/>
        <c:crossBetween val="between"/>
      </c:valAx>
      <c:catAx>
        <c:axId val="2044858335"/>
        <c:scaling>
          <c:orientation val="minMax"/>
        </c:scaling>
        <c:delete val="1"/>
        <c:axPos val="b"/>
        <c:numFmt formatCode="General" sourceLinked="1"/>
        <c:majorTickMark val="none"/>
        <c:minorTickMark val="none"/>
        <c:tickLblPos val="nextTo"/>
        <c:crossAx val="17211823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9430125191191E-2"/>
          <c:y val="4.4987078538259638E-2"/>
          <c:w val="0.85251526652693588"/>
          <c:h val="0.80784474056127598"/>
        </c:manualLayout>
      </c:layout>
      <c:barChart>
        <c:barDir val="col"/>
        <c:grouping val="clustered"/>
        <c:varyColors val="0"/>
        <c:ser>
          <c:idx val="0"/>
          <c:order val="0"/>
          <c:tx>
            <c:strRef>
              <c:f>'Tactical Trade'!$Y$26</c:f>
              <c:strCache>
                <c:ptCount val="1"/>
                <c:pt idx="0">
                  <c:v>OAS</c:v>
                </c:pt>
              </c:strCache>
            </c:strRef>
          </c:tx>
          <c:spPr>
            <a:solidFill>
              <a:schemeClr val="accent1">
                <a:lumMod val="50000"/>
              </a:schemeClr>
            </a:solidFill>
            <a:ln>
              <a:noFill/>
            </a:ln>
            <a:effectLst/>
          </c:spPr>
          <c:invertIfNegative val="0"/>
          <c:cat>
            <c:strRef>
              <c:f>'Tactical Trade'!$X$27:$X$33</c:f>
              <c:strCache>
                <c:ptCount val="7"/>
                <c:pt idx="0">
                  <c:v>IMGCN</c:v>
                </c:pt>
                <c:pt idx="1">
                  <c:v>NGDCN</c:v>
                </c:pt>
                <c:pt idx="2">
                  <c:v>ELDCN</c:v>
                </c:pt>
                <c:pt idx="3">
                  <c:v>HL</c:v>
                </c:pt>
                <c:pt idx="4">
                  <c:v>ABXCN</c:v>
                </c:pt>
                <c:pt idx="5">
                  <c:v>YRICN</c:v>
                </c:pt>
                <c:pt idx="6">
                  <c:v>KGC</c:v>
                </c:pt>
              </c:strCache>
            </c:strRef>
          </c:cat>
          <c:val>
            <c:numRef>
              <c:f>'Tactical Trade'!$Y$27:$Y$33</c:f>
              <c:numCache>
                <c:formatCode>#,##0_);\(#,##0\)</c:formatCode>
                <c:ptCount val="7"/>
                <c:pt idx="0">
                  <c:v>453</c:v>
                </c:pt>
                <c:pt idx="1">
                  <c:v>382</c:v>
                </c:pt>
                <c:pt idx="2">
                  <c:v>517</c:v>
                </c:pt>
                <c:pt idx="3">
                  <c:v>460</c:v>
                </c:pt>
                <c:pt idx="4">
                  <c:v>187</c:v>
                </c:pt>
                <c:pt idx="5">
                  <c:v>165</c:v>
                </c:pt>
                <c:pt idx="6">
                  <c:v>287</c:v>
                </c:pt>
              </c:numCache>
            </c:numRef>
          </c:val>
          <c:extLst>
            <c:ext xmlns:c16="http://schemas.microsoft.com/office/drawing/2014/chart" uri="{C3380CC4-5D6E-409C-BE32-E72D297353CC}">
              <c16:uniqueId val="{00000000-4CAA-4C0C-B250-882BD8DC5321}"/>
            </c:ext>
          </c:extLst>
        </c:ser>
        <c:ser>
          <c:idx val="1"/>
          <c:order val="1"/>
          <c:tx>
            <c:strRef>
              <c:f>'Tactical Trade'!$Z$26</c:f>
              <c:strCache>
                <c:ptCount val="1"/>
                <c:pt idx="0">
                  <c:v>AISC</c:v>
                </c:pt>
              </c:strCache>
            </c:strRef>
          </c:tx>
          <c:spPr>
            <a:solidFill>
              <a:srgbClr val="C75F09"/>
            </a:solidFill>
            <a:ln>
              <a:noFill/>
            </a:ln>
            <a:effectLst/>
          </c:spPr>
          <c:invertIfNegative val="0"/>
          <c:cat>
            <c:strRef>
              <c:f>'Tactical Trade'!$X$27:$X$33</c:f>
              <c:strCache>
                <c:ptCount val="7"/>
                <c:pt idx="0">
                  <c:v>IMGCN</c:v>
                </c:pt>
                <c:pt idx="1">
                  <c:v>NGDCN</c:v>
                </c:pt>
                <c:pt idx="2">
                  <c:v>ELDCN</c:v>
                </c:pt>
                <c:pt idx="3">
                  <c:v>HL</c:v>
                </c:pt>
                <c:pt idx="4">
                  <c:v>ABXCN</c:v>
                </c:pt>
                <c:pt idx="5">
                  <c:v>YRICN</c:v>
                </c:pt>
                <c:pt idx="6">
                  <c:v>KGC</c:v>
                </c:pt>
              </c:strCache>
            </c:strRef>
          </c:cat>
          <c:val>
            <c:numRef>
              <c:f>'Tactical Trade'!$Z$27:$Z$33</c:f>
              <c:numCache>
                <c:formatCode>#,##0_);\(#,##0\)</c:formatCode>
                <c:ptCount val="7"/>
                <c:pt idx="0">
                  <c:v>1200</c:v>
                </c:pt>
                <c:pt idx="1">
                  <c:v>1250</c:v>
                </c:pt>
                <c:pt idx="2">
                  <c:v>950</c:v>
                </c:pt>
                <c:pt idx="3">
                  <c:v>1200</c:v>
                </c:pt>
                <c:pt idx="4">
                  <c:v>1100</c:v>
                </c:pt>
                <c:pt idx="5">
                  <c:v>1080</c:v>
                </c:pt>
                <c:pt idx="6">
                  <c:v>1000</c:v>
                </c:pt>
              </c:numCache>
            </c:numRef>
          </c:val>
          <c:extLst>
            <c:ext xmlns:c16="http://schemas.microsoft.com/office/drawing/2014/chart" uri="{C3380CC4-5D6E-409C-BE32-E72D297353CC}">
              <c16:uniqueId val="{00000001-4CAA-4C0C-B250-882BD8DC5321}"/>
            </c:ext>
          </c:extLst>
        </c:ser>
        <c:dLbls>
          <c:showLegendKey val="0"/>
          <c:showVal val="0"/>
          <c:showCatName val="0"/>
          <c:showSerName val="0"/>
          <c:showPercent val="0"/>
          <c:showBubbleSize val="0"/>
        </c:dLbls>
        <c:gapWidth val="219"/>
        <c:overlap val="-27"/>
        <c:axId val="2044856335"/>
        <c:axId val="1721183199"/>
      </c:barChart>
      <c:lineChart>
        <c:grouping val="standard"/>
        <c:varyColors val="0"/>
        <c:ser>
          <c:idx val="2"/>
          <c:order val="2"/>
          <c:tx>
            <c:strRef>
              <c:f>'Tactical Trade'!$AA$26</c:f>
              <c:strCache>
                <c:ptCount val="1"/>
                <c:pt idx="0">
                  <c:v>Net Debt / EV</c:v>
                </c:pt>
              </c:strCache>
            </c:strRef>
          </c:tx>
          <c:spPr>
            <a:ln w="28575" cap="rnd">
              <a:solidFill>
                <a:schemeClr val="accent3"/>
              </a:solidFill>
              <a:round/>
            </a:ln>
            <a:effectLst/>
          </c:spPr>
          <c:marker>
            <c:symbol val="none"/>
          </c:marker>
          <c:cat>
            <c:strRef>
              <c:f>'Tactical Trade'!$X$27:$X$33</c:f>
              <c:strCache>
                <c:ptCount val="7"/>
                <c:pt idx="0">
                  <c:v>IMGCN</c:v>
                </c:pt>
                <c:pt idx="1">
                  <c:v>NGDCN</c:v>
                </c:pt>
                <c:pt idx="2">
                  <c:v>ELDCN</c:v>
                </c:pt>
                <c:pt idx="3">
                  <c:v>HL</c:v>
                </c:pt>
                <c:pt idx="4">
                  <c:v>ABXCN</c:v>
                </c:pt>
                <c:pt idx="5">
                  <c:v>YRICN</c:v>
                </c:pt>
                <c:pt idx="6">
                  <c:v>KGC</c:v>
                </c:pt>
              </c:strCache>
            </c:strRef>
          </c:cat>
          <c:val>
            <c:numRef>
              <c:f>'Tactical Trade'!$AA$27:$AA$33</c:f>
              <c:numCache>
                <c:formatCode>0%</c:formatCode>
                <c:ptCount val="7"/>
                <c:pt idx="0">
                  <c:v>-0.3041709053916582</c:v>
                </c:pt>
                <c:pt idx="1">
                  <c:v>0.2988505747126437</c:v>
                </c:pt>
                <c:pt idx="2">
                  <c:v>2.5128865979381444E-2</c:v>
                </c:pt>
                <c:pt idx="3">
                  <c:v>0.10809985989182408</c:v>
                </c:pt>
                <c:pt idx="4">
                  <c:v>3.5155975343942623E-4</c:v>
                </c:pt>
                <c:pt idx="5">
                  <c:v>5.6897895557287609E-2</c:v>
                </c:pt>
                <c:pt idx="6">
                  <c:v>0.10132213023600642</c:v>
                </c:pt>
              </c:numCache>
            </c:numRef>
          </c:val>
          <c:smooth val="0"/>
          <c:extLst>
            <c:ext xmlns:c16="http://schemas.microsoft.com/office/drawing/2014/chart" uri="{C3380CC4-5D6E-409C-BE32-E72D297353CC}">
              <c16:uniqueId val="{00000002-4CAA-4C0C-B250-882BD8DC5321}"/>
            </c:ext>
          </c:extLst>
        </c:ser>
        <c:dLbls>
          <c:showLegendKey val="0"/>
          <c:showVal val="0"/>
          <c:showCatName val="0"/>
          <c:showSerName val="0"/>
          <c:showPercent val="0"/>
          <c:showBubbleSize val="0"/>
        </c:dLbls>
        <c:marker val="1"/>
        <c:smooth val="0"/>
        <c:axId val="2044858335"/>
        <c:axId val="1721182367"/>
      </c:lineChart>
      <c:catAx>
        <c:axId val="2044856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21183199"/>
        <c:crosses val="autoZero"/>
        <c:auto val="1"/>
        <c:lblAlgn val="ctr"/>
        <c:lblOffset val="100"/>
        <c:noMultiLvlLbl val="0"/>
      </c:catAx>
      <c:valAx>
        <c:axId val="1721183199"/>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44856335"/>
        <c:crosses val="autoZero"/>
        <c:crossBetween val="between"/>
      </c:valAx>
      <c:valAx>
        <c:axId val="1721182367"/>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44858335"/>
        <c:crosses val="max"/>
        <c:crossBetween val="between"/>
      </c:valAx>
      <c:catAx>
        <c:axId val="2044858335"/>
        <c:scaling>
          <c:orientation val="minMax"/>
        </c:scaling>
        <c:delete val="1"/>
        <c:axPos val="b"/>
        <c:numFmt formatCode="General" sourceLinked="1"/>
        <c:majorTickMark val="none"/>
        <c:minorTickMark val="none"/>
        <c:tickLblPos val="nextTo"/>
        <c:crossAx val="17211823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16</xdr:col>
      <xdr:colOff>103415</xdr:colOff>
      <xdr:row>15</xdr:row>
      <xdr:rowOff>163287</xdr:rowOff>
    </xdr:from>
    <xdr:to>
      <xdr:col>22</xdr:col>
      <xdr:colOff>1034143</xdr:colOff>
      <xdr:row>23</xdr:row>
      <xdr:rowOff>54430</xdr:rowOff>
    </xdr:to>
    <xdr:sp macro="" textlink="">
      <xdr:nvSpPr>
        <xdr:cNvPr id="2" name="TextBox 1">
          <a:extLst>
            <a:ext uri="{FF2B5EF4-FFF2-40B4-BE49-F238E27FC236}">
              <a16:creationId xmlns:a16="http://schemas.microsoft.com/office/drawing/2014/main" id="{FF5C5B15-8503-4D50-9B9B-992D1FF3E1AE}"/>
            </a:ext>
          </a:extLst>
        </xdr:cNvPr>
        <xdr:cNvSpPr txBox="1"/>
      </xdr:nvSpPr>
      <xdr:spPr>
        <a:xfrm>
          <a:off x="13565415" y="3608162"/>
          <a:ext cx="7217228" cy="1799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aseline="0"/>
            <a:t>•Mostly North America w/ singificant US assets, higher risk of strikes &amp; enviro issues in US</a:t>
          </a:r>
        </a:p>
        <a:p>
          <a:r>
            <a:rPr lang="en-US" sz="1400" baseline="0"/>
            <a:t>•Like other mid-tier miners, concentrated on the asset side: alaska silver mine 47% of rev, quebec gold mine 30% of rev, idaho silver mine 9% of rev </a:t>
          </a:r>
        </a:p>
        <a:p>
          <a:r>
            <a:rPr lang="en-US" sz="1400" baseline="0"/>
            <a:t>•Generate substantial revenue from less valuable biproducts (zinc and lead, combined almost 25%+ of rev.)</a:t>
          </a:r>
        </a:p>
        <a:p>
          <a:r>
            <a:rPr lang="en-US" sz="1400" baseline="0"/>
            <a:t>•Management has a mixed history of acquisitions, mosty recently bying Klondex in 2018 for $462mm which is only projected to produce $43mm of revenue in 2021</a:t>
          </a:r>
        </a:p>
        <a:p>
          <a:r>
            <a:rPr lang="en-US" sz="1400" baseline="0"/>
            <a:t>•35% equity claw at 107.25%</a:t>
          </a:r>
        </a:p>
        <a:p>
          <a:endParaRPr lang="en-US" sz="1400" baseline="0"/>
        </a:p>
      </xdr:txBody>
    </xdr:sp>
    <xdr:clientData/>
  </xdr:twoCellAnchor>
  <xdr:twoCellAnchor>
    <xdr:from>
      <xdr:col>2</xdr:col>
      <xdr:colOff>69273</xdr:colOff>
      <xdr:row>13</xdr:row>
      <xdr:rowOff>68036</xdr:rowOff>
    </xdr:from>
    <xdr:to>
      <xdr:col>11</xdr:col>
      <xdr:colOff>639536</xdr:colOff>
      <xdr:row>23</xdr:row>
      <xdr:rowOff>163286</xdr:rowOff>
    </xdr:to>
    <xdr:sp macro="" textlink="">
      <xdr:nvSpPr>
        <xdr:cNvPr id="3" name="TextBox 2">
          <a:extLst>
            <a:ext uri="{FF2B5EF4-FFF2-40B4-BE49-F238E27FC236}">
              <a16:creationId xmlns:a16="http://schemas.microsoft.com/office/drawing/2014/main" id="{7A5C0ED4-2947-4B22-BD11-39415CBEF2BA}"/>
            </a:ext>
          </a:extLst>
        </xdr:cNvPr>
        <xdr:cNvSpPr txBox="1"/>
      </xdr:nvSpPr>
      <xdr:spPr>
        <a:xfrm>
          <a:off x="361373" y="3036661"/>
          <a:ext cx="9542813" cy="2476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a:effectLst/>
            </a:rPr>
            <a:t>Hecla Mining is a mid size</a:t>
          </a:r>
          <a:r>
            <a:rPr lang="en-US" sz="1400" baseline="0">
              <a:effectLst/>
            </a:rPr>
            <a:t> silver and gold producer with assets in North America that has been around for over 100 years and public since the early 80's</a:t>
          </a:r>
          <a:r>
            <a:rPr lang="en-US" sz="1400">
              <a:effectLst/>
            </a:rPr>
            <a:t>. It also produces </a:t>
          </a:r>
          <a:r>
            <a:rPr lang="en-US" sz="1400" baseline="0">
              <a:effectLst/>
            </a:rPr>
            <a:t>lead, and zinc but these are a smaller % of revenue and not considered the company's core focus.</a:t>
          </a:r>
          <a:r>
            <a:rPr lang="en-US" sz="1400">
              <a:effectLst/>
            </a:rPr>
            <a:t> </a:t>
          </a:r>
          <a:r>
            <a:rPr lang="en-US" sz="1400" baseline="0">
              <a:effectLst/>
            </a:rPr>
            <a:t>In 2020, rev. was 38% silver, 52% gold, 14% zinc, 7% lead. In 2021 proj 41% silver, 41% gold, 20% zinc, 6% lead). </a:t>
          </a:r>
          <a:r>
            <a:rPr lang="en-US" sz="1400">
              <a:effectLst/>
            </a:rPr>
            <a:t>As</a:t>
          </a:r>
          <a:r>
            <a:rPr lang="en-US" sz="1400" baseline="0">
              <a:effectLst/>
            </a:rPr>
            <a:t> with most mid-tier prodcuers, its assets are relatively concentrated with 47% of LTM rev. from Greens Creek</a:t>
          </a:r>
          <a:r>
            <a:rPr lang="en-US" sz="1400">
              <a:effectLst/>
            </a:rPr>
            <a:t> (a</a:t>
          </a:r>
          <a:r>
            <a:rPr lang="en-US" sz="1400" baseline="0">
              <a:effectLst/>
            </a:rPr>
            <a:t> silver mine in Alaska)</a:t>
          </a:r>
          <a:r>
            <a:rPr lang="en-US" sz="1400">
              <a:effectLst/>
            </a:rPr>
            <a:t>, 30%</a:t>
          </a:r>
          <a:r>
            <a:rPr lang="en-US" sz="1400" baseline="0">
              <a:effectLst/>
            </a:rPr>
            <a:t> from </a:t>
          </a:r>
          <a:r>
            <a:rPr lang="en-US" sz="1400">
              <a:effectLst/>
            </a:rPr>
            <a:t>Casa Berardi (gold mine</a:t>
          </a:r>
          <a:r>
            <a:rPr lang="en-US" sz="1400" baseline="0">
              <a:effectLst/>
            </a:rPr>
            <a:t> in Quebec), and 9% from Lucky Friday (silver mine in Idaho).</a:t>
          </a:r>
          <a:r>
            <a:rPr lang="en-US" sz="1400">
              <a:effectLst/>
            </a:rPr>
            <a:t> It produces zinc, lead and bulk flotation concentrates at its Greens Creek unit and lead and zinc flotation concentrates at its Lucky Friday unit. AISC for silver</a:t>
          </a:r>
          <a:r>
            <a:rPr lang="en-US" sz="1400" baseline="0">
              <a:effectLst/>
            </a:rPr>
            <a:t> (10.75-12.50 '21-'23) and gold (1,200-1,300 '21-'23) are well in excess of current spot prices.</a:t>
          </a:r>
          <a:r>
            <a:rPr lang="en-US" sz="1400">
              <a:effectLst/>
            </a:rPr>
            <a:t> The company has a leverage target</a:t>
          </a:r>
          <a:r>
            <a:rPr lang="en-US" sz="1400" baseline="0">
              <a:effectLst/>
            </a:rPr>
            <a:t> of &lt;2x which it will be substantially under by the end of 2021. The company has a checkered history with acquistions, some created the co's key assets but others have been flops; most recently Klondex in 2018 bot for $462mm and will only do $43mm rev in 2021 while reserves have been cut in half. </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xdr:txBody>
    </xdr:sp>
    <xdr:clientData/>
  </xdr:twoCellAnchor>
  <xdr:twoCellAnchor>
    <xdr:from>
      <xdr:col>16</xdr:col>
      <xdr:colOff>81640</xdr:colOff>
      <xdr:row>7</xdr:row>
      <xdr:rowOff>95250</xdr:rowOff>
    </xdr:from>
    <xdr:to>
      <xdr:col>22</xdr:col>
      <xdr:colOff>925285</xdr:colOff>
      <xdr:row>13</xdr:row>
      <xdr:rowOff>68036</xdr:rowOff>
    </xdr:to>
    <xdr:sp macro="" textlink="">
      <xdr:nvSpPr>
        <xdr:cNvPr id="4" name="TextBox 3">
          <a:extLst>
            <a:ext uri="{FF2B5EF4-FFF2-40B4-BE49-F238E27FC236}">
              <a16:creationId xmlns:a16="http://schemas.microsoft.com/office/drawing/2014/main" id="{BC5E5F2B-E4D4-40EA-AA26-15C54A7C3DF7}"/>
            </a:ext>
          </a:extLst>
        </xdr:cNvPr>
        <xdr:cNvSpPr txBox="1"/>
      </xdr:nvSpPr>
      <xdr:spPr>
        <a:xfrm>
          <a:off x="13543640" y="1638300"/>
          <a:ext cx="7123795" cy="1398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n>
                <a:noFill/>
              </a:ln>
            </a:rPr>
            <a:t>•Conservative financial profile (10% net debt to EV 1.4x net debt to EBITDA)</a:t>
          </a:r>
        </a:p>
        <a:p>
          <a:r>
            <a:rPr lang="en-US" sz="1400">
              <a:ln>
                <a:noFill/>
              </a:ln>
            </a:rPr>
            <a:t>•Step change in sector fundamentals means improving credit profile </a:t>
          </a:r>
        </a:p>
        <a:p>
          <a:r>
            <a:rPr lang="en-US" sz="1400">
              <a:ln>
                <a:noFill/>
              </a:ln>
            </a:rPr>
            <a:t>•Sub $1,300 AISC on gold / sub $13 on silver</a:t>
          </a:r>
        </a:p>
        <a:p>
          <a:r>
            <a:rPr lang="en-US" sz="1400">
              <a:ln>
                <a:noFill/>
              </a:ln>
            </a:rPr>
            <a:t>•First call in '23 but could get tendered earlier if credit keeps improving</a:t>
          </a:r>
        </a:p>
        <a:p>
          <a:r>
            <a:rPr lang="en-US" sz="1400">
              <a:ln>
                <a:noFill/>
              </a:ln>
            </a:rPr>
            <a:t>•Potentially attractive acquistion candidated given jurisdiction / size / reserves</a:t>
          </a:r>
        </a:p>
        <a:p>
          <a:endParaRPr lang="en-US" sz="1400">
            <a:ln>
              <a:noFill/>
            </a:ln>
          </a:endParaRPr>
        </a:p>
      </xdr:txBody>
    </xdr:sp>
    <xdr:clientData/>
  </xdr:twoCellAnchor>
  <xdr:twoCellAnchor>
    <xdr:from>
      <xdr:col>16</xdr:col>
      <xdr:colOff>34636</xdr:colOff>
      <xdr:row>34</xdr:row>
      <xdr:rowOff>103909</xdr:rowOff>
    </xdr:from>
    <xdr:to>
      <xdr:col>22</xdr:col>
      <xdr:colOff>848591</xdr:colOff>
      <xdr:row>39</xdr:row>
      <xdr:rowOff>103909</xdr:rowOff>
    </xdr:to>
    <xdr:sp macro="" textlink="">
      <xdr:nvSpPr>
        <xdr:cNvPr id="5" name="TextBox 4">
          <a:extLst>
            <a:ext uri="{FF2B5EF4-FFF2-40B4-BE49-F238E27FC236}">
              <a16:creationId xmlns:a16="http://schemas.microsoft.com/office/drawing/2014/main" id="{E11B6942-42CE-45A7-B182-9DAABE097D75}"/>
            </a:ext>
          </a:extLst>
        </xdr:cNvPr>
        <xdr:cNvSpPr txBox="1"/>
      </xdr:nvSpPr>
      <xdr:spPr>
        <a:xfrm>
          <a:off x="13490286" y="8079509"/>
          <a:ext cx="7100455" cy="1190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Other</a:t>
          </a:r>
          <a:r>
            <a:rPr lang="en-US" sz="1400" b="1" u="sng" baseline="0">
              <a:solidFill>
                <a:schemeClr val="dk1"/>
              </a:solidFill>
              <a:effectLst/>
              <a:latin typeface="+mn-lt"/>
              <a:ea typeface="+mn-ea"/>
              <a:cs typeface="+mn-cs"/>
            </a:rPr>
            <a:t> Liquidity Considerations</a:t>
          </a:r>
          <a:endParaRPr lang="en-US" sz="1400">
            <a:effectLst/>
          </a:endParaRPr>
        </a:p>
        <a:p>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1st quarter is typically the lowest FCF quarter of the year due to working capital (incentive comp, other payables)</a:t>
          </a:r>
          <a:endParaRPr lang="en-US" sz="1400">
            <a:effectLst/>
          </a:endParaRPr>
        </a:p>
      </xdr:txBody>
    </xdr:sp>
    <xdr:clientData/>
  </xdr:twoCellAnchor>
  <xdr:twoCellAnchor>
    <xdr:from>
      <xdr:col>16</xdr:col>
      <xdr:colOff>95249</xdr:colOff>
      <xdr:row>41</xdr:row>
      <xdr:rowOff>95249</xdr:rowOff>
    </xdr:from>
    <xdr:to>
      <xdr:col>22</xdr:col>
      <xdr:colOff>380999</xdr:colOff>
      <xdr:row>54</xdr:row>
      <xdr:rowOff>68035</xdr:rowOff>
    </xdr:to>
    <xdr:sp macro="" textlink="">
      <xdr:nvSpPr>
        <xdr:cNvPr id="6" name="TextBox 5">
          <a:extLst>
            <a:ext uri="{FF2B5EF4-FFF2-40B4-BE49-F238E27FC236}">
              <a16:creationId xmlns:a16="http://schemas.microsoft.com/office/drawing/2014/main" id="{FD4A22F8-863F-422A-A466-0AEEF83EB4E9}"/>
            </a:ext>
          </a:extLst>
        </xdr:cNvPr>
        <xdr:cNvSpPr txBox="1"/>
      </xdr:nvSpPr>
      <xdr:spPr>
        <a:xfrm>
          <a:off x="13554074" y="9734549"/>
          <a:ext cx="6572250" cy="30652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85750" indent="-285750">
            <a:buFont typeface="Arial" panose="020B0604020202020204" pitchFamily="34" charset="0"/>
            <a:buChar char="•"/>
          </a:pPr>
          <a:r>
            <a:rPr lang="en-US" sz="1400" baseline="0"/>
            <a:t>Non-guarantor subs 5% of total assets / 2% of liabilities</a:t>
          </a:r>
        </a:p>
        <a:p>
          <a:pPr marL="285750" indent="-285750">
            <a:buFont typeface="Arial" panose="020B0604020202020204" pitchFamily="34" charset="0"/>
            <a:buChar char="•"/>
          </a:pPr>
          <a:r>
            <a:rPr lang="en-US" sz="1400" baseline="0"/>
            <a:t>Unlimited EBITDA addbacks that co. believes probably in next 6 months post acquistion, investments, disposal, merger, consolidation, discon. op. </a:t>
          </a:r>
        </a:p>
        <a:p>
          <a:pPr marL="285750" indent="-285750">
            <a:buFont typeface="Arial" panose="020B0604020202020204" pitchFamily="34" charset="0"/>
            <a:buChar char="•"/>
          </a:pPr>
          <a:r>
            <a:rPr lang="en-US" sz="1400" baseline="0"/>
            <a:t>Incurrence: 2x FCCR, $250mm credit facilities (can be used for loans and bonds), $110 or 5.5% CNTA general. class / re-class allowed. </a:t>
          </a:r>
        </a:p>
        <a:p>
          <a:pPr marL="285750" indent="-285750">
            <a:buFont typeface="Arial" panose="020B0604020202020204" pitchFamily="34" charset="0"/>
            <a:buChar char="•"/>
          </a:pPr>
          <a:r>
            <a:rPr lang="en-US" sz="1400" baseline="0"/>
            <a:t>Liens: credit faciliites, $100 or 5.5% CNTA general, capital lease / purchase $ $85 of 4.25% CNTA (limited to assets financed)</a:t>
          </a:r>
        </a:p>
        <a:p>
          <a:pPr marL="285750" indent="-285750">
            <a:buFont typeface="Arial" panose="020B0604020202020204" pitchFamily="34" charset="0"/>
            <a:buChar char="•"/>
          </a:pPr>
          <a:r>
            <a:rPr lang="en-US" sz="1400" baseline="0"/>
            <a:t>RP: 50% NI builder ($125 as of 12/31/19), $75mm general, $55mm per year carveout reduces builder basket. $110 / 5.5% investment basket. Unlimited in non-guarantor restricted subs. </a:t>
          </a:r>
        </a:p>
        <a:p>
          <a:pPr marL="285750" indent="-285750">
            <a:buFont typeface="Arial" panose="020B0604020202020204" pitchFamily="34" charset="0"/>
            <a:buChar char="•"/>
          </a:pPr>
          <a:r>
            <a:rPr lang="en-US" sz="1400" baseline="0"/>
            <a:t>101 CoC, no mergers trigger</a:t>
          </a:r>
        </a:p>
        <a:p>
          <a:endParaRPr lang="en-US" sz="1400" baseline="0"/>
        </a:p>
        <a:p>
          <a:endParaRPr lang="en-US" sz="1400" baseline="0"/>
        </a:p>
        <a:p>
          <a:endParaRPr lang="en-US" sz="1400" baseline="0"/>
        </a:p>
        <a:p>
          <a:endParaRPr lang="en-US" sz="1100"/>
        </a:p>
      </xdr:txBody>
    </xdr:sp>
    <xdr:clientData/>
  </xdr:twoCellAnchor>
  <xdr:twoCellAnchor editAs="oneCell">
    <xdr:from>
      <xdr:col>24</xdr:col>
      <xdr:colOff>0</xdr:colOff>
      <xdr:row>41</xdr:row>
      <xdr:rowOff>0</xdr:rowOff>
    </xdr:from>
    <xdr:to>
      <xdr:col>29</xdr:col>
      <xdr:colOff>523945</xdr:colOff>
      <xdr:row>50</xdr:row>
      <xdr:rowOff>8341</xdr:rowOff>
    </xdr:to>
    <xdr:pic>
      <xdr:nvPicPr>
        <xdr:cNvPr id="7" name="Picture 6">
          <a:extLst>
            <a:ext uri="{FF2B5EF4-FFF2-40B4-BE49-F238E27FC236}">
              <a16:creationId xmlns:a16="http://schemas.microsoft.com/office/drawing/2014/main" id="{B095FF0E-EC95-4FA7-9442-7A47976485FC}"/>
            </a:ext>
          </a:extLst>
        </xdr:cNvPr>
        <xdr:cNvPicPr>
          <a:picLocks noChangeAspect="1"/>
        </xdr:cNvPicPr>
      </xdr:nvPicPr>
      <xdr:blipFill>
        <a:blip xmlns:r="http://schemas.openxmlformats.org/officeDocument/2006/relationships" r:embed="rId1"/>
        <a:stretch>
          <a:fillRect/>
        </a:stretch>
      </xdr:blipFill>
      <xdr:spPr>
        <a:xfrm>
          <a:off x="20968607" y="9906000"/>
          <a:ext cx="6695238" cy="2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177801</xdr:colOff>
      <xdr:row>17</xdr:row>
      <xdr:rowOff>0</xdr:rowOff>
    </xdr:from>
    <xdr:to>
      <xdr:col>19</xdr:col>
      <xdr:colOff>660400</xdr:colOff>
      <xdr:row>35</xdr:row>
      <xdr:rowOff>139700</xdr:rowOff>
    </xdr:to>
    <xdr:sp macro="" textlink="">
      <xdr:nvSpPr>
        <xdr:cNvPr id="2" name="TextBox 1">
          <a:extLst>
            <a:ext uri="{FF2B5EF4-FFF2-40B4-BE49-F238E27FC236}">
              <a16:creationId xmlns:a16="http://schemas.microsoft.com/office/drawing/2014/main" id="{A219FAB4-757C-4992-8308-2732D8332A35}"/>
            </a:ext>
          </a:extLst>
        </xdr:cNvPr>
        <xdr:cNvSpPr txBox="1"/>
      </xdr:nvSpPr>
      <xdr:spPr>
        <a:xfrm>
          <a:off x="9169401" y="7334250"/>
          <a:ext cx="8502649" cy="4425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a:effectLst/>
            </a:rPr>
            <a:t>Trades</a:t>
          </a:r>
          <a:r>
            <a:rPr lang="en-US" sz="1400" baseline="0">
              <a:effectLst/>
            </a:rPr>
            <a:t> just inside B- rated gold producer New Gold. Also trades somewhat in line with similarly-rated non-precious metal bonds like US Steel and Suncoke. </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aseline="0">
              <a:effectLst/>
            </a:rPr>
            <a:t>Given risk profile (low jurisdictional risk, longer-cycle, high FCF) should trade closer to somethign like EAF or Graftec at 300 spread or better.</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aseline="0">
              <a:effectLst/>
            </a:rPr>
            <a:t>Versus general index spreads, at ~400 it trades in between a B1 (383 spread) and B2 (450 spread) for this duration. I view it as a BB- credit risk-wise which is, again, around 300 spread for this duration. </a:t>
          </a:r>
          <a:endParaRPr lang="en-US" sz="1400">
            <a:effectLst/>
          </a:endParaRPr>
        </a:p>
      </xdr:txBody>
    </xdr:sp>
    <xdr:clientData/>
  </xdr:twoCellAnchor>
  <xdr:twoCellAnchor>
    <xdr:from>
      <xdr:col>2</xdr:col>
      <xdr:colOff>139700</xdr:colOff>
      <xdr:row>38</xdr:row>
      <xdr:rowOff>203200</xdr:rowOff>
    </xdr:from>
    <xdr:to>
      <xdr:col>10</xdr:col>
      <xdr:colOff>558800</xdr:colOff>
      <xdr:row>49</xdr:row>
      <xdr:rowOff>152400</xdr:rowOff>
    </xdr:to>
    <xdr:sp macro="" textlink="">
      <xdr:nvSpPr>
        <xdr:cNvPr id="3" name="TextBox 2">
          <a:extLst>
            <a:ext uri="{FF2B5EF4-FFF2-40B4-BE49-F238E27FC236}">
              <a16:creationId xmlns:a16="http://schemas.microsoft.com/office/drawing/2014/main" id="{83B6D441-63AB-4D56-AB05-BA35255DE3C0}"/>
            </a:ext>
          </a:extLst>
        </xdr:cNvPr>
        <xdr:cNvSpPr txBox="1"/>
      </xdr:nvSpPr>
      <xdr:spPr>
        <a:xfrm>
          <a:off x="415925" y="12557125"/>
          <a:ext cx="8353425" cy="2568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a:effectLst/>
            </a:rPr>
            <a:t>Strong FCF given the current prevailing</a:t>
          </a:r>
          <a:r>
            <a:rPr lang="en-US" sz="1400" baseline="0">
              <a:effectLst/>
            </a:rPr>
            <a:t> prices. I don't know management well but they have mixed reviews from analysts. Covenants are typically weak, as you'd see in any other unsecured HY bond today. </a:t>
          </a: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xdr:txBody>
    </xdr:sp>
    <xdr:clientData/>
  </xdr:twoCellAnchor>
  <xdr:twoCellAnchor>
    <xdr:from>
      <xdr:col>11</xdr:col>
      <xdr:colOff>152400</xdr:colOff>
      <xdr:row>38</xdr:row>
      <xdr:rowOff>190500</xdr:rowOff>
    </xdr:from>
    <xdr:to>
      <xdr:col>19</xdr:col>
      <xdr:colOff>723900</xdr:colOff>
      <xdr:row>49</xdr:row>
      <xdr:rowOff>215900</xdr:rowOff>
    </xdr:to>
    <xdr:sp macro="" textlink="">
      <xdr:nvSpPr>
        <xdr:cNvPr id="4" name="TextBox 3">
          <a:extLst>
            <a:ext uri="{FF2B5EF4-FFF2-40B4-BE49-F238E27FC236}">
              <a16:creationId xmlns:a16="http://schemas.microsoft.com/office/drawing/2014/main" id="{47AEEB8D-A3A1-44AE-A1BF-5D5AA494E8C3}"/>
            </a:ext>
          </a:extLst>
        </xdr:cNvPr>
        <xdr:cNvSpPr txBox="1"/>
      </xdr:nvSpPr>
      <xdr:spPr>
        <a:xfrm>
          <a:off x="9144000" y="12544425"/>
          <a:ext cx="8591550" cy="2644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a:effectLst/>
            </a:rPr>
            <a:t>Presentating at the Denver gold forum the</a:t>
          </a:r>
          <a:r>
            <a:rPr lang="en-US" sz="1400" baseline="0">
              <a:effectLst/>
            </a:rPr>
            <a:t> week of September 12th. </a:t>
          </a: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xdr:txBody>
    </xdr:sp>
    <xdr:clientData/>
  </xdr:twoCellAnchor>
  <xdr:twoCellAnchor>
    <xdr:from>
      <xdr:col>2</xdr:col>
      <xdr:colOff>0</xdr:colOff>
      <xdr:row>16</xdr:row>
      <xdr:rowOff>127000</xdr:rowOff>
    </xdr:from>
    <xdr:to>
      <xdr:col>10</xdr:col>
      <xdr:colOff>647700</xdr:colOff>
      <xdr:row>36</xdr:row>
      <xdr:rowOff>149319</xdr:rowOff>
    </xdr:to>
    <xdr:graphicFrame macro="">
      <xdr:nvGraphicFramePr>
        <xdr:cNvPr id="8" name="Chart 7">
          <a:extLst>
            <a:ext uri="{FF2B5EF4-FFF2-40B4-BE49-F238E27FC236}">
              <a16:creationId xmlns:a16="http://schemas.microsoft.com/office/drawing/2014/main" id="{CCEAC0B7-00EB-471A-A003-548F982E1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114300</xdr:colOff>
      <xdr:row>6</xdr:row>
      <xdr:rowOff>152400</xdr:rowOff>
    </xdr:from>
    <xdr:to>
      <xdr:col>10</xdr:col>
      <xdr:colOff>314325</xdr:colOff>
      <xdr:row>14</xdr:row>
      <xdr:rowOff>27153</xdr:rowOff>
    </xdr:to>
    <xdr:pic>
      <xdr:nvPicPr>
        <xdr:cNvPr id="5" name="Picture 4">
          <a:extLst>
            <a:ext uri="{FF2B5EF4-FFF2-40B4-BE49-F238E27FC236}">
              <a16:creationId xmlns:a16="http://schemas.microsoft.com/office/drawing/2014/main" id="{03A00FDB-5B85-4CD6-BC93-D62D876E3758}"/>
            </a:ext>
          </a:extLst>
        </xdr:cNvPr>
        <xdr:cNvPicPr>
          <a:picLocks noChangeAspect="1"/>
        </xdr:cNvPicPr>
      </xdr:nvPicPr>
      <xdr:blipFill>
        <a:blip xmlns:r="http://schemas.openxmlformats.org/officeDocument/2006/relationships" r:embed="rId2"/>
        <a:stretch>
          <a:fillRect/>
        </a:stretch>
      </xdr:blipFill>
      <xdr:spPr>
        <a:xfrm>
          <a:off x="393700" y="1663700"/>
          <a:ext cx="8166100" cy="5002378"/>
        </a:xfrm>
        <a:prstGeom prst="rect">
          <a:avLst/>
        </a:prstGeom>
      </xdr:spPr>
    </xdr:pic>
    <xdr:clientData/>
  </xdr:twoCellAnchor>
  <xdr:twoCellAnchor editAs="oneCell">
    <xdr:from>
      <xdr:col>11</xdr:col>
      <xdr:colOff>355600</xdr:colOff>
      <xdr:row>6</xdr:row>
      <xdr:rowOff>215900</xdr:rowOff>
    </xdr:from>
    <xdr:to>
      <xdr:col>18</xdr:col>
      <xdr:colOff>883368</xdr:colOff>
      <xdr:row>14</xdr:row>
      <xdr:rowOff>182444</xdr:rowOff>
    </xdr:to>
    <xdr:pic>
      <xdr:nvPicPr>
        <xdr:cNvPr id="9" name="Picture 8">
          <a:extLst>
            <a:ext uri="{FF2B5EF4-FFF2-40B4-BE49-F238E27FC236}">
              <a16:creationId xmlns:a16="http://schemas.microsoft.com/office/drawing/2014/main" id="{30177FED-2425-40C1-8BFD-34DB07807A39}"/>
            </a:ext>
          </a:extLst>
        </xdr:cNvPr>
        <xdr:cNvPicPr>
          <a:picLocks noChangeAspect="1"/>
        </xdr:cNvPicPr>
      </xdr:nvPicPr>
      <xdr:blipFill>
        <a:blip xmlns:r="http://schemas.openxmlformats.org/officeDocument/2006/relationships" r:embed="rId3"/>
        <a:stretch>
          <a:fillRect/>
        </a:stretch>
      </xdr:blipFill>
      <xdr:spPr>
        <a:xfrm>
          <a:off x="9385300" y="1727200"/>
          <a:ext cx="7300043" cy="51005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35</xdr:col>
      <xdr:colOff>53974</xdr:colOff>
      <xdr:row>158</xdr:row>
      <xdr:rowOff>125232</xdr:rowOff>
    </xdr:from>
    <xdr:to>
      <xdr:col>46</xdr:col>
      <xdr:colOff>161924</xdr:colOff>
      <xdr:row>190</xdr:row>
      <xdr:rowOff>98032</xdr:rowOff>
    </xdr:to>
    <xdr:pic>
      <xdr:nvPicPr>
        <xdr:cNvPr id="2" name="Picture 1">
          <a:extLst>
            <a:ext uri="{FF2B5EF4-FFF2-40B4-BE49-F238E27FC236}">
              <a16:creationId xmlns:a16="http://schemas.microsoft.com/office/drawing/2014/main" id="{B2DE2BCC-75A2-F0B1-8F6D-CAF36F523FFC}"/>
            </a:ext>
          </a:extLst>
        </xdr:cNvPr>
        <xdr:cNvPicPr>
          <a:picLocks noChangeAspect="1"/>
        </xdr:cNvPicPr>
      </xdr:nvPicPr>
      <xdr:blipFill>
        <a:blip xmlns:r="http://schemas.openxmlformats.org/officeDocument/2006/relationships" r:embed="rId1"/>
        <a:stretch>
          <a:fillRect/>
        </a:stretch>
      </xdr:blipFill>
      <xdr:spPr>
        <a:xfrm>
          <a:off x="16837024" y="19384782"/>
          <a:ext cx="7127875" cy="4240000"/>
        </a:xfrm>
        <a:prstGeom prst="rect">
          <a:avLst/>
        </a:prstGeom>
      </xdr:spPr>
    </xdr:pic>
    <xdr:clientData/>
  </xdr:twoCellAnchor>
  <xdr:twoCellAnchor editAs="oneCell">
    <xdr:from>
      <xdr:col>35</xdr:col>
      <xdr:colOff>38100</xdr:colOff>
      <xdr:row>205</xdr:row>
      <xdr:rowOff>123896</xdr:rowOff>
    </xdr:from>
    <xdr:to>
      <xdr:col>46</xdr:col>
      <xdr:colOff>46397</xdr:colOff>
      <xdr:row>235</xdr:row>
      <xdr:rowOff>126999</xdr:rowOff>
    </xdr:to>
    <xdr:pic>
      <xdr:nvPicPr>
        <xdr:cNvPr id="3" name="Picture 2">
          <a:extLst>
            <a:ext uri="{FF2B5EF4-FFF2-40B4-BE49-F238E27FC236}">
              <a16:creationId xmlns:a16="http://schemas.microsoft.com/office/drawing/2014/main" id="{550F73FE-EB84-D766-7FF8-DF487EF4C9E2}"/>
            </a:ext>
          </a:extLst>
        </xdr:cNvPr>
        <xdr:cNvPicPr>
          <a:picLocks noChangeAspect="1"/>
        </xdr:cNvPicPr>
      </xdr:nvPicPr>
      <xdr:blipFill>
        <a:blip xmlns:r="http://schemas.openxmlformats.org/officeDocument/2006/relationships" r:embed="rId2"/>
        <a:stretch>
          <a:fillRect/>
        </a:stretch>
      </xdr:blipFill>
      <xdr:spPr>
        <a:xfrm>
          <a:off x="23202900" y="25450871"/>
          <a:ext cx="7031397" cy="3895653"/>
        </a:xfrm>
        <a:prstGeom prst="rect">
          <a:avLst/>
        </a:prstGeom>
      </xdr:spPr>
    </xdr:pic>
    <xdr:clientData/>
  </xdr:twoCellAnchor>
  <xdr:twoCellAnchor editAs="oneCell">
    <xdr:from>
      <xdr:col>35</xdr:col>
      <xdr:colOff>158750</xdr:colOff>
      <xdr:row>277</xdr:row>
      <xdr:rowOff>112142</xdr:rowOff>
    </xdr:from>
    <xdr:to>
      <xdr:col>45</xdr:col>
      <xdr:colOff>568325</xdr:colOff>
      <xdr:row>309</xdr:row>
      <xdr:rowOff>69359</xdr:rowOff>
    </xdr:to>
    <xdr:pic>
      <xdr:nvPicPr>
        <xdr:cNvPr id="4" name="Picture 3">
          <a:extLst>
            <a:ext uri="{FF2B5EF4-FFF2-40B4-BE49-F238E27FC236}">
              <a16:creationId xmlns:a16="http://schemas.microsoft.com/office/drawing/2014/main" id="{E65555D0-E906-BF90-FF08-0E84757014F6}"/>
            </a:ext>
          </a:extLst>
        </xdr:cNvPr>
        <xdr:cNvPicPr>
          <a:picLocks noChangeAspect="1"/>
        </xdr:cNvPicPr>
      </xdr:nvPicPr>
      <xdr:blipFill>
        <a:blip xmlns:r="http://schemas.openxmlformats.org/officeDocument/2006/relationships" r:embed="rId3"/>
        <a:stretch>
          <a:fillRect/>
        </a:stretch>
      </xdr:blipFill>
      <xdr:spPr>
        <a:xfrm>
          <a:off x="16941800" y="34935542"/>
          <a:ext cx="6791325" cy="3919617"/>
        </a:xfrm>
        <a:prstGeom prst="rect">
          <a:avLst/>
        </a:prstGeom>
      </xdr:spPr>
    </xdr:pic>
    <xdr:clientData/>
  </xdr:twoCellAnchor>
  <xdr:twoCellAnchor editAs="oneCell">
    <xdr:from>
      <xdr:col>35</xdr:col>
      <xdr:colOff>228598</xdr:colOff>
      <xdr:row>500</xdr:row>
      <xdr:rowOff>101600</xdr:rowOff>
    </xdr:from>
    <xdr:to>
      <xdr:col>46</xdr:col>
      <xdr:colOff>19049</xdr:colOff>
      <xdr:row>532</xdr:row>
      <xdr:rowOff>1605</xdr:rowOff>
    </xdr:to>
    <xdr:pic>
      <xdr:nvPicPr>
        <xdr:cNvPr id="5" name="Picture 4">
          <a:extLst>
            <a:ext uri="{FF2B5EF4-FFF2-40B4-BE49-F238E27FC236}">
              <a16:creationId xmlns:a16="http://schemas.microsoft.com/office/drawing/2014/main" id="{3CF66160-D465-4DCF-5ADF-37DB1E118D32}"/>
            </a:ext>
          </a:extLst>
        </xdr:cNvPr>
        <xdr:cNvPicPr>
          <a:picLocks noChangeAspect="1"/>
        </xdr:cNvPicPr>
      </xdr:nvPicPr>
      <xdr:blipFill>
        <a:blip xmlns:r="http://schemas.openxmlformats.org/officeDocument/2006/relationships" r:embed="rId4"/>
        <a:stretch>
          <a:fillRect/>
        </a:stretch>
      </xdr:blipFill>
      <xdr:spPr>
        <a:xfrm>
          <a:off x="17011648" y="64052450"/>
          <a:ext cx="6810376" cy="3862405"/>
        </a:xfrm>
        <a:prstGeom prst="rect">
          <a:avLst/>
        </a:prstGeom>
      </xdr:spPr>
    </xdr:pic>
    <xdr:clientData/>
  </xdr:twoCellAnchor>
  <xdr:twoCellAnchor editAs="oneCell">
    <xdr:from>
      <xdr:col>35</xdr:col>
      <xdr:colOff>247650</xdr:colOff>
      <xdr:row>248</xdr:row>
      <xdr:rowOff>2537</xdr:rowOff>
    </xdr:from>
    <xdr:to>
      <xdr:col>45</xdr:col>
      <xdr:colOff>1454</xdr:colOff>
      <xdr:row>273</xdr:row>
      <xdr:rowOff>105589</xdr:rowOff>
    </xdr:to>
    <xdr:pic>
      <xdr:nvPicPr>
        <xdr:cNvPr id="6" name="Picture 5">
          <a:extLst>
            <a:ext uri="{FF2B5EF4-FFF2-40B4-BE49-F238E27FC236}">
              <a16:creationId xmlns:a16="http://schemas.microsoft.com/office/drawing/2014/main" id="{0E06E0AA-BDB9-C7F2-01A0-CB6E7036ABD4}"/>
            </a:ext>
          </a:extLst>
        </xdr:cNvPr>
        <xdr:cNvPicPr>
          <a:picLocks noChangeAspect="1"/>
        </xdr:cNvPicPr>
      </xdr:nvPicPr>
      <xdr:blipFill>
        <a:blip xmlns:r="http://schemas.openxmlformats.org/officeDocument/2006/relationships" r:embed="rId5"/>
        <a:stretch>
          <a:fillRect/>
        </a:stretch>
      </xdr:blipFill>
      <xdr:spPr>
        <a:xfrm>
          <a:off x="17030700" y="30958787"/>
          <a:ext cx="6135554" cy="3436802"/>
        </a:xfrm>
        <a:prstGeom prst="rect">
          <a:avLst/>
        </a:prstGeom>
      </xdr:spPr>
    </xdr:pic>
    <xdr:clientData/>
  </xdr:twoCellAnchor>
  <xdr:twoCellAnchor editAs="oneCell">
    <xdr:from>
      <xdr:col>35</xdr:col>
      <xdr:colOff>196850</xdr:colOff>
      <xdr:row>469</xdr:row>
      <xdr:rowOff>124857</xdr:rowOff>
    </xdr:from>
    <xdr:to>
      <xdr:col>45</xdr:col>
      <xdr:colOff>372928</xdr:colOff>
      <xdr:row>499</xdr:row>
      <xdr:rowOff>859</xdr:rowOff>
    </xdr:to>
    <xdr:pic>
      <xdr:nvPicPr>
        <xdr:cNvPr id="7" name="Picture 6">
          <a:extLst>
            <a:ext uri="{FF2B5EF4-FFF2-40B4-BE49-F238E27FC236}">
              <a16:creationId xmlns:a16="http://schemas.microsoft.com/office/drawing/2014/main" id="{E9D5F8FF-0F3C-E851-E3CF-233A19C523C9}"/>
            </a:ext>
          </a:extLst>
        </xdr:cNvPr>
        <xdr:cNvPicPr>
          <a:picLocks noChangeAspect="1"/>
        </xdr:cNvPicPr>
      </xdr:nvPicPr>
      <xdr:blipFill>
        <a:blip xmlns:r="http://schemas.openxmlformats.org/officeDocument/2006/relationships" r:embed="rId6"/>
        <a:stretch>
          <a:fillRect/>
        </a:stretch>
      </xdr:blipFill>
      <xdr:spPr>
        <a:xfrm>
          <a:off x="16979900" y="59941857"/>
          <a:ext cx="6557828" cy="3876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76199</xdr:colOff>
      <xdr:row>55</xdr:row>
      <xdr:rowOff>65536</xdr:rowOff>
    </xdr:from>
    <xdr:to>
      <xdr:col>13</xdr:col>
      <xdr:colOff>370102</xdr:colOff>
      <xdr:row>88</xdr:row>
      <xdr:rowOff>115302</xdr:rowOff>
    </xdr:to>
    <xdr:pic>
      <xdr:nvPicPr>
        <xdr:cNvPr id="2" name="Picture 1">
          <a:extLst>
            <a:ext uri="{FF2B5EF4-FFF2-40B4-BE49-F238E27FC236}">
              <a16:creationId xmlns:a16="http://schemas.microsoft.com/office/drawing/2014/main" id="{E1949FFB-5F13-4187-B794-4ADEFF82D805}"/>
            </a:ext>
          </a:extLst>
        </xdr:cNvPr>
        <xdr:cNvPicPr>
          <a:picLocks noChangeAspect="1"/>
        </xdr:cNvPicPr>
      </xdr:nvPicPr>
      <xdr:blipFill>
        <a:blip xmlns:r="http://schemas.openxmlformats.org/officeDocument/2006/relationships" r:embed="rId1"/>
        <a:stretch>
          <a:fillRect/>
        </a:stretch>
      </xdr:blipFill>
      <xdr:spPr>
        <a:xfrm>
          <a:off x="200024" y="7085461"/>
          <a:ext cx="7993278" cy="4450316"/>
        </a:xfrm>
        <a:prstGeom prst="rect">
          <a:avLst/>
        </a:prstGeom>
      </xdr:spPr>
    </xdr:pic>
    <xdr:clientData/>
  </xdr:twoCellAnchor>
  <xdr:twoCellAnchor editAs="oneCell">
    <xdr:from>
      <xdr:col>9</xdr:col>
      <xdr:colOff>305361</xdr:colOff>
      <xdr:row>18</xdr:row>
      <xdr:rowOff>105522</xdr:rowOff>
    </xdr:from>
    <xdr:to>
      <xdr:col>21</xdr:col>
      <xdr:colOff>325621</xdr:colOff>
      <xdr:row>54</xdr:row>
      <xdr:rowOff>114300</xdr:rowOff>
    </xdr:to>
    <xdr:pic>
      <xdr:nvPicPr>
        <xdr:cNvPr id="3" name="Picture 2">
          <a:extLst>
            <a:ext uri="{FF2B5EF4-FFF2-40B4-BE49-F238E27FC236}">
              <a16:creationId xmlns:a16="http://schemas.microsoft.com/office/drawing/2014/main" id="{B6C01ADB-3CC3-4EA7-9E7F-751820B35FEE}"/>
            </a:ext>
          </a:extLst>
        </xdr:cNvPr>
        <xdr:cNvPicPr>
          <a:picLocks noChangeAspect="1"/>
        </xdr:cNvPicPr>
      </xdr:nvPicPr>
      <xdr:blipFill>
        <a:blip xmlns:r="http://schemas.openxmlformats.org/officeDocument/2006/relationships" r:embed="rId2"/>
        <a:stretch>
          <a:fillRect/>
        </a:stretch>
      </xdr:blipFill>
      <xdr:spPr>
        <a:xfrm>
          <a:off x="5572686" y="2505822"/>
          <a:ext cx="7678360" cy="44950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228600</xdr:colOff>
      <xdr:row>17</xdr:row>
      <xdr:rowOff>127000</xdr:rowOff>
    </xdr:from>
    <xdr:to>
      <xdr:col>10</xdr:col>
      <xdr:colOff>723900</xdr:colOff>
      <xdr:row>38</xdr:row>
      <xdr:rowOff>0</xdr:rowOff>
    </xdr:to>
    <xdr:sp macro="" textlink="">
      <xdr:nvSpPr>
        <xdr:cNvPr id="2" name="TextBox 1">
          <a:extLst>
            <a:ext uri="{FF2B5EF4-FFF2-40B4-BE49-F238E27FC236}">
              <a16:creationId xmlns:a16="http://schemas.microsoft.com/office/drawing/2014/main" id="{141ADEDA-7B8D-42DD-884F-F0CA8D030B4F}"/>
            </a:ext>
          </a:extLst>
        </xdr:cNvPr>
        <xdr:cNvSpPr txBox="1"/>
      </xdr:nvSpPr>
      <xdr:spPr>
        <a:xfrm>
          <a:off x="1504950" y="3200400"/>
          <a:ext cx="5514975" cy="3676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u="sng">
              <a:effectLst/>
            </a:rPr>
            <a:t>Summary</a:t>
          </a:r>
          <a:r>
            <a:rPr lang="en-US" sz="1400" b="1" u="sng" baseline="0">
              <a:effectLst/>
            </a:rPr>
            <a:t> Thesis</a:t>
          </a:r>
        </a:p>
        <a:p>
          <a:pPr eaLnBrk="1" fontAlgn="auto" latinLnBrk="0" hangingPunct="1"/>
          <a:r>
            <a:rPr lang="en-US" sz="1400">
              <a:solidFill>
                <a:schemeClr val="dk1"/>
              </a:solidFill>
              <a:effectLst/>
              <a:latin typeface="+mn-lt"/>
              <a:ea typeface="+mn-ea"/>
              <a:cs typeface="+mn-cs"/>
            </a:rPr>
            <a:t>•Conservative</a:t>
          </a:r>
          <a:r>
            <a:rPr lang="en-US" sz="1400" baseline="0">
              <a:solidFill>
                <a:schemeClr val="dk1"/>
              </a:solidFill>
              <a:effectLst/>
              <a:latin typeface="+mn-lt"/>
              <a:ea typeface="+mn-ea"/>
              <a:cs typeface="+mn-cs"/>
            </a:rPr>
            <a:t> financial profile (10% net debt to EV 1.4x net debt to EBITDA)</a:t>
          </a:r>
        </a:p>
        <a:p>
          <a:pPr eaLnBrk="1" fontAlgn="auto" latinLnBrk="0" hangingPunct="1"/>
          <a:r>
            <a:rPr lang="en-US" sz="1400" baseline="0">
              <a:solidFill>
                <a:schemeClr val="dk1"/>
              </a:solidFill>
              <a:effectLst/>
              <a:latin typeface="+mn-lt"/>
              <a:ea typeface="+mn-ea"/>
              <a:cs typeface="+mn-cs"/>
            </a:rPr>
            <a:t>•Step change in sector fundamentals means improving credit profile </a:t>
          </a:r>
        </a:p>
        <a:p>
          <a:pPr eaLnBrk="1" fontAlgn="auto" latinLnBrk="0" hangingPunct="1"/>
          <a:r>
            <a:rPr lang="en-US" sz="1400" baseline="0">
              <a:solidFill>
                <a:schemeClr val="dk1"/>
              </a:solidFill>
              <a:effectLst/>
              <a:latin typeface="+mn-lt"/>
              <a:ea typeface="+mn-ea"/>
              <a:cs typeface="+mn-cs"/>
            </a:rPr>
            <a:t>•Sub $1,300 AISC on gold / sub $13 on silver</a:t>
          </a:r>
        </a:p>
        <a:p>
          <a:pPr eaLnBrk="1" fontAlgn="auto" latinLnBrk="0" hangingPunct="1"/>
          <a:r>
            <a:rPr lang="en-US" sz="1400" baseline="0">
              <a:solidFill>
                <a:schemeClr val="dk1"/>
              </a:solidFill>
              <a:effectLst/>
              <a:latin typeface="+mn-lt"/>
              <a:ea typeface="+mn-ea"/>
              <a:cs typeface="+mn-cs"/>
            </a:rPr>
            <a:t>•First call in '23 but could get tendered earlier if credit keeps improving</a:t>
          </a:r>
        </a:p>
        <a:p>
          <a:pPr eaLnBrk="1" fontAlgn="auto" latinLnBrk="0" hangingPunct="1"/>
          <a:r>
            <a:rPr lang="en-US" sz="1400" baseline="0">
              <a:solidFill>
                <a:schemeClr val="dk1"/>
              </a:solidFill>
              <a:effectLst/>
              <a:latin typeface="+mn-lt"/>
              <a:ea typeface="+mn-ea"/>
              <a:cs typeface="+mn-cs"/>
            </a:rPr>
            <a:t>•Potentially attractive acquistion candidated given jurisdiction / size / reserves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u="sng" baseline="0">
              <a:effectLst/>
            </a:rPr>
            <a:t>Relative Value Rationale</a:t>
          </a:r>
        </a:p>
        <a:p>
          <a:pPr eaLnBrk="1" fontAlgn="auto" latinLnBrk="0" hangingPunct="1"/>
          <a:r>
            <a:rPr lang="en-US" sz="1400">
              <a:solidFill>
                <a:schemeClr val="dk1"/>
              </a:solidFill>
              <a:effectLst/>
              <a:latin typeface="+mn-lt"/>
              <a:ea typeface="+mn-ea"/>
              <a:cs typeface="+mn-cs"/>
            </a:rPr>
            <a:t>Mid</a:t>
          </a:r>
          <a:r>
            <a:rPr lang="en-US" sz="1400" baseline="0">
              <a:solidFill>
                <a:schemeClr val="dk1"/>
              </a:solidFill>
              <a:effectLst/>
              <a:latin typeface="+mn-lt"/>
              <a:ea typeface="+mn-ea"/>
              <a:cs typeface="+mn-cs"/>
            </a:rPr>
            <a:t> 300's</a:t>
          </a:r>
          <a:r>
            <a:rPr lang="en-US" sz="1400">
              <a:solidFill>
                <a:schemeClr val="dk1"/>
              </a:solidFill>
              <a:effectLst/>
              <a:latin typeface="+mn-lt"/>
              <a:ea typeface="+mn-ea"/>
              <a:cs typeface="+mn-cs"/>
            </a:rPr>
            <a:t> OAS</a:t>
          </a:r>
          <a:r>
            <a:rPr lang="en-US" sz="1400" baseline="0">
              <a:solidFill>
                <a:schemeClr val="dk1"/>
              </a:solidFill>
              <a:effectLst/>
              <a:latin typeface="+mn-lt"/>
              <a:ea typeface="+mn-ea"/>
              <a:cs typeface="+mn-cs"/>
            </a:rPr>
            <a:t> for 2.9 OAD is in line with high single-B which is commensurate with the risk profile. Precious metals miners add an attractive element of countercyclicality. </a:t>
          </a:r>
          <a:endParaRPr lang="en-US" sz="1400"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b="1" u="sng"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u="sng" baseline="0">
              <a:effectLst/>
            </a:rPr>
            <a:t>Risks / Downside</a:t>
          </a:r>
        </a:p>
        <a:p>
          <a:pPr marL="0" marR="0" lvl="0" indent="0" defTabSz="914400" eaLnBrk="1" fontAlgn="auto" latinLnBrk="0" hangingPunct="1">
            <a:lnSpc>
              <a:spcPct val="100000"/>
            </a:lnSpc>
            <a:spcBef>
              <a:spcPts val="0"/>
            </a:spcBef>
            <a:spcAft>
              <a:spcPts val="0"/>
            </a:spcAft>
            <a:buClrTx/>
            <a:buSzTx/>
            <a:buFontTx/>
            <a:buNone/>
            <a:tabLst/>
            <a:defRPr/>
          </a:pPr>
          <a:r>
            <a:rPr lang="en-US" sz="1400">
              <a:effectLst/>
            </a:rPr>
            <a:t>•</a:t>
          </a:r>
          <a:r>
            <a:rPr lang="en-US" sz="1400" baseline="0">
              <a:effectLst/>
            </a:rPr>
            <a:t>•Majority of assets are silver (70% vs. 30% gold). Main biproducts are lead and zinc, need to understand amount of credits and sensitivity there. </a:t>
          </a:r>
        </a:p>
        <a:p>
          <a:pPr marL="0" marR="0" lvl="0" indent="0" defTabSz="914400" eaLnBrk="1" fontAlgn="auto" latinLnBrk="0" hangingPunct="1">
            <a:lnSpc>
              <a:spcPct val="100000"/>
            </a:lnSpc>
            <a:spcBef>
              <a:spcPts val="0"/>
            </a:spcBef>
            <a:spcAft>
              <a:spcPts val="0"/>
            </a:spcAft>
            <a:buClrTx/>
            <a:buSzTx/>
            <a:buFontTx/>
            <a:buNone/>
            <a:tabLst/>
            <a:defRPr/>
          </a:pPr>
          <a:r>
            <a:rPr lang="en-US" sz="1400" baseline="0">
              <a:effectLst/>
            </a:rPr>
            <a:t>•Mostly North America w/ singificant US assets, higher risk of strikes &amp; enviro issues in US</a:t>
          </a:r>
        </a:p>
        <a:p>
          <a:pPr marL="0" marR="0" lvl="0" indent="0" defTabSz="914400" eaLnBrk="1" fontAlgn="auto" latinLnBrk="0" hangingPunct="1">
            <a:lnSpc>
              <a:spcPct val="100000"/>
            </a:lnSpc>
            <a:spcBef>
              <a:spcPts val="0"/>
            </a:spcBef>
            <a:spcAft>
              <a:spcPts val="0"/>
            </a:spcAft>
            <a:buClrTx/>
            <a:buSzTx/>
            <a:buFontTx/>
            <a:buNone/>
            <a:tabLst/>
            <a:defRPr/>
          </a:pPr>
          <a:r>
            <a:rPr lang="en-US" sz="1400" baseline="0">
              <a:effectLst/>
            </a:rPr>
            <a:t>•Like other mid-tier miners, concentrated on the asset side: alaska silver mine 47% of rev, quebec gold mine 30% of rev, idaho silver mine 9% of rev </a:t>
          </a:r>
        </a:p>
        <a:p>
          <a:pPr marL="0" marR="0" lvl="0" indent="0" defTabSz="914400" eaLnBrk="1" fontAlgn="auto" latinLnBrk="0" hangingPunct="1">
            <a:lnSpc>
              <a:spcPct val="100000"/>
            </a:lnSpc>
            <a:spcBef>
              <a:spcPts val="0"/>
            </a:spcBef>
            <a:spcAft>
              <a:spcPts val="0"/>
            </a:spcAft>
            <a:buClrTx/>
            <a:buSzTx/>
            <a:buFontTx/>
            <a:buNone/>
            <a:tabLst/>
            <a:defRPr/>
          </a:pPr>
          <a:r>
            <a:rPr lang="en-US" sz="1400" baseline="0">
              <a:effectLst/>
            </a:rPr>
            <a:t>•35% equity claw at 107.25%</a:t>
          </a:r>
          <a:endParaRPr lang="en-US" sz="1400">
            <a:effectLst/>
          </a:endParaRPr>
        </a:p>
      </xdr:txBody>
    </xdr:sp>
    <xdr:clientData/>
  </xdr:twoCellAnchor>
  <xdr:twoCellAnchor>
    <xdr:from>
      <xdr:col>11</xdr:col>
      <xdr:colOff>222250</xdr:colOff>
      <xdr:row>17</xdr:row>
      <xdr:rowOff>123250</xdr:rowOff>
    </xdr:from>
    <xdr:to>
      <xdr:col>20</xdr:col>
      <xdr:colOff>958850</xdr:colOff>
      <xdr:row>37</xdr:row>
      <xdr:rowOff>177319</xdr:rowOff>
    </xdr:to>
    <xdr:graphicFrame macro="">
      <xdr:nvGraphicFramePr>
        <xdr:cNvPr id="3" name="Chart 2">
          <a:extLst>
            <a:ext uri="{FF2B5EF4-FFF2-40B4-BE49-F238E27FC236}">
              <a16:creationId xmlns:a16="http://schemas.microsoft.com/office/drawing/2014/main" id="{CBB7815B-94AC-4270-8598-608A1F5D5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139700</xdr:colOff>
      <xdr:row>39</xdr:row>
      <xdr:rowOff>101600</xdr:rowOff>
    </xdr:from>
    <xdr:to>
      <xdr:col>20</xdr:col>
      <xdr:colOff>1016000</xdr:colOff>
      <xdr:row>51</xdr:row>
      <xdr:rowOff>152400</xdr:rowOff>
    </xdr:to>
    <xdr:sp macro="" textlink="">
      <xdr:nvSpPr>
        <xdr:cNvPr id="4" name="TextBox 3">
          <a:extLst>
            <a:ext uri="{FF2B5EF4-FFF2-40B4-BE49-F238E27FC236}">
              <a16:creationId xmlns:a16="http://schemas.microsoft.com/office/drawing/2014/main" id="{0817366B-5783-466C-A781-9FFD24166A3D}"/>
            </a:ext>
          </a:extLst>
        </xdr:cNvPr>
        <xdr:cNvSpPr txBox="1"/>
      </xdr:nvSpPr>
      <xdr:spPr>
        <a:xfrm>
          <a:off x="5248275" y="7162800"/>
          <a:ext cx="8153400" cy="2219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•Upgraded</a:t>
          </a:r>
          <a:r>
            <a:rPr lang="en-US" sz="1400" baseline="0"/>
            <a:t> to B3 at Moody's a month ago (4/16/21), with CFR to B2</a:t>
          </a:r>
        </a:p>
        <a:p>
          <a:endParaRPr lang="en-US" sz="1400" baseline="0"/>
        </a:p>
        <a:p>
          <a:endParaRPr lang="en-US" sz="1400"/>
        </a:p>
      </xdr:txBody>
    </xdr:sp>
    <xdr:clientData/>
  </xdr:twoCellAnchor>
  <xdr:oneCellAnchor>
    <xdr:from>
      <xdr:col>2</xdr:col>
      <xdr:colOff>41054</xdr:colOff>
      <xdr:row>7</xdr:row>
      <xdr:rowOff>141361</xdr:rowOff>
    </xdr:from>
    <xdr:ext cx="8938515" cy="4987780"/>
    <xdr:pic>
      <xdr:nvPicPr>
        <xdr:cNvPr id="5" name="Picture 4">
          <a:extLst>
            <a:ext uri="{FF2B5EF4-FFF2-40B4-BE49-F238E27FC236}">
              <a16:creationId xmlns:a16="http://schemas.microsoft.com/office/drawing/2014/main" id="{27B992A2-18F0-47F6-8702-455AD9A30F19}"/>
            </a:ext>
          </a:extLst>
        </xdr:cNvPr>
        <xdr:cNvPicPr>
          <a:picLocks noChangeAspect="1"/>
        </xdr:cNvPicPr>
      </xdr:nvPicPr>
      <xdr:blipFill>
        <a:blip xmlns:r="http://schemas.openxmlformats.org/officeDocument/2006/relationships" r:embed="rId2"/>
        <a:stretch>
          <a:fillRect/>
        </a:stretch>
      </xdr:blipFill>
      <xdr:spPr>
        <a:xfrm>
          <a:off x="326804" y="1612444"/>
          <a:ext cx="8938515" cy="4987780"/>
        </a:xfrm>
        <a:prstGeom prst="rect">
          <a:avLst/>
        </a:prstGeom>
      </xdr:spPr>
    </xdr:pic>
    <xdr:clientData/>
  </xdr:oneCellAnchor>
  <xdr:oneCellAnchor>
    <xdr:from>
      <xdr:col>11</xdr:col>
      <xdr:colOff>87635</xdr:colOff>
      <xdr:row>7</xdr:row>
      <xdr:rowOff>160477</xdr:rowOff>
    </xdr:from>
    <xdr:ext cx="9450068" cy="4992624"/>
    <xdr:pic>
      <xdr:nvPicPr>
        <xdr:cNvPr id="6" name="Picture 5">
          <a:extLst>
            <a:ext uri="{FF2B5EF4-FFF2-40B4-BE49-F238E27FC236}">
              <a16:creationId xmlns:a16="http://schemas.microsoft.com/office/drawing/2014/main" id="{89AE201B-C65B-445B-BA5E-5580637964BE}"/>
            </a:ext>
          </a:extLst>
        </xdr:cNvPr>
        <xdr:cNvPicPr>
          <a:picLocks noChangeAspect="1"/>
        </xdr:cNvPicPr>
      </xdr:nvPicPr>
      <xdr:blipFill>
        <a:blip xmlns:r="http://schemas.openxmlformats.org/officeDocument/2006/relationships" r:embed="rId3"/>
        <a:stretch>
          <a:fillRect/>
        </a:stretch>
      </xdr:blipFill>
      <xdr:spPr>
        <a:xfrm>
          <a:off x="9390385" y="1631560"/>
          <a:ext cx="9450068" cy="499262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177800</xdr:colOff>
      <xdr:row>0</xdr:row>
      <xdr:rowOff>177800</xdr:rowOff>
    </xdr:from>
    <xdr:ext cx="11188700" cy="21103982"/>
    <xdr:sp macro="" textlink="">
      <xdr:nvSpPr>
        <xdr:cNvPr id="3" name="TextBox 2">
          <a:extLst>
            <a:ext uri="{FF2B5EF4-FFF2-40B4-BE49-F238E27FC236}">
              <a16:creationId xmlns:a16="http://schemas.microsoft.com/office/drawing/2014/main" id="{AF72E942-5B02-4C76-B236-73F30552C3D3}"/>
            </a:ext>
          </a:extLst>
        </xdr:cNvPr>
        <xdr:cNvSpPr txBox="1"/>
      </xdr:nvSpPr>
      <xdr:spPr>
        <a:xfrm>
          <a:off x="177800" y="177800"/>
          <a:ext cx="11188700" cy="21103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i="1">
              <a:solidFill>
                <a:schemeClr val="tx1"/>
              </a:solidFill>
              <a:effectLst/>
              <a:latin typeface="+mn-lt"/>
              <a:ea typeface="+mn-ea"/>
              <a:cs typeface="+mn-cs"/>
            </a:rPr>
            <a:t>Green Creeks Unit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Greens Creek orebody contains silver, zinc, gold and lead, and lies within the Admiralty Island National Monument, an environmentally sensitive area.</a:t>
          </a:r>
        </a:p>
        <a:p>
          <a:r>
            <a:rPr lang="en-US" sz="1100">
              <a:solidFill>
                <a:schemeClr val="tx1"/>
              </a:solidFill>
              <a:effectLst/>
              <a:latin typeface="+mn-lt"/>
              <a:ea typeface="+mn-ea"/>
              <a:cs typeface="+mn-cs"/>
            </a:rPr>
            <a:t>The Greens Creek property includes 440 unpatented lode mining claims, 58 unpatented millsite claims, 17 patented lode claims and one patented millsite. The project consists of the mine, an ore concentrating mill, a tailings storage area, a ship-loading facility, camp facilities, a ferry dock, and other related infrastructure. </a:t>
          </a:r>
        </a:p>
        <a:p>
          <a:r>
            <a:rPr lang="en-US" sz="1100">
              <a:solidFill>
                <a:schemeClr val="tx1"/>
              </a:solidFill>
              <a:effectLst/>
              <a:latin typeface="+mn-lt"/>
              <a:ea typeface="+mn-ea"/>
              <a:cs typeface="+mn-cs"/>
            </a:rPr>
            <a:t>Greens Creek is an underground mine accessed by a ramp from surface which produces approximately 2,300 tons of ore per day. The primary mining methods</a:t>
          </a:r>
        </a:p>
        <a:p>
          <a:r>
            <a:rPr lang="en-US" sz="1100">
              <a:solidFill>
                <a:schemeClr val="tx1"/>
              </a:solidFill>
              <a:effectLst/>
              <a:latin typeface="+mn-lt"/>
              <a:ea typeface="+mn-ea"/>
              <a:cs typeface="+mn-cs"/>
            </a:rPr>
            <a:t>are cut and fill and longhole stoping.</a:t>
          </a:r>
        </a:p>
        <a:p>
          <a:r>
            <a:rPr lang="en-US" sz="1100">
              <a:solidFill>
                <a:schemeClr val="tx1"/>
              </a:solidFill>
              <a:effectLst/>
              <a:latin typeface="+mn-lt"/>
              <a:ea typeface="+mn-ea"/>
              <a:cs typeface="+mn-cs"/>
            </a:rPr>
            <a:t>Three flotation concentrates are produced: a lead concentrate which contains most of</a:t>
          </a:r>
        </a:p>
        <a:p>
          <a:r>
            <a:rPr lang="en-US" sz="1100">
              <a:solidFill>
                <a:schemeClr val="tx1"/>
              </a:solidFill>
              <a:effectLst/>
              <a:latin typeface="+mn-lt"/>
              <a:ea typeface="+mn-ea"/>
              <a:cs typeface="+mn-cs"/>
            </a:rPr>
            <a:t>the silver recovered; a zinc concentrate which is low in precious metals content; and a zinc-rich bulk concentrate that contains gold, silver, zinc, and lead and must be</a:t>
          </a:r>
        </a:p>
        <a:p>
          <a:r>
            <a:rPr lang="en-US" sz="1100">
              <a:solidFill>
                <a:schemeClr val="tx1"/>
              </a:solidFill>
              <a:effectLst/>
              <a:latin typeface="+mn-lt"/>
              <a:ea typeface="+mn-ea"/>
              <a:cs typeface="+mn-cs"/>
            </a:rPr>
            <a:t>marketed to a smelter utilizing an Imperial Smelting Furnace (ISF) which can simultaneously produce both zinc and lead.</a:t>
          </a:r>
        </a:p>
        <a:p>
          <a:r>
            <a:rPr lang="en-US" sz="1100">
              <a:solidFill>
                <a:schemeClr val="tx1"/>
              </a:solidFill>
              <a:effectLst/>
              <a:latin typeface="+mn-lt"/>
              <a:ea typeface="+mn-ea"/>
              <a:cs typeface="+mn-cs"/>
            </a:rPr>
            <a:t>In 2020, ore was processed at an average rate of approximately 2,236 tons per day and total mill recovery was approximately 82% for silver, 92% for zinc, 83% for lead and 73% for gold.</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As of December 31, 2020, we have recorded a $42.7 million asset retirement obligation for reclamation and closure costs. We maintained a $92.2 million reclamation and long-term water treatment bond for Greens Creek as of December 31, 2020. The net book value of the Greens Creek unit property and its associated plant, equipment and mineral interests was approximately $569.3 million as of December 31, 2020</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The current mine plan at Greens Creek utilizes estimates of reserves and mineralized material for approximately 11 years of production</a:t>
          </a:r>
        </a:p>
        <a:p>
          <a:r>
            <a:rPr lang="en-US" sz="1100" b="1">
              <a:solidFill>
                <a:schemeClr val="tx1"/>
              </a:solidFill>
              <a:effectLst/>
              <a:latin typeface="+mn-lt"/>
              <a:ea typeface="+mn-ea"/>
              <a:cs typeface="+mn-cs"/>
            </a:rPr>
            <a:t>The 2020 reserve model assumes average total mill recoveries of 82% for silver, 72% for gold, 92% for zinc and 84% for lead. </a:t>
          </a:r>
        </a:p>
        <a:p>
          <a:r>
            <a:rPr lang="en-US" sz="1100">
              <a:solidFill>
                <a:schemeClr val="tx1"/>
              </a:solidFill>
              <a:effectLst/>
              <a:latin typeface="+mn-lt"/>
              <a:ea typeface="+mn-ea"/>
              <a:cs typeface="+mn-cs"/>
            </a:rPr>
            <a:t>  </a:t>
          </a:r>
        </a:p>
        <a:p>
          <a:r>
            <a:rPr lang="en-US" sz="1100" b="1" i="1">
              <a:solidFill>
                <a:schemeClr val="tx1"/>
              </a:solidFill>
              <a:effectLst/>
              <a:latin typeface="+mn-lt"/>
              <a:ea typeface="+mn-ea"/>
              <a:cs typeface="+mn-cs"/>
            </a:rPr>
            <a:t>The Lucky Friday Unit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Lucky Friday mine is comprised of 710 acres of patented mining claims and fee lands and 535 acres of unpatented mining claims. We also own or control approximately 26 square miles of mineral interests, which include patented mining and millsite claims, fee lands, and unpatented mining claims, that are adjacent to the Lucky Friday mine property.</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There have been two ore-bearing structures mined at the Lucky Friday unit. The first, mined through 2001, was the Lucky Friday Vein, a fissure vein typical of</a:t>
          </a:r>
        </a:p>
        <a:p>
          <a:r>
            <a:rPr lang="en-US" sz="1100">
              <a:solidFill>
                <a:schemeClr val="tx1"/>
              </a:solidFill>
              <a:effectLst/>
              <a:latin typeface="+mn-lt"/>
              <a:ea typeface="+mn-ea"/>
              <a:cs typeface="+mn-cs"/>
            </a:rPr>
            <a:t>many in the Coeur d’Alene Mining District. The Lucky Friday Vein strikes northeasterly and dips steeply to the south with an average width of six to seven feet. Its</a:t>
          </a:r>
        </a:p>
        <a:p>
          <a:r>
            <a:rPr lang="en-US" sz="1100">
              <a:solidFill>
                <a:schemeClr val="tx1"/>
              </a:solidFill>
              <a:effectLst/>
              <a:latin typeface="+mn-lt"/>
              <a:ea typeface="+mn-ea"/>
              <a:cs typeface="+mn-cs"/>
            </a:rPr>
            <a:t>principal ore minerals are galena and tetrahedrite with minor amounts of sphalerite and chalcopyrite</a:t>
          </a:r>
        </a:p>
        <a:p>
          <a:r>
            <a:rPr lang="en-US" sz="1100">
              <a:solidFill>
                <a:schemeClr val="tx1"/>
              </a:solidFill>
              <a:effectLst/>
              <a:latin typeface="+mn-lt"/>
              <a:ea typeface="+mn-ea"/>
              <a:cs typeface="+mn-cs"/>
            </a:rPr>
            <a:t>The second ore-bearing structure is known as the Lucky Friday Expansion Area, or Gold Hunter. High grade silver mineralization occurs in steeply dipping veins hosted in a 200-foot thick siliceous lens within the Wallace Formation that transitions to the St. Regis</a:t>
          </a:r>
        </a:p>
        <a:p>
          <a:r>
            <a:rPr lang="en-US" sz="1100">
              <a:solidFill>
                <a:schemeClr val="tx1"/>
              </a:solidFill>
              <a:effectLst/>
              <a:latin typeface="+mn-lt"/>
              <a:ea typeface="+mn-ea"/>
              <a:cs typeface="+mn-cs"/>
            </a:rPr>
            <a:t>Formation at about 5,900 feet below surface. We currently are mining at approximately 6,300 feet below surface.</a:t>
          </a:r>
        </a:p>
        <a:p>
          <a:r>
            <a:rPr lang="en-US" sz="1100">
              <a:solidFill>
                <a:schemeClr val="tx1"/>
              </a:solidFill>
              <a:effectLst/>
              <a:latin typeface="+mn-lt"/>
              <a:ea typeface="+mn-ea"/>
              <a:cs typeface="+mn-cs"/>
            </a:rPr>
            <a:t>The 30 Vein, which contains higher silver grades, is the primary producer and represents approximately 57% of our current proven and probable ore reserve tonnages, while the remaining 43% of our reserves are contained in various intermediate veins having lower silver grades than 30 Vein. The width of 30 Vein ranges from approximately 0.5 feet to 15.4 feet, with an average width of approximately 7.4 feet.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In 2020, we began testing a new underhand method that has the potential for increased mechanization. It is akin to longhole stoping but is conducted over shorter vertical intervals and without an undercut. Work has been underway since 2017 to develop a fully mechanized underhand method which would utilize a remote vein miner for mechanical excavation. Fabrication of the remote vein miner was completed in 2019. Testing and modification of the machine at the manufacturer's facilities proceeded in 2020 but has been delayed by COVID-19. Delivery to Lucky Friday is expected in 2021.</a:t>
          </a:r>
        </a:p>
        <a:p>
          <a:r>
            <a:rPr lang="en-US" sz="1100">
              <a:solidFill>
                <a:schemeClr val="tx1"/>
              </a:solidFill>
              <a:effectLst/>
              <a:latin typeface="+mn-lt"/>
              <a:ea typeface="+mn-ea"/>
              <a:cs typeface="+mn-cs"/>
            </a:rPr>
            <a:t>Various modifications and upgrades have been made since that time, and the plant capacity currently is estimated at 1,000 tons per day.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Total mill recovery was approximately 96% for silver, 95% for lead and 91% for zinc during 2020. All lead and zinc concentrate sales during 2020 were shipped to Teck Resources Limited's smelter in Trail, British Columbia, Canada.</a:t>
          </a:r>
        </a:p>
        <a:p>
          <a:r>
            <a:rPr lang="en-US" sz="1100" b="1">
              <a:solidFill>
                <a:schemeClr val="tx1"/>
              </a:solidFill>
              <a:effectLst/>
              <a:latin typeface="+mn-lt"/>
              <a:ea typeface="+mn-ea"/>
              <a:cs typeface="+mn-cs"/>
            </a:rPr>
            <a:t> </a:t>
          </a:r>
        </a:p>
        <a:p>
          <a:r>
            <a:rPr lang="en-US" sz="1100" b="1">
              <a:solidFill>
                <a:schemeClr val="tx1"/>
              </a:solidFill>
              <a:effectLst/>
              <a:latin typeface="+mn-lt"/>
              <a:ea typeface="+mn-ea"/>
              <a:cs typeface="+mn-cs"/>
            </a:rPr>
            <a:t>The net book value of the Lucky Friday unit property and its associated plant, equipment and mineral interests was approximately $495.6 million as of December 31, 2020. The vintage of the facilities at Lucky Friday ranges from the 1950s to 2020.</a:t>
          </a:r>
        </a:p>
        <a:p>
          <a:r>
            <a:rPr lang="en-US" sz="1100" b="1">
              <a:solidFill>
                <a:schemeClr val="tx1"/>
              </a:solidFill>
              <a:effectLst/>
              <a:latin typeface="+mn-lt"/>
              <a:ea typeface="+mn-ea"/>
              <a:cs typeface="+mn-cs"/>
            </a:rPr>
            <a:t>The current mine plan at Lucky Friday utilizes estimates of reserves and mineralized material for approximately 17 years of production.</a:t>
          </a:r>
        </a:p>
        <a:p>
          <a:r>
            <a:rPr lang="en-US" sz="1100" b="1">
              <a:solidFill>
                <a:schemeClr val="tx1"/>
              </a:solidFill>
              <a:effectLst/>
              <a:latin typeface="+mn-lt"/>
              <a:ea typeface="+mn-ea"/>
              <a:cs typeface="+mn-cs"/>
            </a:rPr>
            <a:t> </a:t>
          </a:r>
        </a:p>
        <a:p>
          <a:r>
            <a:rPr lang="en-US" sz="1100" b="1">
              <a:solidFill>
                <a:schemeClr val="tx1"/>
              </a:solidFill>
              <a:effectLst/>
              <a:latin typeface="+mn-lt"/>
              <a:ea typeface="+mn-ea"/>
              <a:cs typeface="+mn-cs"/>
            </a:rPr>
            <a:t>There was no exploration at Lucky Friday in 2020, and no exploration activities are planned in 2021.</a:t>
          </a:r>
        </a:p>
        <a:p>
          <a:r>
            <a:rPr lang="en-US" sz="1100">
              <a:solidFill>
                <a:schemeClr val="tx1"/>
              </a:solidFill>
              <a:effectLst/>
              <a:latin typeface="+mn-lt"/>
              <a:ea typeface="+mn-ea"/>
              <a:cs typeface="+mn-cs"/>
            </a:rPr>
            <a:t> </a:t>
          </a:r>
        </a:p>
        <a:p>
          <a:r>
            <a:rPr lang="en-US" sz="1100" b="1" i="1">
              <a:solidFill>
                <a:schemeClr val="tx1"/>
              </a:solidFill>
              <a:effectLst/>
              <a:latin typeface="+mn-lt"/>
              <a:ea typeface="+mn-ea"/>
              <a:cs typeface="+mn-cs"/>
            </a:rPr>
            <a:t>The Casa Berardi Unit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 2013, as a result of our acquisition of Aurizon, we acquired the Casa Berardi operation, located 95 kilometers north of La Sarre in the Abitibi Region of northwestern Quebec, Canada. The property borders Ontario to the west and covers parts of Casa Berardi, Dieppe, Raymond, D'Estrees, and Puiseaux townships. The project area extends east-west for more than 37 kilometers and reaches 3.5 kilometers north-south. The Casa Berardi mine gold deposits are located along a 5 kilometer east-west mineralized corridor.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Hecla Quebec Inc., Hecla’s wholly owned subsidiary, owns a 100% interest in the mineral titles and mining leases comprising the current Casa Berardi operations. It is composed of 69 contiguous claims, covering 3,148.3 hectares (7,779.6 acres) and two mining leases covering 481.4 hectares (1,189.7 acres). The total area of the Casa Berardi property is 3,629.75 hectares (8,969.3 acres or approximately 14 square miles), and all the claims and leases are in good standing. We own an additional approximately 45 square miles of exploration property located adjacent to the current Casa Berardi operations and comprised of approximately 230 claims,</a:t>
          </a:r>
        </a:p>
        <a:p>
          <a:r>
            <a:rPr lang="en-US" sz="1100">
              <a:solidFill>
                <a:schemeClr val="tx1"/>
              </a:solidFill>
              <a:effectLst/>
              <a:latin typeface="+mn-lt"/>
              <a:ea typeface="+mn-ea"/>
              <a:cs typeface="+mn-cs"/>
            </a:rPr>
            <a:t>most of which are subject to a 1% NSR royalty in favor of Lake Shore Gold Corp.</a:t>
          </a:r>
        </a:p>
        <a:p>
          <a:r>
            <a:rPr lang="en-US" sz="1100">
              <a:solidFill>
                <a:schemeClr val="tx1"/>
              </a:solidFill>
              <a:effectLst/>
              <a:latin typeface="+mn-lt"/>
              <a:ea typeface="+mn-ea"/>
              <a:cs typeface="+mn-cs"/>
            </a:rPr>
            <a:t>The mining method is longhole stoping using a combination of traverse and longitudinal</a:t>
          </a:r>
        </a:p>
        <a:p>
          <a:r>
            <a:rPr lang="en-US" sz="1100">
              <a:solidFill>
                <a:schemeClr val="tx1"/>
              </a:solidFill>
              <a:effectLst/>
              <a:latin typeface="+mn-lt"/>
              <a:ea typeface="+mn-ea"/>
              <a:cs typeface="+mn-cs"/>
            </a:rPr>
            <a:t>orientations depending upon the widths of the zone. The combined ore production rate from the underground zones is in the range of 2,000 to 2,200 tons per day.</a:t>
          </a:r>
        </a:p>
        <a:p>
          <a:r>
            <a:rPr lang="en-US" sz="1100">
              <a:solidFill>
                <a:schemeClr val="tx1"/>
              </a:solidFill>
              <a:effectLst/>
              <a:latin typeface="+mn-lt"/>
              <a:ea typeface="+mn-ea"/>
              <a:cs typeface="+mn-cs"/>
            </a:rPr>
            <a:t>In 2020, the mill processed 1,283,701 tons, for an average of 3,699 tons per day.</a:t>
          </a:r>
        </a:p>
        <a:p>
          <a:r>
            <a:rPr lang="en-US" sz="1100">
              <a:solidFill>
                <a:schemeClr val="tx1"/>
              </a:solidFill>
              <a:effectLst/>
              <a:latin typeface="+mn-lt"/>
              <a:ea typeface="+mn-ea"/>
              <a:cs typeface="+mn-cs"/>
            </a:rPr>
            <a:t>The current mine plan at Casa Berardi utilizes estimates of reserves and mineralized material for approximately 13 years of production, and includes anticipated production from the underground and open pit mine areas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net book value of the Casa Berardi unit property and its associated plant, equipment and mineral interests was approximately $635.8 million as of December 31, 2020. As of December 31, 2020, we have recorded an $11.7 million asset retirement obligation for reclamation and closure costs</a:t>
          </a:r>
        </a:p>
        <a:p>
          <a:r>
            <a:rPr lang="en-US" sz="1100" b="1">
              <a:solidFill>
                <a:schemeClr val="tx1"/>
              </a:solidFill>
              <a:effectLst/>
              <a:latin typeface="+mn-lt"/>
              <a:ea typeface="+mn-ea"/>
              <a:cs typeface="+mn-cs"/>
            </a:rPr>
            <a:t>2020 reserve model assumes average total mill recoveries for gold of approximately 83% for underground reserves and 85% for open pit reserves.</a:t>
          </a:r>
        </a:p>
        <a:p>
          <a:r>
            <a:rPr lang="en-US" sz="1100" b="1">
              <a:solidFill>
                <a:schemeClr val="tx1"/>
              </a:solidFill>
              <a:effectLst/>
              <a:latin typeface="+mn-lt"/>
              <a:ea typeface="+mn-ea"/>
              <a:cs typeface="+mn-cs"/>
            </a:rPr>
            <a:t> </a:t>
          </a:r>
        </a:p>
        <a:p>
          <a:r>
            <a:rPr lang="en-US" sz="1100" b="1" i="1">
              <a:solidFill>
                <a:schemeClr val="tx1"/>
              </a:solidFill>
              <a:effectLst/>
              <a:latin typeface="+mn-lt"/>
              <a:ea typeface="+mn-ea"/>
              <a:cs typeface="+mn-cs"/>
            </a:rPr>
            <a:t>The San Sebastian Unit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San Sebastian mine is located approximately 60 miles northeast of the city of Durango, Mexico, on concessions acquired in 1999. Mineral concession titles are obtained and held under the laws of Mexico, and are valid for 50 years with the</a:t>
          </a:r>
        </a:p>
        <a:p>
          <a:r>
            <a:rPr lang="en-US" sz="1100">
              <a:solidFill>
                <a:schemeClr val="tx1"/>
              </a:solidFill>
              <a:effectLst/>
              <a:latin typeface="+mn-lt"/>
              <a:ea typeface="+mn-ea"/>
              <a:cs typeface="+mn-cs"/>
            </a:rPr>
            <a:t>possibility of extending another 50 years.</a:t>
          </a:r>
        </a:p>
        <a:p>
          <a:r>
            <a:rPr lang="en-US" sz="1100">
              <a:solidFill>
                <a:schemeClr val="tx1"/>
              </a:solidFill>
              <a:effectLst/>
              <a:latin typeface="+mn-lt"/>
              <a:ea typeface="+mn-ea"/>
              <a:cs typeface="+mn-cs"/>
            </a:rPr>
            <a:t>Hecla again operated San Sebastian using open pit and underground methods from 2015 to 2020. Production began with open pit mining and underground</a:t>
          </a:r>
        </a:p>
        <a:p>
          <a:r>
            <a:rPr lang="en-US" sz="1100">
              <a:solidFill>
                <a:schemeClr val="tx1"/>
              </a:solidFill>
              <a:effectLst/>
              <a:latin typeface="+mn-lt"/>
              <a:ea typeface="+mn-ea"/>
              <a:cs typeface="+mn-cs"/>
            </a:rPr>
            <a:t>mining was added by 2018.</a:t>
          </a:r>
        </a:p>
        <a:p>
          <a:r>
            <a:rPr lang="en-US" sz="1100">
              <a:solidFill>
                <a:schemeClr val="tx1"/>
              </a:solidFill>
              <a:effectLst/>
              <a:latin typeface="+mn-lt"/>
              <a:ea typeface="+mn-ea"/>
              <a:cs typeface="+mn-cs"/>
            </a:rPr>
            <a:t>the fourth quarter of 2020, San Sebastian was placed into care and maintenance upon depletion of the</a:t>
          </a:r>
        </a:p>
        <a:p>
          <a:r>
            <a:rPr lang="en-US" sz="1100">
              <a:solidFill>
                <a:schemeClr val="tx1"/>
              </a:solidFill>
              <a:effectLst/>
              <a:latin typeface="+mn-lt"/>
              <a:ea typeface="+mn-ea"/>
              <a:cs typeface="+mn-cs"/>
            </a:rPr>
            <a:t>known economic resource. Exploration is ongoing.</a:t>
          </a:r>
        </a:p>
        <a:p>
          <a:r>
            <a:rPr lang="en-US" sz="1100">
              <a:solidFill>
                <a:schemeClr val="tx1"/>
              </a:solidFill>
              <a:effectLst/>
              <a:latin typeface="+mn-lt"/>
              <a:ea typeface="+mn-ea"/>
              <a:cs typeface="+mn-cs"/>
            </a:rPr>
            <a:t>Before completion of production, processing of ore averaged approximately 474 tons per day in 2020, with recovery of</a:t>
          </a:r>
        </a:p>
        <a:p>
          <a:r>
            <a:rPr lang="en-US" sz="1100">
              <a:solidFill>
                <a:schemeClr val="tx1"/>
              </a:solidFill>
              <a:effectLst/>
              <a:latin typeface="+mn-lt"/>
              <a:ea typeface="+mn-ea"/>
              <a:cs typeface="+mn-cs"/>
            </a:rPr>
            <a:t>approximately 91% for silver and 82% for gold.</a:t>
          </a:r>
        </a:p>
        <a:p>
          <a:r>
            <a:rPr lang="en-US" sz="1100">
              <a:solidFill>
                <a:schemeClr val="tx1"/>
              </a:solidFill>
              <a:effectLst/>
              <a:latin typeface="+mn-lt"/>
              <a:ea typeface="+mn-ea"/>
              <a:cs typeface="+mn-cs"/>
            </a:rPr>
            <a:t>At December 31, 2020, the net book value of the San Sebastian unit property and its associated plant and equipment was $7.8 million</a:t>
          </a:r>
        </a:p>
        <a:p>
          <a:r>
            <a:rPr lang="en-US" sz="1100">
              <a:solidFill>
                <a:schemeClr val="tx1"/>
              </a:solidFill>
              <a:effectLst/>
              <a:latin typeface="+mn-lt"/>
              <a:ea typeface="+mn-ea"/>
              <a:cs typeface="+mn-cs"/>
            </a:rPr>
            <a:t>For 2021, additional core drilling is planned at the El Bronco and El Tigre Vein target areas. The 2021 SVRC drilling program is expected to focus on the soil</a:t>
          </a:r>
        </a:p>
        <a:p>
          <a:r>
            <a:rPr lang="en-US" sz="1100">
              <a:solidFill>
                <a:schemeClr val="tx1"/>
              </a:solidFill>
              <a:effectLst/>
              <a:latin typeface="+mn-lt"/>
              <a:ea typeface="+mn-ea"/>
              <a:cs typeface="+mn-cs"/>
            </a:rPr>
            <a:t>covered areas located south and west of the San Sebastian Mine; an area that we believe to be highly prospective for the discovery of new veins. A new generation</a:t>
          </a:r>
        </a:p>
        <a:p>
          <a:r>
            <a:rPr lang="en-US" sz="1100">
              <a:solidFill>
                <a:schemeClr val="tx1"/>
              </a:solidFill>
              <a:effectLst/>
              <a:latin typeface="+mn-lt"/>
              <a:ea typeface="+mn-ea"/>
              <a:cs typeface="+mn-cs"/>
            </a:rPr>
            <a:t>high resolution airborne spectral survey is also planned to be flown at the San Sebastian unit in 2021 for detail mapping of hydrothermal alteration.</a:t>
          </a:r>
        </a:p>
        <a:p>
          <a:endParaRPr lang="en-US" sz="1100">
            <a:solidFill>
              <a:schemeClr val="tx1"/>
            </a:solidFill>
            <a:effectLst/>
            <a:latin typeface="+mn-lt"/>
            <a:ea typeface="+mn-ea"/>
            <a:cs typeface="+mn-cs"/>
          </a:endParaRPr>
        </a:p>
        <a:p>
          <a:r>
            <a:rPr lang="en-US" sz="1100" b="1" i="1">
              <a:solidFill>
                <a:schemeClr val="tx1"/>
              </a:solidFill>
              <a:effectLst/>
              <a:latin typeface="+mn-lt"/>
              <a:ea typeface="+mn-ea"/>
              <a:cs typeface="+mn-cs"/>
            </a:rPr>
            <a:t>The Nevada Operations Unit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As a result of our acquisition of Klondex in July 2018, we obtained 100% ownership of the Fire Creek mine, Hollister mine, Midas mine and milling facility,</a:t>
          </a:r>
        </a:p>
        <a:p>
          <a:r>
            <a:rPr lang="en-US" sz="1100">
              <a:solidFill>
                <a:schemeClr val="tx1"/>
              </a:solidFill>
              <a:effectLst/>
              <a:latin typeface="+mn-lt"/>
              <a:ea typeface="+mn-ea"/>
              <a:cs typeface="+mn-cs"/>
            </a:rPr>
            <a:t>Aurora mine and milling facility, and various other mineral interests comprising a total land position of approximately 110 square miles in north central Nevada and</a:t>
          </a:r>
        </a:p>
        <a:p>
          <a:r>
            <a:rPr lang="en-US" sz="1100">
              <a:solidFill>
                <a:schemeClr val="tx1"/>
              </a:solidFill>
              <a:effectLst/>
              <a:latin typeface="+mn-lt"/>
              <a:ea typeface="+mn-ea"/>
              <a:cs typeface="+mn-cs"/>
            </a:rPr>
            <a:t>the Walker Lane.</a:t>
          </a:r>
        </a:p>
        <a:p>
          <a:r>
            <a:rPr lang="en-US" sz="1100">
              <a:solidFill>
                <a:schemeClr val="tx1"/>
              </a:solidFill>
              <a:effectLst/>
              <a:latin typeface="+mn-lt"/>
              <a:ea typeface="+mn-ea"/>
              <a:cs typeface="+mn-cs"/>
            </a:rPr>
            <a:t>As of December 31, 2020, the total net book value of the properties, plants, equipment and mineral interests at the Nevada Operations unit was approximately</a:t>
          </a:r>
        </a:p>
        <a:p>
          <a:r>
            <a:rPr lang="en-US" sz="1100">
              <a:solidFill>
                <a:schemeClr val="tx1"/>
              </a:solidFill>
              <a:effectLst/>
              <a:latin typeface="+mn-lt"/>
              <a:ea typeface="+mn-ea"/>
              <a:cs typeface="+mn-cs"/>
            </a:rPr>
            <a:t>$474.3 million.</a:t>
          </a:r>
        </a:p>
        <a:p>
          <a:r>
            <a:rPr lang="en-US" sz="1100">
              <a:solidFill>
                <a:schemeClr val="tx1"/>
              </a:solidFill>
              <a:effectLst/>
              <a:latin typeface="+mn-lt"/>
              <a:ea typeface="+mn-ea"/>
              <a:cs typeface="+mn-cs"/>
            </a:rPr>
            <a:t>As of December 31, 2020, we recorded a $26.1 million asset retirement obligation for reclamation and closure costs at the Nevada Operations unit.</a:t>
          </a:r>
        </a:p>
        <a:p>
          <a:r>
            <a:rPr lang="en-US" sz="1100">
              <a:solidFill>
                <a:schemeClr val="tx1"/>
              </a:solidFill>
              <a:effectLst/>
              <a:latin typeface="+mn-lt"/>
              <a:ea typeface="+mn-ea"/>
              <a:cs typeface="+mn-cs"/>
            </a:rPr>
            <a:t>At the Fire Creek mine, the 2021 exploration program is currently expected to be limited to detailed mapping, sampling and alteration mineral spectroscopy</a:t>
          </a:r>
        </a:p>
        <a:p>
          <a:r>
            <a:rPr lang="en-US" sz="1100">
              <a:solidFill>
                <a:schemeClr val="tx1"/>
              </a:solidFill>
              <a:effectLst/>
              <a:latin typeface="+mn-lt"/>
              <a:ea typeface="+mn-ea"/>
              <a:cs typeface="+mn-cs"/>
            </a:rPr>
            <a:t>designed to evaluate vein targets within our extensive property</a:t>
          </a:r>
        </a:p>
        <a:p>
          <a:r>
            <a:rPr lang="en-US" sz="1100" b="1">
              <a:solidFill>
                <a:schemeClr val="tx1"/>
              </a:solidFill>
              <a:effectLst/>
              <a:latin typeface="+mn-lt"/>
              <a:ea typeface="+mn-ea"/>
              <a:cs typeface="+mn-cs"/>
            </a:rPr>
            <a:t>The 2020</a:t>
          </a:r>
          <a:r>
            <a:rPr lang="en-US" sz="1100" b="1" baseline="0">
              <a:solidFill>
                <a:schemeClr val="tx1"/>
              </a:solidFill>
              <a:effectLst/>
              <a:latin typeface="+mn-lt"/>
              <a:ea typeface="+mn-ea"/>
              <a:cs typeface="+mn-cs"/>
            </a:rPr>
            <a:t> </a:t>
          </a:r>
          <a:r>
            <a:rPr lang="en-US" sz="1100" b="1">
              <a:solidFill>
                <a:schemeClr val="tx1"/>
              </a:solidFill>
              <a:effectLst/>
              <a:latin typeface="+mn-lt"/>
              <a:ea typeface="+mn-ea"/>
              <a:cs typeface="+mn-cs"/>
            </a:rPr>
            <a:t>reserve model assumes average total mill recoveries for gold and silver of approximately 91% and 63%, respectively, for Fire Creek.</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 Other Key Points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difference between what we report as "ounces/tons produced" and "payable ounces/tons sold" is attributable to the difference between the quantities of</a:t>
          </a:r>
        </a:p>
        <a:p>
          <a:r>
            <a:rPr lang="en-US" sz="1100">
              <a:solidFill>
                <a:schemeClr val="tx1"/>
              </a:solidFill>
              <a:effectLst/>
              <a:latin typeface="+mn-lt"/>
              <a:ea typeface="+mn-ea"/>
              <a:cs typeface="+mn-cs"/>
            </a:rPr>
            <a:t>metals contained in our products versus the portion of those metals actually paid for by our customers according to the terms of our sales contracts.</a:t>
          </a:r>
        </a:p>
        <a:p>
          <a:r>
            <a:rPr lang="en-US" sz="1100">
              <a:solidFill>
                <a:schemeClr val="tx1"/>
              </a:solidFill>
              <a:effectLst/>
              <a:latin typeface="+mn-lt"/>
              <a:ea typeface="+mn-ea"/>
              <a:cs typeface="+mn-cs"/>
            </a:rPr>
            <a:t>Differences can also arise from inventory changes incidental to shipping schedules, or variances in ore grades which impact the amount of metals</a:t>
          </a:r>
        </a:p>
        <a:p>
          <a:r>
            <a:rPr lang="en-US" sz="1100">
              <a:solidFill>
                <a:schemeClr val="tx1"/>
              </a:solidFill>
              <a:effectLst/>
              <a:latin typeface="+mn-lt"/>
              <a:ea typeface="+mn-ea"/>
              <a:cs typeface="+mn-cs"/>
            </a:rPr>
            <a:t>contained in concentrates produced and sold.</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Cash Cost, Before By-product Credits and AISC, Before By-product Credits include all direct and indirect operating cash costs related directly to the</a:t>
          </a:r>
        </a:p>
        <a:p>
          <a:r>
            <a:rPr lang="en-US" sz="1100">
              <a:solidFill>
                <a:schemeClr val="tx1"/>
              </a:solidFill>
              <a:effectLst/>
              <a:latin typeface="+mn-lt"/>
              <a:ea typeface="+mn-ea"/>
              <a:cs typeface="+mn-cs"/>
            </a:rPr>
            <a:t>physical activities of producing metals, including mining, processing and other plant costs, third-party refining expense, on-site general and administrative costs</a:t>
          </a:r>
        </a:p>
        <a:p>
          <a:r>
            <a:rPr lang="en-US" sz="1100">
              <a:solidFill>
                <a:schemeClr val="tx1"/>
              </a:solidFill>
              <a:effectLst/>
              <a:latin typeface="+mn-lt"/>
              <a:ea typeface="+mn-ea"/>
              <a:cs typeface="+mn-cs"/>
            </a:rPr>
            <a:t>and royalties.</a:t>
          </a:r>
        </a:p>
        <a:p>
          <a:r>
            <a:rPr lang="en-US" sz="1100">
              <a:solidFill>
                <a:schemeClr val="tx1"/>
              </a:solidFill>
              <a:effectLst/>
              <a:latin typeface="+mn-lt"/>
              <a:ea typeface="+mn-ea"/>
              <a:cs typeface="+mn-cs"/>
            </a:rPr>
            <a:t>AISC, Before By-product Credits for each mine also includes on-site exploration, reclamation, and sustaining capital costs. AISC, Before Byproduct</a:t>
          </a:r>
        </a:p>
        <a:p>
          <a:r>
            <a:rPr lang="en-US" sz="1100">
              <a:solidFill>
                <a:schemeClr val="tx1"/>
              </a:solidFill>
              <a:effectLst/>
              <a:latin typeface="+mn-lt"/>
              <a:ea typeface="+mn-ea"/>
              <a:cs typeface="+mn-cs"/>
            </a:rPr>
            <a:t>Credits for our consolidated silver properties also includes corporate costs for general and administrative expense, exploration and sustaining capital</a:t>
          </a:r>
        </a:p>
        <a:p>
          <a:r>
            <a:rPr lang="en-US" sz="1100">
              <a:solidFill>
                <a:schemeClr val="tx1"/>
              </a:solidFill>
              <a:effectLst/>
              <a:latin typeface="+mn-lt"/>
              <a:ea typeface="+mn-ea"/>
              <a:cs typeface="+mn-cs"/>
            </a:rPr>
            <a:t>projects.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By-product credits include revenues earned from all metals other than the primary metal produced at each unit. As depicted in the tables below, byproduct</a:t>
          </a:r>
        </a:p>
        <a:p>
          <a:r>
            <a:rPr lang="en-US" sz="1100">
              <a:solidFill>
                <a:schemeClr val="tx1"/>
              </a:solidFill>
              <a:effectLst/>
              <a:latin typeface="+mn-lt"/>
              <a:ea typeface="+mn-ea"/>
              <a:cs typeface="+mn-cs"/>
            </a:rPr>
            <a:t>credits comprise an essential element of our silver unit cost structure, distinguishing our silver operations due to the polymetallic nature of their orebodies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Cash Cost, After By-product Credits, per Ounce is an important operating statistic that we utilize to measure each mine's operating performance</a:t>
          </a:r>
        </a:p>
        <a:p>
          <a:r>
            <a:rPr lang="en-US" sz="1100">
              <a:solidFill>
                <a:schemeClr val="tx1"/>
              </a:solidFill>
              <a:effectLst/>
              <a:latin typeface="+mn-lt"/>
              <a:ea typeface="+mn-ea"/>
              <a:cs typeface="+mn-cs"/>
            </a:rPr>
            <a:t>AISC, After By-product Credits, per Ounce as a measure of our mines' net cash flow after costs for exploration, pre-development, reclamation, and sustaining</a:t>
          </a:r>
        </a:p>
        <a:p>
          <a:r>
            <a:rPr lang="en-US" sz="1100">
              <a:solidFill>
                <a:schemeClr val="tx1"/>
              </a:solidFill>
              <a:effectLst/>
              <a:latin typeface="+mn-lt"/>
              <a:ea typeface="+mn-ea"/>
              <a:cs typeface="+mn-cs"/>
            </a:rPr>
            <a:t>capital.</a:t>
          </a:r>
        </a:p>
        <a:p>
          <a:r>
            <a:rPr lang="en-US" sz="1100">
              <a:solidFill>
                <a:schemeClr val="tx1"/>
              </a:solidFill>
              <a:effectLst/>
              <a:latin typeface="+mn-lt"/>
              <a:ea typeface="+mn-ea"/>
              <a:cs typeface="+mn-cs"/>
            </a:rPr>
            <a:t> </a:t>
          </a:r>
        </a:p>
        <a:p>
          <a:endParaRPr lang="en-US" sz="1100"/>
        </a:p>
      </xdr:txBody>
    </xdr:sp>
    <xdr:clientData/>
  </xdr:oneCellAnchor>
  <xdr:twoCellAnchor editAs="oneCell">
    <xdr:from>
      <xdr:col>0</xdr:col>
      <xdr:colOff>400050</xdr:colOff>
      <xdr:row>111</xdr:row>
      <xdr:rowOff>82550</xdr:rowOff>
    </xdr:from>
    <xdr:to>
      <xdr:col>10</xdr:col>
      <xdr:colOff>469900</xdr:colOff>
      <xdr:row>127</xdr:row>
      <xdr:rowOff>139700</xdr:rowOff>
    </xdr:to>
    <xdr:pic>
      <xdr:nvPicPr>
        <xdr:cNvPr id="4" name="Picture 3" descr="Timeline&#10;&#10;Description automatically generated">
          <a:extLst>
            <a:ext uri="{FF2B5EF4-FFF2-40B4-BE49-F238E27FC236}">
              <a16:creationId xmlns:a16="http://schemas.microsoft.com/office/drawing/2014/main" id="{8D5A0E5B-DACA-46B9-9BC4-11E20F246130}"/>
            </a:ext>
          </a:extLst>
        </xdr:cNvPr>
        <xdr:cNvPicPr/>
      </xdr:nvPicPr>
      <xdr:blipFill>
        <a:blip xmlns:r="http://schemas.openxmlformats.org/officeDocument/2006/relationships" r:embed="rId1"/>
        <a:stretch>
          <a:fillRect/>
        </a:stretch>
      </xdr:blipFill>
      <xdr:spPr>
        <a:xfrm>
          <a:off x="400050" y="20523200"/>
          <a:ext cx="6165850" cy="3003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TEMP/TEMP/P.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Startup" Target="chwang/EM/KS08679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HEALTH/Pharma/Risinger/models/WYE/WYE_Charts.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Small%20Caps/Healthcare/DROG/Reports/1Q11/DROG%20Support_1Q1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HEALTH/Pharma/Risinger/models/PFE/PFE_Charts.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Startup" Target="na/ny/users/johndasc/Docs/ID/Charts/Sandbox/BtoB.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Small%20Caps/Healthcare/Reports%20&amp;%20Presentations/Labs%20Support%20Oct%2010.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Small%20Caps/Agri/Reports/Farmers-update-oct10/SLC%20Performance.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HEALTH/Pharma/Risinger/models/PFE/PFEw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HEALTH/Pharma/Risinger/models/LLY/LLY_Charts.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chwang/EM/OLD/OLD_2007/Copy%20of%20KS00527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g.ads.db.com\nyc-ge-g\Inch%20-%20CapGoods\Joe\Quarterly%20Preview\PriceInventoryWeekly.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chwang/EM/OLD/OLD_2008/BF%202Q08/Copy%20of%20KS004940.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Startup" Target="chwang/EM/Open%20Platform/OPCh%20WFH.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HEALTH/Pharma/Risinger/models/BMY/BMY_Char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OMER\Rdrive\FERGUS\Bp10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ony\c\business\&#38750;&#37444;\&#38750;&#37444;&#20250;~1\&#21516;&#21644;&#37489;&#26989;\5714work.wk4"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rimrockcapital-my.sharepoint.com/V/Autoparts/TRW/TRW_12_06_2000"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rimrockcapital-my.sharepoint.com/Users/Public/Morgan%20Stanley/ModelWare/MWAnalytics/GEG/rr%20shee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rimrockcapital-my.sharepoint.com/personal/jmaldonado_rimrockcapital_com/Documents/Rimrock%20DM%20Credit/Credit%20Templates%20&amp;%20Org%20Documents/Templates/2020_7_13%20DM%20Credit%20Templates%20v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rimrockcapital-my.sharepoint.com/personal/jmaldonado_rimrockcapital_com/Documents/Rimrock%20DM%20Credit/Portfolio/Healthcare/Holdings/Davita/2020_9_10%20Davita%20Master%20Spreadshee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GMG%20Research\Credit%20OAS%20(HG%20data)\DailyData\Prototype%20(11-14-02%20253%20HG%20+%2012%20HY).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GVAT/Modelware/Tier%201%20-%20Energy/XOMModelwar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rimrockcapital-my.sharepoint.com/Users/bipu.shrivastava.TRESVISTADOM/Desktop/Rimrock/Antero%20Resources/Versions/2020.08.04/2020_8_4%20Antero%20Resources%20%20Midstream%20Master%20Spreadsheet_v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TEMP/data/excel/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DIND\ADREVTRD\advolK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MER\Rdrive\Research\RESEARCH%20DATA\E&amp;P%20Group\Users\Victor\Files\Links%20Fix.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Startup" Target="na/ny/users/johndasc/Docs/ID/Charts/Chart_Gallery/From%20Vlad/B11_BarSingle_AverageLine.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HEALTH/Pharma/Risinger/models/LLY/LLYwk.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Startup" Target="chwang/EM/OLD/OLD_2008/BF%202Q08/Copy%20of%20KS0555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Capex"/>
      <sheetName val="Disclaimer"/>
      <sheetName val="Quarterly"/>
      <sheetName val="E&amp;P"/>
      <sheetName val="Hamaca"/>
      <sheetName val="Bohai"/>
      <sheetName val="Bayu Undan"/>
      <sheetName val="Normalized"/>
      <sheetName val="R&amp;M"/>
      <sheetName val="DDM"/>
      <sheetName val="Segment ROCE"/>
      <sheetName val="ARCO - Alaska"/>
      <sheetName val="GE Data"/>
      <sheetName val="B Sheet"/>
      <sheetName val="Reserves"/>
      <sheetName val="WACC"/>
      <sheetName val="Valuation"/>
      <sheetName val="NAV"/>
      <sheetName val="Chemical JV"/>
      <sheetName val="Chems"/>
      <sheetName val="GPM"/>
      <sheetName val="PUDS"/>
      <sheetName val="EKOFISK"/>
      <sheetName val="IndexInformation"/>
      <sheetName val="MainCode"/>
      <sheetName val="NY UPLOAD.bak"/>
      <sheetName val="NY UPLOAD Shadow.bak"/>
      <sheetName val="NY UPLOAD"/>
      <sheetName val="NY UPLOAD Shadow"/>
      <sheetName val="Ratios"/>
      <sheetName val="BS"/>
      <sheetName val="TOSCO"/>
      <sheetName val="ROGIC"/>
      <sheetName val="NEPS"/>
      <sheetName val="RefineryMaint"/>
      <sheetName val="Variance"/>
      <sheetName val="Distribution"/>
      <sheetName val="A-Link Source"/>
      <sheetName val="Q-Link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Results"/>
      <sheetName val="Cover"/>
      <sheetName val="AFFILIATES (2)"/>
      <sheetName val="Charts"/>
      <sheetName val="For report"/>
      <sheetName val="valuationExhibits"/>
      <sheetName val="Exhibits"/>
      <sheetName val="目標株価"/>
      <sheetName val="Annual"/>
      <sheetName val="CREDIT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HANA FINANCIAL GROUP (086790.KS)</v>
          </cell>
          <cell r="P2" t="str">
            <v>Foreign exchange rate</v>
          </cell>
          <cell r="X2">
            <v>1343</v>
          </cell>
        </row>
        <row r="3">
          <cell r="P3" t="str">
            <v>Current share price</v>
          </cell>
          <cell r="X3">
            <v>22050</v>
          </cell>
          <cell r="Y3">
            <v>16.418466120625464</v>
          </cell>
        </row>
        <row r="5">
          <cell r="B5" t="str">
            <v>Profit and Loss Statements</v>
          </cell>
          <cell r="P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v>2008</v>
          </cell>
          <cell r="L6" t="str">
            <v>2009E</v>
          </cell>
          <cell r="M6" t="str">
            <v>2010E</v>
          </cell>
          <cell r="N6" t="str">
            <v>2011E</v>
          </cell>
          <cell r="P6" t="str">
            <v>Won billions, Year ending Dec 31</v>
          </cell>
          <cell r="Q6">
            <v>2000</v>
          </cell>
          <cell r="R6">
            <v>2001</v>
          </cell>
          <cell r="S6">
            <v>2002</v>
          </cell>
          <cell r="T6">
            <v>2003</v>
          </cell>
          <cell r="U6">
            <v>2004</v>
          </cell>
          <cell r="V6">
            <v>2005</v>
          </cell>
          <cell r="W6">
            <v>2006</v>
          </cell>
          <cell r="X6">
            <v>2007</v>
          </cell>
          <cell r="Y6">
            <v>2008</v>
          </cell>
          <cell r="Z6" t="str">
            <v>2009E</v>
          </cell>
          <cell r="AA6" t="str">
            <v>2010E</v>
          </cell>
          <cell r="AB6" t="str">
            <v>2011E</v>
          </cell>
        </row>
        <row r="7">
          <cell r="B7" t="str">
            <v>Avg Earning Assets</v>
          </cell>
          <cell r="C7">
            <v>41630.420756499996</v>
          </cell>
          <cell r="D7">
            <v>57006.342904999998</v>
          </cell>
          <cell r="E7">
            <v>44447.248813375001</v>
          </cell>
          <cell r="F7">
            <v>66999.274650250009</v>
          </cell>
          <cell r="G7">
            <v>71044.64224999999</v>
          </cell>
          <cell r="H7">
            <v>76006.012629992125</v>
          </cell>
          <cell r="I7">
            <v>88759.657000000007</v>
          </cell>
          <cell r="J7">
            <v>99423.021999999997</v>
          </cell>
          <cell r="K7">
            <v>114830.74400000001</v>
          </cell>
          <cell r="L7">
            <v>123180.26802796163</v>
          </cell>
          <cell r="M7">
            <v>126804.02161527581</v>
          </cell>
          <cell r="N7">
            <v>131886.61177515215</v>
          </cell>
          <cell r="P7" t="str">
            <v>Book Value Per Share (Won)</v>
          </cell>
          <cell r="Q7">
            <v>9373.0969626120514</v>
          </cell>
          <cell r="R7">
            <v>10328.444430835849</v>
          </cell>
          <cell r="S7">
            <v>13830.078535870867</v>
          </cell>
          <cell r="T7">
            <v>16486.216283571532</v>
          </cell>
          <cell r="U7">
            <v>25270.053906182126</v>
          </cell>
          <cell r="V7">
            <v>30662.088049269507</v>
          </cell>
          <cell r="W7">
            <v>36739.657652704125</v>
          </cell>
          <cell r="X7">
            <v>44009.756395836928</v>
          </cell>
          <cell r="Y7">
            <v>42182.042973828371</v>
          </cell>
          <cell r="Z7">
            <v>43024.536958237666</v>
          </cell>
          <cell r="AA7">
            <v>44577.155484940078</v>
          </cell>
          <cell r="AB7">
            <v>46562.852459314177</v>
          </cell>
        </row>
        <row r="8">
          <cell r="B8" t="str">
            <v>Net Interest Margin (%)</v>
          </cell>
          <cell r="C8">
            <v>2.5959599671623828</v>
          </cell>
          <cell r="D8">
            <v>1.9422254990907144</v>
          </cell>
          <cell r="E8">
            <v>2.1527687372678668</v>
          </cell>
          <cell r="F8">
            <v>2.3246983017810745</v>
          </cell>
          <cell r="G8">
            <v>2.4383864498944683</v>
          </cell>
          <cell r="H8">
            <v>2.4167443290863639</v>
          </cell>
          <cell r="I8">
            <v>2.4020890481809785</v>
          </cell>
          <cell r="J8">
            <v>2.312278337305016</v>
          </cell>
          <cell r="K8">
            <v>2.0556045513386207</v>
          </cell>
          <cell r="L8">
            <v>1.6942136697422991</v>
          </cell>
          <cell r="M8">
            <v>1.8341097125864336</v>
          </cell>
          <cell r="N8">
            <v>1.8411394865284065</v>
          </cell>
          <cell r="P8" t="str">
            <v>Price/Book (x)</v>
          </cell>
          <cell r="Q8">
            <v>2.3524775309542094</v>
          </cell>
          <cell r="R8">
            <v>2.1348810217896057</v>
          </cell>
          <cell r="S8">
            <v>1.5943510329901054</v>
          </cell>
          <cell r="T8">
            <v>1.33748093684618</v>
          </cell>
          <cell r="U8">
            <v>0.87257431590225598</v>
          </cell>
          <cell r="V8">
            <v>0.71912910707740663</v>
          </cell>
          <cell r="W8">
            <v>0.60016890218292684</v>
          </cell>
          <cell r="X8">
            <v>0.50102526816271598</v>
          </cell>
          <cell r="Y8">
            <v>0.52273428325130689</v>
          </cell>
          <cell r="Z8">
            <v>0.51249825236708824</v>
          </cell>
          <cell r="AA8">
            <v>0.49464798191193154</v>
          </cell>
          <cell r="AB8">
            <v>0.47355346237146689</v>
          </cell>
        </row>
        <row r="9">
          <cell r="B9" t="str">
            <v xml:space="preserve">  Interest Income</v>
          </cell>
          <cell r="C9">
            <v>4431.0066329999991</v>
          </cell>
          <cell r="D9">
            <v>4190.6223290000007</v>
          </cell>
          <cell r="E9">
            <v>5124.4074480300005</v>
          </cell>
          <cell r="F9">
            <v>4338.7250000000004</v>
          </cell>
          <cell r="G9">
            <v>4424.4849299999996</v>
          </cell>
          <cell r="H9">
            <v>4480.9417508030001</v>
          </cell>
          <cell r="I9">
            <v>5786.2309999999998</v>
          </cell>
          <cell r="J9">
            <v>6967.6370000000006</v>
          </cell>
          <cell r="K9">
            <v>8617.6710000000003</v>
          </cell>
          <cell r="L9">
            <v>8465.5523646520851</v>
          </cell>
          <cell r="M9">
            <v>9093.7525957058497</v>
          </cell>
          <cell r="N9">
            <v>9585.4567269284453</v>
          </cell>
          <cell r="P9" t="str">
            <v>ROAA (%)</v>
          </cell>
          <cell r="Q9">
            <v>-1.0700583280595537</v>
          </cell>
          <cell r="R9">
            <v>0.66709903372522805</v>
          </cell>
          <cell r="S9">
            <v>0.87173232301160242</v>
          </cell>
          <cell r="T9">
            <v>0.72095581488141292</v>
          </cell>
          <cell r="U9">
            <v>1.6879745001747535</v>
          </cell>
          <cell r="V9">
            <v>1.0700503839549005</v>
          </cell>
          <cell r="W9">
            <v>1.0216945239813493</v>
          </cell>
          <cell r="X9">
            <v>1.0048569482589882</v>
          </cell>
          <cell r="Y9">
            <v>0.35849393984133643</v>
          </cell>
          <cell r="Z9">
            <v>3.851526571592942E-2</v>
          </cell>
          <cell r="AA9">
            <v>0.24799761331347236</v>
          </cell>
          <cell r="AB9">
            <v>0.29237241187453444</v>
          </cell>
        </row>
        <row r="10">
          <cell r="B10" t="str">
            <v xml:space="preserve">  Interest Expense</v>
          </cell>
          <cell r="C10">
            <v>3350.2975759999999</v>
          </cell>
          <cell r="D10">
            <v>3083.4306010000005</v>
          </cell>
          <cell r="E10">
            <v>3481.8585419999999</v>
          </cell>
          <cell r="F10">
            <v>2610.1930000000002</v>
          </cell>
          <cell r="G10">
            <v>2534.1690000000003</v>
          </cell>
          <cell r="H10">
            <v>2484.7829999999999</v>
          </cell>
          <cell r="I10">
            <v>3374.9969999999998</v>
          </cell>
          <cell r="J10">
            <v>4308.1169999999993</v>
          </cell>
          <cell r="K10">
            <v>5741.3739999999998</v>
          </cell>
          <cell r="L10">
            <v>5916.3122235986975</v>
          </cell>
          <cell r="M10">
            <v>6282.4635590898115</v>
          </cell>
          <cell r="N10">
            <v>6647.5463636071399</v>
          </cell>
          <cell r="P10" t="str">
            <v>ROAE (Reported, %)</v>
          </cell>
          <cell r="R10">
            <v>17.332831389844287</v>
          </cell>
          <cell r="S10">
            <v>22.954300184803195</v>
          </cell>
          <cell r="T10">
            <v>17.28037851266204</v>
          </cell>
          <cell r="U10">
            <v>32.819505718058295</v>
          </cell>
          <cell r="V10">
            <v>16.303057435303739</v>
          </cell>
          <cell r="W10">
            <v>14.619218084149038</v>
          </cell>
          <cell r="X10">
            <v>15.265262678924973</v>
          </cell>
          <cell r="Y10">
            <v>5.2951746096768195</v>
          </cell>
          <cell r="Z10">
            <v>0.28253815545441691</v>
          </cell>
          <cell r="AA10">
            <v>3.9959033986742982</v>
          </cell>
          <cell r="AB10">
            <v>4.7911296032005888</v>
          </cell>
        </row>
        <row r="11">
          <cell r="B11" t="str">
            <v>Net Interest Income (NII)</v>
          </cell>
          <cell r="C11">
            <v>1080.7090569999991</v>
          </cell>
          <cell r="D11">
            <v>1107.1917280000002</v>
          </cell>
          <cell r="E11">
            <v>1642.5489060300006</v>
          </cell>
          <cell r="F11">
            <v>1728.5320000000002</v>
          </cell>
          <cell r="G11">
            <v>1890.3159299999993</v>
          </cell>
          <cell r="H11">
            <v>1996.1587508030002</v>
          </cell>
          <cell r="I11">
            <v>2411.2339999999999</v>
          </cell>
          <cell r="J11">
            <v>2659.5200000000013</v>
          </cell>
          <cell r="K11">
            <v>2876.2970000000005</v>
          </cell>
          <cell r="L11">
            <v>2549.2401410533876</v>
          </cell>
          <cell r="M11">
            <v>2811.2890366160382</v>
          </cell>
          <cell r="N11">
            <v>2937.9103633213053</v>
          </cell>
          <cell r="P11" t="str">
            <v>ROAE (ModelWare, %)</v>
          </cell>
          <cell r="U11">
            <v>33.900054363817652</v>
          </cell>
          <cell r="V11">
            <v>17.155381375830554</v>
          </cell>
          <cell r="W11">
            <v>15.421409246407078</v>
          </cell>
          <cell r="X11">
            <v>14.235437974355611</v>
          </cell>
          <cell r="Y11">
            <v>5.5781010489121483</v>
          </cell>
          <cell r="Z11">
            <v>0.68742033471675812</v>
          </cell>
          <cell r="AA11">
            <v>4.4852467307741648</v>
          </cell>
          <cell r="AB11">
            <v>5.3233592181627225</v>
          </cell>
        </row>
        <row r="12">
          <cell r="B12" t="str">
            <v>Loan Loss Prov Exp (LLPE)</v>
          </cell>
          <cell r="C12">
            <v>1503.88949</v>
          </cell>
          <cell r="D12">
            <v>604.04272100000003</v>
          </cell>
          <cell r="E12">
            <v>356.85102099999995</v>
          </cell>
          <cell r="F12">
            <v>829.11900000000003</v>
          </cell>
          <cell r="G12">
            <v>353.24399999999997</v>
          </cell>
          <cell r="H12">
            <v>211.80599999999998</v>
          </cell>
          <cell r="I12">
            <v>322.286</v>
          </cell>
          <cell r="J12">
            <v>400.44299999999998</v>
          </cell>
          <cell r="K12">
            <v>1233.181</v>
          </cell>
          <cell r="L12">
            <v>1104.880062482757</v>
          </cell>
          <cell r="M12">
            <v>992.04354474518652</v>
          </cell>
          <cell r="N12">
            <v>960.10671873845263</v>
          </cell>
        </row>
        <row r="13">
          <cell r="B13" t="str">
            <v>NII After LLPE</v>
          </cell>
          <cell r="C13">
            <v>-423.1804330000009</v>
          </cell>
          <cell r="D13">
            <v>503.14900700000021</v>
          </cell>
          <cell r="E13">
            <v>1285.6978850300006</v>
          </cell>
          <cell r="F13">
            <v>899.41300000000012</v>
          </cell>
          <cell r="G13">
            <v>1537.0719299999994</v>
          </cell>
          <cell r="H13">
            <v>1784.3527508030002</v>
          </cell>
          <cell r="I13">
            <v>2088.9479999999999</v>
          </cell>
          <cell r="J13">
            <v>2259.0770000000011</v>
          </cell>
          <cell r="K13">
            <v>1643.1160000000004</v>
          </cell>
          <cell r="L13">
            <v>1444.3600785706305</v>
          </cell>
          <cell r="M13">
            <v>1819.2454918708518</v>
          </cell>
          <cell r="N13">
            <v>1977.8036445828527</v>
          </cell>
          <cell r="P13" t="str">
            <v>MW EPS Growth (%)</v>
          </cell>
          <cell r="T13">
            <v>-9.3836346492542013</v>
          </cell>
          <cell r="U13">
            <v>152.72110914950119</v>
          </cell>
          <cell r="V13">
            <v>-34.679647272624173</v>
          </cell>
          <cell r="W13">
            <v>9.4407569435800642</v>
          </cell>
          <cell r="X13">
            <v>12.423377316454175</v>
          </cell>
          <cell r="Y13">
            <v>-58.174406557708537</v>
          </cell>
          <cell r="Z13">
            <v>-87.81731026163429</v>
          </cell>
          <cell r="AA13">
            <v>570.81586674355322</v>
          </cell>
          <cell r="AB13">
            <v>23.479823560583334</v>
          </cell>
        </row>
        <row r="14">
          <cell r="P14" t="str">
            <v>Current P/MW EPS</v>
          </cell>
          <cell r="Q14" t="e">
            <v>#DIV/0!</v>
          </cell>
          <cell r="R14" t="e">
            <v>#DIV/0!</v>
          </cell>
          <cell r="S14">
            <v>7.0609115486004113</v>
          </cell>
          <cell r="T14">
            <v>7.7920930962856128</v>
          </cell>
          <cell r="U14">
            <v>3.0832775000508867</v>
          </cell>
          <cell r="V14">
            <v>4.7202401262580471</v>
          </cell>
          <cell r="W14">
            <v>4.3130550793718188</v>
          </cell>
          <cell r="X14">
            <v>3.8364396999311325</v>
          </cell>
          <cell r="Y14">
            <v>9.172469256711036</v>
          </cell>
          <cell r="Z14">
            <v>75.291002674270743</v>
          </cell>
          <cell r="AA14">
            <v>11.223795739920057</v>
          </cell>
          <cell r="AB14">
            <v>9.0895786989955383</v>
          </cell>
        </row>
        <row r="15">
          <cell r="B15" t="str">
            <v>Non-interest Income</v>
          </cell>
        </row>
        <row r="16">
          <cell r="B16" t="str">
            <v>Fees and Commissions</v>
          </cell>
          <cell r="C16">
            <v>443.29103599999996</v>
          </cell>
          <cell r="D16">
            <v>538.598837</v>
          </cell>
          <cell r="E16">
            <v>438.30765497000004</v>
          </cell>
          <cell r="F16">
            <v>270.185</v>
          </cell>
          <cell r="G16">
            <v>216.66806999999994</v>
          </cell>
          <cell r="H16">
            <v>258.62900000000002</v>
          </cell>
          <cell r="I16">
            <v>581.46600000000012</v>
          </cell>
          <cell r="J16">
            <v>620.41000000000008</v>
          </cell>
          <cell r="K16">
            <v>565.20400000000018</v>
          </cell>
          <cell r="L16">
            <v>486.45910292548109</v>
          </cell>
          <cell r="M16">
            <v>530.85512883276374</v>
          </cell>
          <cell r="N16">
            <v>539.64632580209764</v>
          </cell>
          <cell r="P16" t="str">
            <v>Gross Dividends</v>
          </cell>
          <cell r="Q16">
            <v>0</v>
          </cell>
          <cell r="R16">
            <v>0</v>
          </cell>
          <cell r="S16">
            <v>86.068103771932897</v>
          </cell>
          <cell r="T16">
            <v>84.962999999999965</v>
          </cell>
          <cell r="U16">
            <v>135.19027875</v>
          </cell>
          <cell r="V16">
            <v>75.806999999999988</v>
          </cell>
          <cell r="W16">
            <v>188.72295789999998</v>
          </cell>
          <cell r="X16">
            <v>275.40699999999998</v>
          </cell>
          <cell r="Y16">
            <v>42.0718216</v>
          </cell>
          <cell r="Z16">
            <v>0</v>
          </cell>
          <cell r="AA16">
            <v>41.8663186</v>
          </cell>
          <cell r="AB16">
            <v>41.8663186</v>
          </cell>
        </row>
        <row r="17">
          <cell r="B17" t="str">
            <v>Dividend Income</v>
          </cell>
          <cell r="C17">
            <v>8.3889549999999993</v>
          </cell>
          <cell r="D17">
            <v>6.6682290000000002</v>
          </cell>
          <cell r="E17">
            <v>7.1389420000000001</v>
          </cell>
          <cell r="F17">
            <v>93.081000000000003</v>
          </cell>
          <cell r="G17">
            <v>11.289</v>
          </cell>
          <cell r="H17">
            <v>13.642000000000001</v>
          </cell>
          <cell r="I17">
            <v>25.193000000000001</v>
          </cell>
          <cell r="J17">
            <v>57.429000000000002</v>
          </cell>
          <cell r="K17">
            <v>155.94200000000001</v>
          </cell>
          <cell r="L17">
            <v>33.313522691045925</v>
          </cell>
          <cell r="M17">
            <v>29.157752253437081</v>
          </cell>
          <cell r="N17">
            <v>22.79618953624977</v>
          </cell>
          <cell r="P17" t="str">
            <v>Gross DPS (Won)</v>
          </cell>
          <cell r="Q17">
            <v>0</v>
          </cell>
          <cell r="R17">
            <v>0</v>
          </cell>
          <cell r="S17">
            <v>511.19178775156371</v>
          </cell>
          <cell r="T17">
            <v>499.68769739459287</v>
          </cell>
          <cell r="U17">
            <v>750</v>
          </cell>
          <cell r="V17">
            <v>400</v>
          </cell>
          <cell r="W17">
            <v>900</v>
          </cell>
          <cell r="X17">
            <v>1300</v>
          </cell>
          <cell r="Y17">
            <v>200</v>
          </cell>
          <cell r="Z17">
            <v>0</v>
          </cell>
          <cell r="AA17">
            <v>200</v>
          </cell>
          <cell r="AB17">
            <v>200</v>
          </cell>
        </row>
        <row r="18">
          <cell r="B18" t="str">
            <v>Forex Income</v>
          </cell>
          <cell r="C18">
            <v>53.629543000000012</v>
          </cell>
          <cell r="D18">
            <v>44.452679999999987</v>
          </cell>
          <cell r="E18">
            <v>42.158178000000021</v>
          </cell>
          <cell r="F18">
            <v>36.711999999999989</v>
          </cell>
          <cell r="G18">
            <v>49.080999999999989</v>
          </cell>
          <cell r="H18">
            <v>-5.8139999999999645</v>
          </cell>
          <cell r="I18">
            <v>24.173000000000002</v>
          </cell>
          <cell r="J18">
            <v>49.385999999999967</v>
          </cell>
          <cell r="K18">
            <v>213.33300000000008</v>
          </cell>
          <cell r="L18">
            <v>-126.83634938645719</v>
          </cell>
          <cell r="M18">
            <v>0</v>
          </cell>
          <cell r="N18">
            <v>0</v>
          </cell>
          <cell r="P18" t="str">
            <v>Dividend Yield (Current Price, %)</v>
          </cell>
          <cell r="Q18">
            <v>0</v>
          </cell>
          <cell r="R18">
            <v>0</v>
          </cell>
          <cell r="S18">
            <v>2.3183301031816947</v>
          </cell>
          <cell r="T18">
            <v>2.2661573577986074</v>
          </cell>
          <cell r="U18">
            <v>3.4013605442176873</v>
          </cell>
          <cell r="V18">
            <v>1.8140589569160999</v>
          </cell>
          <cell r="W18">
            <v>4.0816326530612246</v>
          </cell>
          <cell r="X18">
            <v>5.895691609977324</v>
          </cell>
          <cell r="Y18">
            <v>0.90702947845804993</v>
          </cell>
          <cell r="Z18">
            <v>0</v>
          </cell>
          <cell r="AA18">
            <v>0.90702947845804993</v>
          </cell>
          <cell r="AB18">
            <v>0.90702947845804993</v>
          </cell>
        </row>
        <row r="19">
          <cell r="B19" t="str">
            <v>Other trading income</v>
          </cell>
          <cell r="C19">
            <v>-33.562145999999956</v>
          </cell>
          <cell r="D19">
            <v>55.459299000000016</v>
          </cell>
          <cell r="E19">
            <v>33.583663999999985</v>
          </cell>
          <cell r="F19">
            <v>37.261999999999944</v>
          </cell>
          <cell r="G19">
            <v>107.50399999999995</v>
          </cell>
          <cell r="H19">
            <v>57.330999999999996</v>
          </cell>
          <cell r="I19">
            <v>62.304000000000002</v>
          </cell>
          <cell r="J19">
            <v>123.79300000000043</v>
          </cell>
          <cell r="K19">
            <v>-1089.5950000000012</v>
          </cell>
          <cell r="L19">
            <v>181.54678016587911</v>
          </cell>
          <cell r="M19">
            <v>99.501461253457819</v>
          </cell>
          <cell r="N19">
            <v>119.74632637549075</v>
          </cell>
          <cell r="P19" t="str">
            <v>Dividend Payout Ratio (%)</v>
          </cell>
          <cell r="Q19">
            <v>0</v>
          </cell>
          <cell r="R19">
            <v>0</v>
          </cell>
          <cell r="S19">
            <v>14.030838929715959</v>
          </cell>
          <cell r="T19">
            <v>16.429050702792804</v>
          </cell>
          <cell r="U19">
            <v>10.15121126850458</v>
          </cell>
          <cell r="V19">
            <v>8.3602793266516073</v>
          </cell>
          <cell r="W19">
            <v>18.381008202756707</v>
          </cell>
          <cell r="X19">
            <v>21.092573672786958</v>
          </cell>
          <cell r="Y19">
            <v>8.7024862342433806</v>
          </cell>
          <cell r="Z19">
            <v>0</v>
          </cell>
          <cell r="AA19">
            <v>11.291081923139069</v>
          </cell>
          <cell r="AB19">
            <v>9.0514061898298479</v>
          </cell>
        </row>
        <row r="20">
          <cell r="B20" t="str">
            <v>Other Income</v>
          </cell>
          <cell r="C20">
            <v>-255.41181200000014</v>
          </cell>
          <cell r="D20">
            <v>0.33494699999985755</v>
          </cell>
          <cell r="E20">
            <v>-90.1765809999998</v>
          </cell>
          <cell r="F20">
            <v>-179.56100000000032</v>
          </cell>
          <cell r="G20">
            <v>-143.6659999999994</v>
          </cell>
          <cell r="H20">
            <v>-139.47475080300023</v>
          </cell>
          <cell r="I20">
            <v>-98.478999999999616</v>
          </cell>
          <cell r="J20">
            <v>162.35799999999929</v>
          </cell>
          <cell r="K20">
            <v>770.61999999999762</v>
          </cell>
          <cell r="L20">
            <v>-213.99433881707222</v>
          </cell>
          <cell r="M20">
            <v>-206.15842549332541</v>
          </cell>
          <cell r="N20">
            <v>-208.19256801537165</v>
          </cell>
        </row>
        <row r="21">
          <cell r="B21" t="str">
            <v>Total Non-interest Income</v>
          </cell>
          <cell r="C21">
            <v>216.33557599999986</v>
          </cell>
          <cell r="D21">
            <v>645.5139919999998</v>
          </cell>
          <cell r="E21">
            <v>431.01185797000016</v>
          </cell>
          <cell r="F21">
            <v>257.67899999999963</v>
          </cell>
          <cell r="G21">
            <v>240.87607000000051</v>
          </cell>
          <cell r="H21">
            <v>184.31324919699983</v>
          </cell>
          <cell r="I21">
            <v>594.65700000000049</v>
          </cell>
          <cell r="J21">
            <v>1013.3759999999997</v>
          </cell>
          <cell r="K21">
            <v>615.50399999999672</v>
          </cell>
          <cell r="L21">
            <v>360.48871757887667</v>
          </cell>
          <cell r="M21">
            <v>453.35591684633329</v>
          </cell>
          <cell r="N21">
            <v>473.99627369846655</v>
          </cell>
          <cell r="P21" t="str">
            <v>Issued Shares (m)</v>
          </cell>
          <cell r="Q21">
            <v>246.363</v>
          </cell>
          <cell r="R21">
            <v>253.108</v>
          </cell>
          <cell r="S21">
            <v>197.43220299999999</v>
          </cell>
          <cell r="T21">
            <v>197.43220299999999</v>
          </cell>
          <cell r="U21">
            <v>192.35344799999999</v>
          </cell>
          <cell r="V21">
            <v>204.25624300000001</v>
          </cell>
          <cell r="W21">
            <v>211.85159300000001</v>
          </cell>
          <cell r="X21">
            <v>211.85159300000001</v>
          </cell>
          <cell r="Y21">
            <v>211.85159300000001</v>
          </cell>
          <cell r="Z21">
            <v>211.85159300000001</v>
          </cell>
          <cell r="AA21">
            <v>211.85159300000001</v>
          </cell>
          <cell r="AB21">
            <v>211.85159300000001</v>
          </cell>
        </row>
        <row r="22">
          <cell r="P22" t="str">
            <v>Market Cap (Wonbn)</v>
          </cell>
          <cell r="Q22">
            <v>5432.3041499999999</v>
          </cell>
          <cell r="R22">
            <v>5581.0314000000008</v>
          </cell>
          <cell r="S22">
            <v>4353.3800761499997</v>
          </cell>
          <cell r="T22">
            <v>4353.3800761499997</v>
          </cell>
          <cell r="U22">
            <v>4241.393528399999</v>
          </cell>
          <cell r="V22">
            <v>4503.8501581500004</v>
          </cell>
          <cell r="W22">
            <v>4671.3276256499994</v>
          </cell>
          <cell r="X22">
            <v>4671.3276256499994</v>
          </cell>
          <cell r="Y22">
            <v>4671.3276256499994</v>
          </cell>
          <cell r="Z22">
            <v>4671.3276256499994</v>
          </cell>
          <cell r="AA22">
            <v>4671.3276256499994</v>
          </cell>
          <cell r="AB22">
            <v>4671.3276256499994</v>
          </cell>
        </row>
        <row r="23">
          <cell r="B23" t="str">
            <v>Non-interest Expense</v>
          </cell>
          <cell r="P23" t="str">
            <v>Market Cap (US$mn)</v>
          </cell>
          <cell r="Q23">
            <v>4044.9025688756519</v>
          </cell>
          <cell r="R23">
            <v>4155.6451228592714</v>
          </cell>
          <cell r="S23">
            <v>3241.533936075949</v>
          </cell>
          <cell r="T23">
            <v>3241.533936075949</v>
          </cell>
          <cell r="U23">
            <v>3158.1485691734915</v>
          </cell>
          <cell r="V23">
            <v>3353.5742056217427</v>
          </cell>
          <cell r="W23">
            <v>3478.2782022710344</v>
          </cell>
          <cell r="X23">
            <v>3478.2782022710344</v>
          </cell>
          <cell r="Y23">
            <v>3478.2782022710344</v>
          </cell>
          <cell r="Z23">
            <v>3478.2782022710344</v>
          </cell>
          <cell r="AA23">
            <v>3478.2782022710344</v>
          </cell>
          <cell r="AB23">
            <v>3478.2782022710344</v>
          </cell>
        </row>
        <row r="24">
          <cell r="B24" t="str">
            <v>Salaries &amp; Benefits</v>
          </cell>
          <cell r="C24">
            <v>421.96628399999997</v>
          </cell>
          <cell r="D24">
            <v>412.35855699999996</v>
          </cell>
          <cell r="E24">
            <v>434.26188100000002</v>
          </cell>
          <cell r="F24">
            <v>451.20699999999999</v>
          </cell>
          <cell r="G24">
            <v>487.63099999999997</v>
          </cell>
          <cell r="H24">
            <v>594.47199999999998</v>
          </cell>
          <cell r="I24">
            <v>796.83200000000011</v>
          </cell>
          <cell r="J24">
            <v>878.59899999999993</v>
          </cell>
          <cell r="K24">
            <v>917.33600000000001</v>
          </cell>
          <cell r="L24">
            <v>1027.1199059611799</v>
          </cell>
          <cell r="M24">
            <v>1012.5506193600037</v>
          </cell>
          <cell r="N24">
            <v>1052.8843644440062</v>
          </cell>
        </row>
        <row r="25">
          <cell r="B25" t="str">
            <v>Net Occupancy &amp; Equipment</v>
          </cell>
          <cell r="C25">
            <v>17.354278999999998</v>
          </cell>
          <cell r="D25">
            <v>20.735520999999999</v>
          </cell>
          <cell r="E25">
            <v>25.628824000000002</v>
          </cell>
          <cell r="F25">
            <v>38.527000000000001</v>
          </cell>
          <cell r="G25">
            <v>35.698999999999998</v>
          </cell>
          <cell r="H25">
            <v>37.822999999999993</v>
          </cell>
          <cell r="I25">
            <v>47.731000000000002</v>
          </cell>
          <cell r="J25">
            <v>60.82</v>
          </cell>
          <cell r="K25">
            <v>84.622</v>
          </cell>
          <cell r="L25">
            <v>90.507531535980704</v>
          </cell>
          <cell r="M25">
            <v>87.794604901773923</v>
          </cell>
          <cell r="N25">
            <v>85.751821183419111</v>
          </cell>
          <cell r="P25" t="str">
            <v>PERFORMANCE RATIOS</v>
          </cell>
        </row>
        <row r="26">
          <cell r="B26" t="str">
            <v>Other Expenses</v>
          </cell>
          <cell r="C26">
            <v>266.59823499999993</v>
          </cell>
          <cell r="D26">
            <v>319.07631100000015</v>
          </cell>
          <cell r="E26">
            <v>393.24414200000001</v>
          </cell>
          <cell r="F26">
            <v>392.26</v>
          </cell>
          <cell r="G26">
            <v>402.10500000000002</v>
          </cell>
          <cell r="H26">
            <v>408.57899999999995</v>
          </cell>
          <cell r="I26">
            <v>541.15600000000006</v>
          </cell>
          <cell r="J26">
            <v>657.49699999999984</v>
          </cell>
          <cell r="K26">
            <v>689.16600000000005</v>
          </cell>
          <cell r="L26">
            <v>705.42558679668764</v>
          </cell>
          <cell r="M26">
            <v>742.59184764250529</v>
          </cell>
          <cell r="N26">
            <v>767.12382766224027</v>
          </cell>
          <cell r="P26" t="str">
            <v>Won billions, Year ending Dec 31</v>
          </cell>
          <cell r="Q26">
            <v>2000</v>
          </cell>
          <cell r="R26">
            <v>2001</v>
          </cell>
          <cell r="S26">
            <v>2002</v>
          </cell>
          <cell r="T26">
            <v>2003</v>
          </cell>
          <cell r="U26">
            <v>2004</v>
          </cell>
          <cell r="V26">
            <v>2005</v>
          </cell>
          <cell r="W26">
            <v>2006</v>
          </cell>
          <cell r="X26">
            <v>2007</v>
          </cell>
          <cell r="Y26">
            <v>2008</v>
          </cell>
          <cell r="Z26" t="str">
            <v>2009E</v>
          </cell>
          <cell r="AA26" t="str">
            <v>2010E</v>
          </cell>
          <cell r="AB26" t="str">
            <v>2011E</v>
          </cell>
        </row>
        <row r="27">
          <cell r="B27" t="str">
            <v>Total Non-interest Expense</v>
          </cell>
          <cell r="C27">
            <v>705.91879799999992</v>
          </cell>
          <cell r="D27">
            <v>752.17038900000011</v>
          </cell>
          <cell r="E27">
            <v>853.13484700000004</v>
          </cell>
          <cell r="F27">
            <v>881.99399999999991</v>
          </cell>
          <cell r="G27">
            <v>925.43499999999995</v>
          </cell>
          <cell r="H27">
            <v>1040.8739999999998</v>
          </cell>
          <cell r="I27">
            <v>1385.7190000000001</v>
          </cell>
          <cell r="J27">
            <v>1596.9159999999997</v>
          </cell>
          <cell r="K27">
            <v>1691.124</v>
          </cell>
          <cell r="L27">
            <v>1823.0530242938482</v>
          </cell>
          <cell r="M27">
            <v>1842.9370719042827</v>
          </cell>
          <cell r="N27">
            <v>1905.7600132896655</v>
          </cell>
          <cell r="P27" t="str">
            <v>Growth (%)</v>
          </cell>
        </row>
        <row r="28">
          <cell r="P28" t="str">
            <v>Net Interest Income</v>
          </cell>
          <cell r="Q28">
            <v>106.65613880989694</v>
          </cell>
          <cell r="R28">
            <v>2.45049033580933</v>
          </cell>
          <cell r="S28">
            <v>48.352707529440679</v>
          </cell>
          <cell r="T28">
            <v>5.2347356997618055</v>
          </cell>
          <cell r="U28">
            <v>9.3596144011218296</v>
          </cell>
          <cell r="V28">
            <v>5.5992132914523429</v>
          </cell>
          <cell r="W28">
            <v>20.793699350316007</v>
          </cell>
          <cell r="X28">
            <v>10.297051219417174</v>
          </cell>
          <cell r="Y28">
            <v>8.1509821321140272</v>
          </cell>
          <cell r="Z28">
            <v>-11.370761049593025</v>
          </cell>
          <cell r="AA28">
            <v>10.27949039961249</v>
          </cell>
          <cell r="AB28">
            <v>4.5040308931621587</v>
          </cell>
        </row>
        <row r="29">
          <cell r="B29" t="str">
            <v>Pre-tax Operating Profit</v>
          </cell>
          <cell r="C29">
            <v>-912.76365500000099</v>
          </cell>
          <cell r="D29">
            <v>396.49261000000001</v>
          </cell>
          <cell r="E29">
            <v>863.57489600000076</v>
          </cell>
          <cell r="F29">
            <v>275.09799999999973</v>
          </cell>
          <cell r="G29">
            <v>852.51299999999992</v>
          </cell>
          <cell r="H29">
            <v>927.79200000000014</v>
          </cell>
          <cell r="I29">
            <v>1297.8860000000004</v>
          </cell>
          <cell r="J29">
            <v>1675.5370000000012</v>
          </cell>
          <cell r="K29">
            <v>567.49599999999714</v>
          </cell>
          <cell r="L29">
            <v>-18.204228144340959</v>
          </cell>
          <cell r="M29">
            <v>429.66433681290255</v>
          </cell>
          <cell r="N29">
            <v>546.03990499165366</v>
          </cell>
          <cell r="P29" t="str">
            <v>Non-interest Income</v>
          </cell>
          <cell r="Q29">
            <v>-14.398329944294208</v>
          </cell>
          <cell r="R29">
            <v>198.38550086648726</v>
          </cell>
          <cell r="S29">
            <v>-33.229664529099736</v>
          </cell>
          <cell r="T29">
            <v>-40.215333932196607</v>
          </cell>
          <cell r="U29">
            <v>-6.5208767497542119</v>
          </cell>
          <cell r="V29">
            <v>-23.48212539460668</v>
          </cell>
          <cell r="W29">
            <v>222.63388692389242</v>
          </cell>
          <cell r="X29">
            <v>70.41353250697442</v>
          </cell>
          <cell r="Y29">
            <v>-39.26203107237621</v>
          </cell>
          <cell r="Z29">
            <v>-41.431945595986605</v>
          </cell>
          <cell r="AA29">
            <v>25.761471785073773</v>
          </cell>
          <cell r="AB29">
            <v>4.5527930893045854</v>
          </cell>
        </row>
        <row r="30">
          <cell r="B30" t="str">
            <v>Associate Profit/Loss</v>
          </cell>
          <cell r="C30">
            <v>426.75069199999996</v>
          </cell>
          <cell r="D30">
            <v>140.88274299999995</v>
          </cell>
          <cell r="E30">
            <v>11.490430000000039</v>
          </cell>
          <cell r="F30">
            <v>217.70100000000002</v>
          </cell>
          <cell r="G30">
            <v>157.06899999999999</v>
          </cell>
          <cell r="H30">
            <v>240.27599999999995</v>
          </cell>
          <cell r="I30">
            <v>158.91</v>
          </cell>
          <cell r="J30">
            <v>81.469999999999956</v>
          </cell>
          <cell r="K30">
            <v>81.254999999999981</v>
          </cell>
          <cell r="L30">
            <v>48.462601086322643</v>
          </cell>
          <cell r="M30">
            <v>52.190825755326848</v>
          </cell>
          <cell r="N30">
            <v>53.441358901211217</v>
          </cell>
          <cell r="P30" t="str">
            <v>Non-interest Expense</v>
          </cell>
          <cell r="Q30">
            <v>136.11256364542524</v>
          </cell>
          <cell r="R30">
            <v>6.5519704434900516</v>
          </cell>
          <cell r="S30">
            <v>13.423083316830752</v>
          </cell>
          <cell r="T30">
            <v>3.3827188165483468</v>
          </cell>
          <cell r="U30">
            <v>4.9253169522695206</v>
          </cell>
          <cell r="V30">
            <v>12.474025728441207</v>
          </cell>
          <cell r="W30">
            <v>33.130330856568648</v>
          </cell>
          <cell r="X30">
            <v>15.240968767838181</v>
          </cell>
          <cell r="Y30">
            <v>5.8993710376751496</v>
          </cell>
          <cell r="Z30">
            <v>7.8012626095926851</v>
          </cell>
          <cell r="AA30">
            <v>1.0907004538793563</v>
          </cell>
          <cell r="AB30">
            <v>3.4088489695673019</v>
          </cell>
        </row>
        <row r="31">
          <cell r="P31" t="str">
            <v>Recurrent Net Profit After Tax (FD)</v>
          </cell>
          <cell r="Q31" t="str">
            <v>NM</v>
          </cell>
          <cell r="R31" t="str">
            <v>NM</v>
          </cell>
          <cell r="S31">
            <v>92.289899611111579</v>
          </cell>
          <cell r="T31">
            <v>-52.311149447730983</v>
          </cell>
          <cell r="U31">
            <v>289.53996825160164</v>
          </cell>
          <cell r="V31">
            <v>-35.955179788548044</v>
          </cell>
          <cell r="W31">
            <v>28.763167392692047</v>
          </cell>
          <cell r="X31">
            <v>36.061672010486603</v>
          </cell>
          <cell r="Y31">
            <v>-66.470062224641623</v>
          </cell>
          <cell r="Z31" t="str">
            <v>NM</v>
          </cell>
          <cell r="AA31" t="str">
            <v>NM</v>
          </cell>
          <cell r="AB31">
            <v>27.085228679201911</v>
          </cell>
        </row>
        <row r="32">
          <cell r="B32" t="str">
            <v>Profit Before Tax</v>
          </cell>
          <cell r="C32">
            <v>-486.01296300000104</v>
          </cell>
          <cell r="D32">
            <v>537.3753529999999</v>
          </cell>
          <cell r="E32">
            <v>875.06532600000082</v>
          </cell>
          <cell r="F32">
            <v>492.79899999999975</v>
          </cell>
          <cell r="G32">
            <v>1009.5819999999999</v>
          </cell>
          <cell r="H32">
            <v>1168.0680000000002</v>
          </cell>
          <cell r="I32">
            <v>1456.7960000000005</v>
          </cell>
          <cell r="J32">
            <v>1757.0070000000012</v>
          </cell>
          <cell r="K32">
            <v>648.75099999999713</v>
          </cell>
          <cell r="L32">
            <v>30.258372941981683</v>
          </cell>
          <cell r="M32">
            <v>481.85516256822939</v>
          </cell>
          <cell r="N32">
            <v>599.48126389286483</v>
          </cell>
          <cell r="P32" t="str">
            <v>Net Profit</v>
          </cell>
          <cell r="Q32" t="str">
            <v>NM</v>
          </cell>
          <cell r="R32" t="str">
            <v>NM</v>
          </cell>
          <cell r="S32">
            <v>43.765372177739323</v>
          </cell>
          <cell r="T32">
            <v>-15.693943919469033</v>
          </cell>
          <cell r="U32">
            <v>157.5195639184688</v>
          </cell>
          <cell r="V32">
            <v>-31.913513269983795</v>
          </cell>
          <cell r="W32">
            <v>13.231401750423522</v>
          </cell>
          <cell r="X32">
            <v>27.171558582214629</v>
          </cell>
          <cell r="Y32">
            <v>-62.974360231170209</v>
          </cell>
          <cell r="Z32">
            <v>-94.725224184289218</v>
          </cell>
          <cell r="AA32">
            <v>1354.0429599715058</v>
          </cell>
          <cell r="AB32">
            <v>24.743953440358467</v>
          </cell>
        </row>
        <row r="33">
          <cell r="B33" t="str">
            <v>Effective Tax</v>
          </cell>
          <cell r="C33">
            <v>13.252741000000006</v>
          </cell>
          <cell r="D33">
            <v>110.69337200000005</v>
          </cell>
          <cell r="E33">
            <v>261.64438800000005</v>
          </cell>
          <cell r="F33">
            <v>-24.351999999999972</v>
          </cell>
          <cell r="G33">
            <v>-322.18300000000005</v>
          </cell>
          <cell r="H33">
            <v>261.31600000000003</v>
          </cell>
          <cell r="I33">
            <v>415.85799999999995</v>
          </cell>
          <cell r="J33">
            <v>433.82999999999993</v>
          </cell>
          <cell r="K33">
            <v>165.084</v>
          </cell>
          <cell r="L33">
            <v>7.9436802519606671</v>
          </cell>
          <cell r="M33">
            <v>106.00813576501041</v>
          </cell>
          <cell r="N33">
            <v>131.88587805643027</v>
          </cell>
        </row>
        <row r="34">
          <cell r="B34" t="str">
            <v xml:space="preserve">Minority Interests </v>
          </cell>
          <cell r="C34">
            <v>0</v>
          </cell>
          <cell r="D34">
            <v>0</v>
          </cell>
          <cell r="E34">
            <v>0</v>
          </cell>
          <cell r="F34">
            <v>0</v>
          </cell>
          <cell r="G34">
            <v>0</v>
          </cell>
          <cell r="H34">
            <v>0</v>
          </cell>
          <cell r="I34">
            <v>14.21</v>
          </cell>
          <cell r="J34">
            <v>17.471</v>
          </cell>
          <cell r="K34">
            <v>0.22100000000000009</v>
          </cell>
          <cell r="L34">
            <v>-3.1859999999999991</v>
          </cell>
          <cell r="M34">
            <v>5.056</v>
          </cell>
          <cell r="N34">
            <v>5.056</v>
          </cell>
          <cell r="P34" t="str">
            <v>Gross Customer Loans</v>
          </cell>
          <cell r="Q34">
            <v>98.571347450617594</v>
          </cell>
          <cell r="R34">
            <v>18.111401357876588</v>
          </cell>
          <cell r="S34">
            <v>24.253726023955458</v>
          </cell>
          <cell r="T34">
            <v>8.5218154890679187</v>
          </cell>
          <cell r="U34">
            <v>6.1168569832166675</v>
          </cell>
          <cell r="V34">
            <v>12.339403243774028</v>
          </cell>
          <cell r="W34">
            <v>25.987519316939967</v>
          </cell>
          <cell r="X34">
            <v>5.6257915515370183</v>
          </cell>
          <cell r="Y34">
            <v>16.919757601310792</v>
          </cell>
          <cell r="Z34">
            <v>3.112279736774437</v>
          </cell>
          <cell r="AA34">
            <v>2.9666312698659603</v>
          </cell>
          <cell r="AB34">
            <v>4.9842277604434049</v>
          </cell>
        </row>
        <row r="35">
          <cell r="B35" t="str">
            <v>Preference Dividend</v>
          </cell>
          <cell r="C35">
            <v>0</v>
          </cell>
          <cell r="D35">
            <v>0</v>
          </cell>
          <cell r="E35">
            <v>0</v>
          </cell>
          <cell r="F35">
            <v>0</v>
          </cell>
          <cell r="G35">
            <v>0</v>
          </cell>
          <cell r="H35">
            <v>0</v>
          </cell>
          <cell r="I35">
            <v>0</v>
          </cell>
          <cell r="J35">
            <v>0</v>
          </cell>
          <cell r="K35">
            <v>0</v>
          </cell>
          <cell r="L35">
            <v>0</v>
          </cell>
          <cell r="M35">
            <v>0</v>
          </cell>
          <cell r="N35">
            <v>0</v>
          </cell>
          <cell r="P35" t="str">
            <v>Total Deposits</v>
          </cell>
          <cell r="Q35">
            <v>80.822132561453813</v>
          </cell>
          <cell r="R35">
            <v>17.588712031559051</v>
          </cell>
          <cell r="S35">
            <v>11.708149820740065</v>
          </cell>
          <cell r="T35">
            <v>5.3625104341374019</v>
          </cell>
          <cell r="U35">
            <v>-2.0612986597465577</v>
          </cell>
          <cell r="V35">
            <v>12.055952603807384</v>
          </cell>
          <cell r="W35">
            <v>24.206983569405228</v>
          </cell>
          <cell r="X35">
            <v>1.805147296187859</v>
          </cell>
          <cell r="Y35">
            <v>16.897689626140068</v>
          </cell>
          <cell r="Z35">
            <v>3.7894857993363118</v>
          </cell>
          <cell r="AA35">
            <v>4.2068846213306532</v>
          </cell>
          <cell r="AB35">
            <v>4.2104445396361045</v>
          </cell>
        </row>
        <row r="36">
          <cell r="B36" t="str">
            <v>Net Profit</v>
          </cell>
          <cell r="C36">
            <v>-499.26570400000105</v>
          </cell>
          <cell r="D36">
            <v>426.68198099999984</v>
          </cell>
          <cell r="E36">
            <v>613.42093800000077</v>
          </cell>
          <cell r="F36">
            <v>517.15099999999973</v>
          </cell>
          <cell r="G36">
            <v>1331.7649999999999</v>
          </cell>
          <cell r="H36">
            <v>906.75200000000018</v>
          </cell>
          <cell r="I36">
            <v>1026.7280000000005</v>
          </cell>
          <cell r="J36">
            <v>1305.7060000000013</v>
          </cell>
          <cell r="K36">
            <v>483.44599999999713</v>
          </cell>
          <cell r="L36">
            <v>25.500692690021015</v>
          </cell>
          <cell r="M36">
            <v>370.79102680321898</v>
          </cell>
          <cell r="N36">
            <v>462.53938583643458</v>
          </cell>
          <cell r="P36" t="str">
            <v>Avg Earning Assets</v>
          </cell>
          <cell r="Q36">
            <v>88.167259551365262</v>
          </cell>
          <cell r="R36">
            <v>36.93434240896849</v>
          </cell>
          <cell r="S36">
            <v>-22.031046812728349</v>
          </cell>
          <cell r="T36">
            <v>50.738856597325956</v>
          </cell>
          <cell r="U36">
            <v>6.03792745648013</v>
          </cell>
          <cell r="V36">
            <v>6.9834546601466485</v>
          </cell>
          <cell r="W36">
            <v>16.779783504884538</v>
          </cell>
          <cell r="X36">
            <v>12.013751923354077</v>
          </cell>
          <cell r="Y36">
            <v>15.497137071532595</v>
          </cell>
          <cell r="Z36">
            <v>7.2711573025788567</v>
          </cell>
          <cell r="AA36">
            <v>2.9418296008997036</v>
          </cell>
          <cell r="AB36">
            <v>4.0082247354085832</v>
          </cell>
        </row>
        <row r="37">
          <cell r="B37" t="str">
            <v>EPS - Reported (Won)</v>
          </cell>
          <cell r="C37">
            <v>-2026.5449925516457</v>
          </cell>
          <cell r="D37">
            <v>1685.7704260631817</v>
          </cell>
          <cell r="E37">
            <v>3106.995356780782</v>
          </cell>
          <cell r="F37">
            <v>2619.3852479070993</v>
          </cell>
          <cell r="G37">
            <v>6923.5306871130269</v>
          </cell>
          <cell r="H37">
            <v>4439.2865876809456</v>
          </cell>
          <cell r="I37">
            <v>4846.4492782926609</v>
          </cell>
          <cell r="J37">
            <v>6163.3050831012688</v>
          </cell>
          <cell r="K37">
            <v>2282.0031379230513</v>
          </cell>
          <cell r="L37">
            <v>120.37054963292636</v>
          </cell>
          <cell r="M37">
            <v>1750.2395028165729</v>
          </cell>
          <cell r="N37">
            <v>2183.3179504882673</v>
          </cell>
          <cell r="P37" t="str">
            <v>Total Interest-bearing Liab</v>
          </cell>
          <cell r="Q37" t="e">
            <v>#DIV/0!</v>
          </cell>
          <cell r="R37" t="e">
            <v>#DIV/0!</v>
          </cell>
          <cell r="S37" t="e">
            <v>#DIV/0!</v>
          </cell>
          <cell r="T37">
            <v>50.468167415994799</v>
          </cell>
          <cell r="U37">
            <v>6.4602573761064264</v>
          </cell>
          <cell r="V37">
            <v>5.2918044571224954</v>
          </cell>
          <cell r="W37">
            <v>14.958415408508486</v>
          </cell>
          <cell r="X37">
            <v>12.049283619728568</v>
          </cell>
          <cell r="Y37">
            <v>16.479162767203981</v>
          </cell>
          <cell r="Z37">
            <v>6.9575956644489789</v>
          </cell>
          <cell r="AA37">
            <v>4.0218286723957553</v>
          </cell>
          <cell r="AB37">
            <v>3.7208456411233382</v>
          </cell>
        </row>
        <row r="38">
          <cell r="B38" t="str">
            <v>EPS - ModelWare (Won)</v>
          </cell>
          <cell r="E38">
            <v>3122.8262595033743</v>
          </cell>
          <cell r="F38">
            <v>2829.7916525806068</v>
          </cell>
          <cell r="G38">
            <v>7151.4808510217081</v>
          </cell>
          <cell r="H38">
            <v>4671.3725171181186</v>
          </cell>
          <cell r="I38">
            <v>5112.3854423884386</v>
          </cell>
          <cell r="J38">
            <v>5747.5163757678292</v>
          </cell>
          <cell r="K38">
            <v>2403.9328323577774</v>
          </cell>
          <cell r="L38">
            <v>292.8636784848552</v>
          </cell>
          <cell r="M38">
            <v>1964.5760232052346</v>
          </cell>
          <cell r="N38">
            <v>2425.8550071673485</v>
          </cell>
          <cell r="P38" t="str">
            <v>Risk-weighted Assets</v>
          </cell>
          <cell r="Q38" t="e">
            <v>#DIV/0!</v>
          </cell>
          <cell r="R38" t="e">
            <v>#DIV/0!</v>
          </cell>
          <cell r="S38" t="e">
            <v>#DIV/0!</v>
          </cell>
          <cell r="T38">
            <v>5.3618152214711223</v>
          </cell>
          <cell r="U38">
            <v>8.5345539660518064</v>
          </cell>
          <cell r="V38">
            <v>11.382386358592678</v>
          </cell>
          <cell r="W38">
            <v>31.04489215718278</v>
          </cell>
          <cell r="X38">
            <v>9.2516041331763823</v>
          </cell>
          <cell r="Y38">
            <v>3.7383962970121143</v>
          </cell>
          <cell r="Z38">
            <v>2.3509569004365849</v>
          </cell>
          <cell r="AA38">
            <v>4.282723025312074</v>
          </cell>
          <cell r="AB38">
            <v>5.1759185747033198</v>
          </cell>
        </row>
        <row r="40">
          <cell r="B40" t="str">
            <v>Selective Balance Sheet Data</v>
          </cell>
          <cell r="P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v>2008</v>
          </cell>
          <cell r="L41" t="str">
            <v>2009E</v>
          </cell>
          <cell r="M41" t="str">
            <v>2010E</v>
          </cell>
          <cell r="N41" t="str">
            <v>2011E</v>
          </cell>
          <cell r="P41" t="str">
            <v>NII/Operating Income</v>
          </cell>
          <cell r="Q41">
            <v>83.320884224344184</v>
          </cell>
          <cell r="R41">
            <v>63.170429317706592</v>
          </cell>
          <cell r="S41">
            <v>79.213926813576606</v>
          </cell>
          <cell r="T41">
            <v>87.026604927673873</v>
          </cell>
          <cell r="U41">
            <v>88.697589424134435</v>
          </cell>
          <cell r="V41">
            <v>91.547093968782917</v>
          </cell>
          <cell r="W41">
            <v>80.216947321110439</v>
          </cell>
          <cell r="X41">
            <v>72.40934673892211</v>
          </cell>
          <cell r="Y41">
            <v>82.372878637700225</v>
          </cell>
          <cell r="Z41">
            <v>87.610917199057283</v>
          </cell>
          <cell r="AA41">
            <v>86.113163198175059</v>
          </cell>
          <cell r="AB41">
            <v>86.107583702451706</v>
          </cell>
        </row>
        <row r="42">
          <cell r="B42" t="str">
            <v>Total Assets</v>
          </cell>
          <cell r="C42">
            <v>60913.659992000001</v>
          </cell>
          <cell r="D42">
            <v>67033.145632</v>
          </cell>
          <cell r="E42">
            <v>74420.016474000004</v>
          </cell>
          <cell r="F42">
            <v>80566.457999999999</v>
          </cell>
          <cell r="G42">
            <v>82423.207999999984</v>
          </cell>
          <cell r="H42">
            <v>95915.497224970997</v>
          </cell>
          <cell r="I42">
            <v>116098.363</v>
          </cell>
          <cell r="J42">
            <v>126248.67</v>
          </cell>
          <cell r="K42">
            <v>157871.61400000003</v>
          </cell>
          <cell r="L42">
            <v>164305.24582727591</v>
          </cell>
          <cell r="M42">
            <v>171341.98442211625</v>
          </cell>
          <cell r="N42">
            <v>180210.50602008583</v>
          </cell>
          <cell r="P42" t="str">
            <v>Non-interest Inc/Opg Income</v>
          </cell>
          <cell r="Q42">
            <v>16.679115775655813</v>
          </cell>
          <cell r="R42">
            <v>36.829570682293422</v>
          </cell>
          <cell r="S42">
            <v>20.786073186423391</v>
          </cell>
          <cell r="T42">
            <v>12.973395072326136</v>
          </cell>
          <cell r="U42">
            <v>11.302410575865549</v>
          </cell>
          <cell r="V42">
            <v>8.4529060312170863</v>
          </cell>
          <cell r="W42">
            <v>19.783052678889568</v>
          </cell>
          <cell r="X42">
            <v>27.59065326107789</v>
          </cell>
          <cell r="Y42">
            <v>17.627121362299778</v>
          </cell>
          <cell r="Z42">
            <v>12.389082800942717</v>
          </cell>
          <cell r="AA42">
            <v>13.88683680182494</v>
          </cell>
          <cell r="AB42">
            <v>13.892416297548287</v>
          </cell>
        </row>
        <row r="43">
          <cell r="B43" t="str">
            <v>RWA</v>
          </cell>
          <cell r="C43">
            <v>0</v>
          </cell>
          <cell r="D43">
            <v>0</v>
          </cell>
          <cell r="E43">
            <v>48529.675000000003</v>
          </cell>
          <cell r="F43">
            <v>51131.746501080474</v>
          </cell>
          <cell r="G43">
            <v>55495.612999999998</v>
          </cell>
          <cell r="H43">
            <v>61812.338083729388</v>
          </cell>
          <cell r="I43">
            <v>81001.911781656396</v>
          </cell>
          <cell r="J43">
            <v>88495.888000000006</v>
          </cell>
          <cell r="K43">
            <v>91804.214999999997</v>
          </cell>
          <cell r="L43">
            <v>93962.492527434137</v>
          </cell>
          <cell r="M43">
            <v>97986.645830063688</v>
          </cell>
          <cell r="N43">
            <v>103058.35483231071</v>
          </cell>
          <cell r="P43" t="str">
            <v>Forex Income/Operating Income</v>
          </cell>
          <cell r="Q43">
            <v>4.1347492318716563</v>
          </cell>
          <cell r="R43">
            <v>2.5362318096388701</v>
          </cell>
          <cell r="S43">
            <v>2.0331296160655943</v>
          </cell>
          <cell r="T43">
            <v>1.8483434035960928</v>
          </cell>
          <cell r="U43">
            <v>2.3029834946827874</v>
          </cell>
          <cell r="V43">
            <v>-0.2666395165817293</v>
          </cell>
          <cell r="W43">
            <v>0.80418751045862935</v>
          </cell>
          <cell r="X43">
            <v>1.3446065448082372</v>
          </cell>
          <cell r="Y43">
            <v>6.1095406066955205</v>
          </cell>
          <cell r="Z43">
            <v>-4.3590435930197762</v>
          </cell>
          <cell r="AA43">
            <v>0</v>
          </cell>
          <cell r="AB43">
            <v>0</v>
          </cell>
        </row>
        <row r="44">
          <cell r="B44" t="str">
            <v>Total Liquid Assets</v>
          </cell>
          <cell r="C44">
            <v>25970.409538</v>
          </cell>
          <cell r="D44">
            <v>25632.494008999998</v>
          </cell>
          <cell r="E44">
            <v>21427.787038999999</v>
          </cell>
          <cell r="F44">
            <v>22380.150999999998</v>
          </cell>
          <cell r="G44">
            <v>21344.007000000001</v>
          </cell>
          <cell r="H44">
            <v>29272.919657278002</v>
          </cell>
          <cell r="I44">
            <v>28502.98</v>
          </cell>
          <cell r="J44">
            <v>32248.152000000002</v>
          </cell>
          <cell r="K44">
            <v>37034.952000000005</v>
          </cell>
          <cell r="L44">
            <v>37956.005942415839</v>
          </cell>
          <cell r="M44">
            <v>39498.546464023035</v>
          </cell>
          <cell r="N44">
            <v>40536.405440138929</v>
          </cell>
        </row>
        <row r="45">
          <cell r="B45" t="str">
            <v>Gross Customer Loans</v>
          </cell>
          <cell r="C45">
            <v>35416.187191999998</v>
          </cell>
          <cell r="D45">
            <v>41830.555</v>
          </cell>
          <cell r="E45">
            <v>51976.023203999997</v>
          </cell>
          <cell r="F45">
            <v>56405.324000000001</v>
          </cell>
          <cell r="G45">
            <v>59855.556999999993</v>
          </cell>
          <cell r="H45">
            <v>67241.375542037</v>
          </cell>
          <cell r="I45">
            <v>84715.741000000009</v>
          </cell>
          <cell r="J45">
            <v>89481.671999999991</v>
          </cell>
          <cell r="K45">
            <v>104621.75399999999</v>
          </cell>
          <cell r="L45">
            <v>107877.87564999999</v>
          </cell>
          <cell r="M45">
            <v>111078.21444230001</v>
          </cell>
          <cell r="N45">
            <v>116614.60564233798</v>
          </cell>
          <cell r="P45" t="str">
            <v>Efficiency (%)</v>
          </cell>
        </row>
        <row r="46">
          <cell r="B46" t="str">
            <v>Total Customer Deposits</v>
          </cell>
          <cell r="C46">
            <v>37867.318066</v>
          </cell>
          <cell r="D46">
            <v>44748.851478999997</v>
          </cell>
          <cell r="E46">
            <v>48922.024000000005</v>
          </cell>
          <cell r="F46">
            <v>53861.928999999996</v>
          </cell>
          <cell r="G46">
            <v>53017.877</v>
          </cell>
          <cell r="H46">
            <v>57070.172606144006</v>
          </cell>
          <cell r="I46">
            <v>69649.535000000003</v>
          </cell>
          <cell r="J46">
            <v>69313.578000000009</v>
          </cell>
          <cell r="K46">
            <v>79464.37000000001</v>
          </cell>
          <cell r="L46">
            <v>82642.944800000012</v>
          </cell>
          <cell r="M46">
            <v>85948.662592000022</v>
          </cell>
          <cell r="N46">
            <v>89386.609095680033</v>
          </cell>
          <cell r="P46" t="str">
            <v>Cost/Income</v>
          </cell>
          <cell r="Q46">
            <v>54.425173971634663</v>
          </cell>
          <cell r="R46">
            <v>42.914813389209463</v>
          </cell>
          <cell r="S46">
            <v>41.143469813455617</v>
          </cell>
          <cell r="T46">
            <v>37.9</v>
          </cell>
          <cell r="U46">
            <v>43.423351814383686</v>
          </cell>
          <cell r="V46">
            <v>47.736178221962938</v>
          </cell>
          <cell r="W46">
            <v>46.100108087751678</v>
          </cell>
          <cell r="X46">
            <v>43.478388715607501</v>
          </cell>
          <cell r="Y46">
            <v>48.431282309616194</v>
          </cell>
          <cell r="Z46">
            <v>62.653708055491656</v>
          </cell>
          <cell r="AA46">
            <v>56.451378271616527</v>
          </cell>
          <cell r="AB46">
            <v>55.856159503658233</v>
          </cell>
        </row>
        <row r="47">
          <cell r="B47" t="str">
            <v>Certificates of Deposits</v>
          </cell>
          <cell r="C47">
            <v>2050.8671610000001</v>
          </cell>
          <cell r="D47">
            <v>2741.2278759999999</v>
          </cell>
          <cell r="E47">
            <v>4536.4353770000016</v>
          </cell>
          <cell r="F47">
            <v>2192.4790000000066</v>
          </cell>
          <cell r="G47">
            <v>1569.5350000000035</v>
          </cell>
          <cell r="H47">
            <v>3993.2857669409932</v>
          </cell>
          <cell r="I47">
            <v>6969.4489999999932</v>
          </cell>
          <cell r="J47">
            <v>8384.7350000000006</v>
          </cell>
          <cell r="K47">
            <v>9836.7279999999882</v>
          </cell>
          <cell r="L47">
            <v>10033.462559999989</v>
          </cell>
          <cell r="M47">
            <v>10635.470313599988</v>
          </cell>
          <cell r="N47">
            <v>11273.598532415988</v>
          </cell>
          <cell r="P47" t="str">
            <v>Expenses/Avg Assets</v>
          </cell>
          <cell r="Q47">
            <v>1.5133501595664849</v>
          </cell>
          <cell r="R47">
            <v>1.1757548542640748</v>
          </cell>
          <cell r="S47">
            <v>1.2062435852239075</v>
          </cell>
          <cell r="T47">
            <v>1.1381560913535849</v>
          </cell>
          <cell r="U47">
            <v>1.1355750615502214</v>
          </cell>
          <cell r="V47">
            <v>1.167300164803772</v>
          </cell>
          <cell r="W47">
            <v>1.3071966130229349</v>
          </cell>
          <cell r="X47">
            <v>1.3178754286626646</v>
          </cell>
          <cell r="Y47">
            <v>1.1904282061044258</v>
          </cell>
          <cell r="Z47">
            <v>1.1317094748960028</v>
          </cell>
          <cell r="AA47">
            <v>1.0981392997254564</v>
          </cell>
          <cell r="AB47">
            <v>1.0841965652938459</v>
          </cell>
        </row>
        <row r="48">
          <cell r="B48" t="str">
            <v>Other Interest Bearing Liability</v>
          </cell>
          <cell r="C48">
            <v>12510.805729</v>
          </cell>
          <cell r="D48">
            <v>9952.527562999996</v>
          </cell>
          <cell r="E48">
            <v>12105.286842000001</v>
          </cell>
          <cell r="F48">
            <v>13721.209999999992</v>
          </cell>
          <cell r="G48">
            <v>15615.631999999998</v>
          </cell>
          <cell r="H48">
            <v>20422.343376655008</v>
          </cell>
          <cell r="I48">
            <v>22728.152999999991</v>
          </cell>
          <cell r="J48">
            <v>27214.11</v>
          </cell>
          <cell r="K48">
            <v>34422.557000000001</v>
          </cell>
          <cell r="L48">
            <v>34502.425195289237</v>
          </cell>
          <cell r="M48">
            <v>34489.549009130031</v>
          </cell>
          <cell r="N48">
            <v>36124.470438170771</v>
          </cell>
        </row>
        <row r="49">
          <cell r="B49" t="str">
            <v>EOP Shareholders' Equity</v>
          </cell>
          <cell r="C49">
            <v>2309.1842869999932</v>
          </cell>
          <cell r="D49">
            <v>2614.2119130000001</v>
          </cell>
          <cell r="E49">
            <v>2730.5028729999995</v>
          </cell>
          <cell r="F49">
            <v>3254.91</v>
          </cell>
          <cell r="G49">
            <v>4860.7820000000002</v>
          </cell>
          <cell r="H49">
            <v>6629.1442996239894</v>
          </cell>
          <cell r="I49">
            <v>8006.2560000000103</v>
          </cell>
          <cell r="J49">
            <v>9569.4559999999929</v>
          </cell>
          <cell r="K49">
            <v>9300.2389999999996</v>
          </cell>
          <cell r="L49">
            <v>9481.8816926900254</v>
          </cell>
          <cell r="M49">
            <v>9810.8064008932433</v>
          </cell>
          <cell r="N49">
            <v>10231.479468129677</v>
          </cell>
          <cell r="P49" t="str">
            <v>Rev Per Employee</v>
          </cell>
          <cell r="Q49">
            <v>6.5454412242632168E-2</v>
          </cell>
          <cell r="R49">
            <v>9.1599243251718102E-2</v>
          </cell>
          <cell r="S49">
            <v>0.16006490130842571</v>
          </cell>
          <cell r="T49">
            <v>0.27943317388857625</v>
          </cell>
          <cell r="U49">
            <v>0.30981130978339877</v>
          </cell>
          <cell r="V49">
            <v>0.31418904899135447</v>
          </cell>
          <cell r="W49">
            <v>0.41320929273489593</v>
          </cell>
          <cell r="X49">
            <v>0.48368947125831319</v>
          </cell>
          <cell r="Y49">
            <v>0.42518124809741215</v>
          </cell>
          <cell r="Z49">
            <v>0.34491807238409961</v>
          </cell>
          <cell r="AA49">
            <v>0.39420937673879991</v>
          </cell>
          <cell r="AB49">
            <v>0.40975382957014084</v>
          </cell>
        </row>
        <row r="50">
          <cell r="P50" t="str">
            <v>Exp Per Employee</v>
          </cell>
          <cell r="Q50">
            <v>3.5623677735163499E-2</v>
          </cell>
          <cell r="R50">
            <v>3.9309644307402865E-2</v>
          </cell>
          <cell r="S50">
            <v>6.5856254351769658E-2</v>
          </cell>
          <cell r="T50">
            <v>0.12408469330332018</v>
          </cell>
          <cell r="U50">
            <v>0.13453045500799535</v>
          </cell>
          <cell r="V50">
            <v>0.14998184438040343</v>
          </cell>
          <cell r="W50">
            <v>0.19048993057942126</v>
          </cell>
          <cell r="X50">
            <v>0.210300388490156</v>
          </cell>
          <cell r="Y50">
            <v>0.2059207305936073</v>
          </cell>
          <cell r="Z50">
            <v>0.21610396210216315</v>
          </cell>
          <cell r="AA50">
            <v>0.22253662644500183</v>
          </cell>
          <cell r="AB50">
            <v>0.22887275261704582</v>
          </cell>
        </row>
        <row r="51">
          <cell r="B51" t="str">
            <v>Avg Loans</v>
          </cell>
          <cell r="C51">
            <v>26625.842215500001</v>
          </cell>
          <cell r="D51">
            <v>38623.371096000003</v>
          </cell>
          <cell r="E51">
            <v>46903.289101999995</v>
          </cell>
          <cell r="F51">
            <v>54190.673601999995</v>
          </cell>
          <cell r="G51">
            <v>58130.440499999997</v>
          </cell>
          <cell r="H51">
            <v>63548.466271018493</v>
          </cell>
          <cell r="I51">
            <v>75978.558271018497</v>
          </cell>
          <cell r="J51">
            <v>87098.7065</v>
          </cell>
          <cell r="K51">
            <v>97051.712999999989</v>
          </cell>
          <cell r="L51">
            <v>106249.81482499998</v>
          </cell>
          <cell r="M51">
            <v>109478.04504615</v>
          </cell>
          <cell r="N51">
            <v>113846.410042319</v>
          </cell>
          <cell r="P51" t="str">
            <v>Rev Per Branch</v>
          </cell>
          <cell r="Q51">
            <v>1.1362633666228639</v>
          </cell>
          <cell r="R51">
            <v>1.536113689745837</v>
          </cell>
          <cell r="S51">
            <v>2.4366166439482968</v>
          </cell>
          <cell r="T51">
            <v>3.5468053571428566</v>
          </cell>
          <cell r="U51">
            <v>3.8961462522851922</v>
          </cell>
          <cell r="V51">
            <v>3.9681019108280258</v>
          </cell>
          <cell r="W51">
            <v>5.2967242290748908</v>
          </cell>
          <cell r="X51">
            <v>6.1729344537815143</v>
          </cell>
          <cell r="Y51">
            <v>5.6228679549114284</v>
          </cell>
          <cell r="Z51">
            <v>4.5967280547113178</v>
          </cell>
          <cell r="AA51">
            <v>5.1574169880922138</v>
          </cell>
          <cell r="AB51">
            <v>5.3900578783882658</v>
          </cell>
        </row>
        <row r="52">
          <cell r="B52" t="str">
            <v>Avg Total Assets</v>
          </cell>
          <cell r="C52">
            <v>46646.097966000001</v>
          </cell>
          <cell r="D52">
            <v>63973.402812</v>
          </cell>
          <cell r="E52">
            <v>70726.581053000002</v>
          </cell>
          <cell r="F52">
            <v>77493.237236999994</v>
          </cell>
          <cell r="G52">
            <v>81494.832999999984</v>
          </cell>
          <cell r="H52">
            <v>89169.352612485498</v>
          </cell>
          <cell r="I52">
            <v>106006.9301124855</v>
          </cell>
          <cell r="J52">
            <v>121173.5165</v>
          </cell>
          <cell r="K52">
            <v>142060.14200000002</v>
          </cell>
          <cell r="L52">
            <v>161088.42991363799</v>
          </cell>
          <cell r="M52">
            <v>167823.61512469608</v>
          </cell>
          <cell r="N52">
            <v>175776.24522110104</v>
          </cell>
          <cell r="P52" t="str">
            <v>Exp Per Branch</v>
          </cell>
          <cell r="Q52">
            <v>0.61841331406044675</v>
          </cell>
          <cell r="R52">
            <v>0.65922032340052594</v>
          </cell>
          <cell r="S52">
            <v>1.0025086333725031</v>
          </cell>
          <cell r="T52">
            <v>1.5749892857142855</v>
          </cell>
          <cell r="U52">
            <v>1.6918372943327238</v>
          </cell>
          <cell r="V52">
            <v>1.8942202001819832</v>
          </cell>
          <cell r="W52">
            <v>2.4417955947136565</v>
          </cell>
          <cell r="X52">
            <v>2.6838924369747894</v>
          </cell>
          <cell r="Y52">
            <v>2.7232270531400968</v>
          </cell>
          <cell r="Z52">
            <v>2.8800205755037096</v>
          </cell>
          <cell r="AA52">
            <v>2.9114329729925479</v>
          </cell>
          <cell r="AB52">
            <v>3.0106793258920468</v>
          </cell>
        </row>
        <row r="53">
          <cell r="B53" t="str">
            <v>Avg Total Deposits</v>
          </cell>
          <cell r="C53">
            <v>32322.240476500003</v>
          </cell>
          <cell r="D53">
            <v>45285.3858415</v>
          </cell>
          <cell r="E53">
            <v>51811.351515000002</v>
          </cell>
          <cell r="F53">
            <v>56142.709453000003</v>
          </cell>
          <cell r="G53">
            <v>57014.987000000001</v>
          </cell>
          <cell r="H53">
            <v>59822.302157279497</v>
          </cell>
          <cell r="I53">
            <v>70875.595657279497</v>
          </cell>
          <cell r="J53">
            <v>79236.601500000004</v>
          </cell>
          <cell r="K53">
            <v>86699.833500000008</v>
          </cell>
          <cell r="L53">
            <v>95225.012599999987</v>
          </cell>
          <cell r="M53">
            <v>99035.9804496</v>
          </cell>
          <cell r="N53">
            <v>103204.10899632002</v>
          </cell>
          <cell r="P53" t="str">
            <v>Net Profit Per Branch</v>
          </cell>
          <cell r="Q53">
            <v>-0.43737687604029879</v>
          </cell>
          <cell r="R53">
            <v>0.37395440929009627</v>
          </cell>
          <cell r="S53">
            <v>0.72082366392479524</v>
          </cell>
          <cell r="T53">
            <v>0.92348392857142814</v>
          </cell>
          <cell r="U53">
            <v>2.4346709323583178</v>
          </cell>
          <cell r="V53">
            <v>1.6501401273885354</v>
          </cell>
          <cell r="W53">
            <v>1.809212334801763</v>
          </cell>
          <cell r="X53">
            <v>2.1944638655462207</v>
          </cell>
          <cell r="Y53">
            <v>0.77849597423510009</v>
          </cell>
          <cell r="Z53">
            <v>4.0285454486605081E-2</v>
          </cell>
          <cell r="AA53">
            <v>0.58576781485500629</v>
          </cell>
          <cell r="AB53">
            <v>0.73070993023133424</v>
          </cell>
        </row>
        <row r="54">
          <cell r="B54" t="str">
            <v>Avg Shareholders' Equity</v>
          </cell>
          <cell r="D54">
            <v>2461.6980999999969</v>
          </cell>
          <cell r="E54">
            <v>2672.3573929999998</v>
          </cell>
          <cell r="F54">
            <v>2992.7064364999997</v>
          </cell>
          <cell r="G54">
            <v>4057.846</v>
          </cell>
          <cell r="H54">
            <v>5744.9631498119943</v>
          </cell>
          <cell r="I54">
            <v>7317.7001498119998</v>
          </cell>
          <cell r="J54">
            <v>8787.8560000000016</v>
          </cell>
          <cell r="K54">
            <v>9434.8474999999962</v>
          </cell>
          <cell r="L54">
            <v>9391.0603463450134</v>
          </cell>
          <cell r="M54">
            <v>9646.3440467916334</v>
          </cell>
          <cell r="N54">
            <v>10021.142934511459</v>
          </cell>
        </row>
        <row r="55">
          <cell r="B55" t="str">
            <v>Avg Equity/Avg Assets (%)</v>
          </cell>
          <cell r="C55">
            <v>4.3677219356804979</v>
          </cell>
          <cell r="D55">
            <v>3.8480024381917617</v>
          </cell>
          <cell r="E55">
            <v>3.7784342933209647</v>
          </cell>
          <cell r="F55">
            <v>3.861893686732059</v>
          </cell>
          <cell r="G55">
            <v>4.9792678267099477</v>
          </cell>
          <cell r="H55">
            <v>6.442755253342038</v>
          </cell>
          <cell r="I55">
            <v>6.9030393975630471</v>
          </cell>
          <cell r="J55">
            <v>7.2522909739934818</v>
          </cell>
          <cell r="K55">
            <v>6.6414459166174806</v>
          </cell>
          <cell r="L55">
            <v>5.8297547200501656</v>
          </cell>
          <cell r="M55">
            <v>5.7479062405038883</v>
          </cell>
          <cell r="N55">
            <v>5.7010791884343153</v>
          </cell>
          <cell r="P55" t="str">
            <v>Net Interest Margin Analysis (%)</v>
          </cell>
        </row>
        <row r="56">
          <cell r="B56" t="str">
            <v>Avg EA/Avg Assets (%)</v>
          </cell>
          <cell r="C56">
            <v>89.247380963878484</v>
          </cell>
          <cell r="D56">
            <v>89.109442986057431</v>
          </cell>
          <cell r="E56">
            <v>62.843768427131806</v>
          </cell>
          <cell r="F56">
            <v>86.458221438528923</v>
          </cell>
          <cell r="G56">
            <v>87.176867090457137</v>
          </cell>
          <cell r="H56">
            <v>85.237820398114849</v>
          </cell>
          <cell r="I56">
            <v>83.730051333262693</v>
          </cell>
          <cell r="J56">
            <v>82.050125202069211</v>
          </cell>
          <cell r="K56">
            <v>80.832485722842648</v>
          </cell>
          <cell r="L56">
            <v>76.467483166854691</v>
          </cell>
          <cell r="M56">
            <v>75.557913301449304</v>
          </cell>
          <cell r="N56">
            <v>75.030964286020506</v>
          </cell>
          <cell r="P56" t="str">
            <v>Int Income/Avg EA</v>
          </cell>
          <cell r="Q56">
            <v>10.643674871597739</v>
          </cell>
          <cell r="R56">
            <v>7.3511509692589723</v>
          </cell>
          <cell r="S56">
            <v>6.7593665687715969</v>
          </cell>
          <cell r="T56">
            <v>6.3411313363885</v>
          </cell>
          <cell r="U56">
            <v>6.1076173974259129</v>
          </cell>
          <cell r="V56">
            <v>5.8021686014085239</v>
          </cell>
          <cell r="W56">
            <v>6.2075262413418288</v>
          </cell>
          <cell r="X56">
            <v>6.5828234430452133</v>
          </cell>
          <cell r="Y56">
            <v>6.8408134671669467</v>
          </cell>
          <cell r="Z56">
            <v>6.2134847638400847</v>
          </cell>
          <cell r="AA56">
            <v>6.4918681354455359</v>
          </cell>
          <cell r="AB56">
            <v>6.5820049613349196</v>
          </cell>
        </row>
        <row r="57">
          <cell r="B57" t="str">
            <v>Avg Loans/Avg EA (%)</v>
          </cell>
          <cell r="C57">
            <v>63.957658202007863</v>
          </cell>
          <cell r="D57">
            <v>67.752760706585107</v>
          </cell>
          <cell r="E57">
            <v>105.5257419844756</v>
          </cell>
          <cell r="F57">
            <v>80.882478034107763</v>
          </cell>
          <cell r="G57">
            <v>81.822412864637954</v>
          </cell>
          <cell r="H57">
            <v>83.609788320802053</v>
          </cell>
          <cell r="I57">
            <v>85.600328841985601</v>
          </cell>
          <cell r="J57">
            <v>87.604163249031004</v>
          </cell>
          <cell r="K57">
            <v>84.517185571836038</v>
          </cell>
          <cell r="L57">
            <v>86.255547683076585</v>
          </cell>
          <cell r="M57">
            <v>86.336413980864961</v>
          </cell>
          <cell r="N57">
            <v>86.321430591007115</v>
          </cell>
          <cell r="P57" t="str">
            <v>Int Exp/Avg Int Bearing Liab.</v>
          </cell>
          <cell r="Q57" t="e">
            <v>#DIV/0!</v>
          </cell>
          <cell r="R57" t="e">
            <v>#DIV/0!</v>
          </cell>
          <cell r="S57">
            <v>4.6313369340110055</v>
          </cell>
          <cell r="T57">
            <v>4.0452670229563381</v>
          </cell>
          <cell r="U57">
            <v>3.6809119629991809</v>
          </cell>
          <cell r="V57">
            <v>3.4507662002186983</v>
          </cell>
          <cell r="W57">
            <v>3.9403417237731766</v>
          </cell>
          <cell r="X57">
            <v>4.4205356988732829</v>
          </cell>
          <cell r="Y57">
            <v>4.9115149565837148</v>
          </cell>
          <cell r="Z57">
            <v>4.6521562826867413</v>
          </cell>
          <cell r="AA57">
            <v>4.7449349222804189</v>
          </cell>
          <cell r="AB57">
            <v>4.8429787934421542</v>
          </cell>
        </row>
        <row r="58">
          <cell r="P58" t="str">
            <v xml:space="preserve">Net Interest Spread </v>
          </cell>
          <cell r="Q58">
            <v>0</v>
          </cell>
          <cell r="R58">
            <v>0</v>
          </cell>
          <cell r="S58">
            <v>2.1280296347605914</v>
          </cell>
          <cell r="T58">
            <v>2.2958643134321619</v>
          </cell>
          <cell r="U58">
            <v>2.426705434426732</v>
          </cell>
          <cell r="V58">
            <v>2.351402401189826</v>
          </cell>
          <cell r="W58">
            <v>2.2671845175686522</v>
          </cell>
          <cell r="X58">
            <v>2.1622877441719299</v>
          </cell>
          <cell r="Y58">
            <v>1.9292985105832314</v>
          </cell>
          <cell r="Z58">
            <v>1.561328481153343</v>
          </cell>
          <cell r="AA58">
            <v>1.7469332131651174</v>
          </cell>
          <cell r="AB58">
            <v>1.7390261678927654</v>
          </cell>
        </row>
        <row r="59">
          <cell r="B59" t="str">
            <v>Asset Quality</v>
          </cell>
          <cell r="P59" t="str">
            <v>Contribution From Free Funds</v>
          </cell>
          <cell r="Q59">
            <v>2.5959599671623828</v>
          </cell>
          <cell r="R59">
            <v>1.9422254990907144</v>
          </cell>
          <cell r="S59">
            <v>2.4739102507275401E-2</v>
          </cell>
          <cell r="T59">
            <v>2.8833988348912598E-2</v>
          </cell>
          <cell r="U59">
            <v>1.1681015467736255E-2</v>
          </cell>
          <cell r="V59">
            <v>6.5341927896537921E-2</v>
          </cell>
          <cell r="W59">
            <v>0.13490453061232621</v>
          </cell>
          <cell r="X59">
            <v>0.14999059313308605</v>
          </cell>
          <cell r="Y59">
            <v>0.12630604075538931</v>
          </cell>
          <cell r="Z59">
            <v>0.13288518858895615</v>
          </cell>
          <cell r="AA59">
            <v>8.7176499421316223E-2</v>
          </cell>
          <cell r="AB59">
            <v>0.1021133186356411</v>
          </cell>
        </row>
        <row r="60">
          <cell r="B60" t="str">
            <v>Won billions, Year ending Dec 31</v>
          </cell>
          <cell r="C60">
            <v>2000</v>
          </cell>
          <cell r="D60">
            <v>2001</v>
          </cell>
          <cell r="E60">
            <v>2002</v>
          </cell>
          <cell r="F60">
            <v>2003</v>
          </cell>
          <cell r="G60">
            <v>2004</v>
          </cell>
          <cell r="H60">
            <v>2005</v>
          </cell>
          <cell r="I60">
            <v>2006</v>
          </cell>
          <cell r="J60">
            <v>2007</v>
          </cell>
          <cell r="K60">
            <v>2008</v>
          </cell>
          <cell r="L60" t="str">
            <v>2009E</v>
          </cell>
          <cell r="M60" t="str">
            <v>2010E</v>
          </cell>
          <cell r="N60" t="str">
            <v>2011E</v>
          </cell>
          <cell r="P60" t="str">
            <v>Net Interest Margin</v>
          </cell>
          <cell r="Q60">
            <v>2.5959599671623828</v>
          </cell>
          <cell r="R60">
            <v>1.9422254990907144</v>
          </cell>
          <cell r="S60">
            <v>2.1527687372678668</v>
          </cell>
          <cell r="T60">
            <v>2.3246983017810745</v>
          </cell>
          <cell r="U60">
            <v>2.4383864498944683</v>
          </cell>
          <cell r="V60">
            <v>2.4167443290863639</v>
          </cell>
          <cell r="W60">
            <v>2.4020890481809785</v>
          </cell>
          <cell r="X60">
            <v>2.312278337305016</v>
          </cell>
          <cell r="Y60">
            <v>2.0556045513386207</v>
          </cell>
          <cell r="Z60">
            <v>1.6942136697422991</v>
          </cell>
          <cell r="AA60">
            <v>1.8341097125864336</v>
          </cell>
          <cell r="AB60">
            <v>1.8411394865284065</v>
          </cell>
        </row>
        <row r="61">
          <cell r="B61" t="str">
            <v>Non-performing Loans (NPL)</v>
          </cell>
          <cell r="C61">
            <v>0</v>
          </cell>
          <cell r="D61">
            <v>0</v>
          </cell>
          <cell r="E61">
            <v>979.94100000000003</v>
          </cell>
          <cell r="F61">
            <v>1134.2430000000002</v>
          </cell>
          <cell r="G61">
            <v>862.82200000000012</v>
          </cell>
          <cell r="H61">
            <v>635.66500000000008</v>
          </cell>
          <cell r="I61">
            <v>573.048</v>
          </cell>
          <cell r="J61">
            <v>687.15685434600005</v>
          </cell>
          <cell r="K61">
            <v>1257.5650000000001</v>
          </cell>
          <cell r="L61">
            <v>1943.6494220151201</v>
          </cell>
          <cell r="M61">
            <v>2010.8178262311749</v>
          </cell>
          <cell r="N61">
            <v>1646.4485325195558</v>
          </cell>
        </row>
        <row r="62">
          <cell r="B62" t="str">
            <v>Gross NPL Ratio (%)</v>
          </cell>
          <cell r="C62">
            <v>0</v>
          </cell>
          <cell r="D62">
            <v>0</v>
          </cell>
          <cell r="E62">
            <v>1.7407534800600934</v>
          </cell>
          <cell r="F62">
            <v>1.9842182085651967</v>
          </cell>
          <cell r="G62">
            <v>1.4362584111901322</v>
          </cell>
          <cell r="H62">
            <v>0.97864373109768032</v>
          </cell>
          <cell r="I62">
            <v>0.68631426610592261</v>
          </cell>
          <cell r="J62">
            <v>0.77334405874766943</v>
          </cell>
          <cell r="K62">
            <v>1.1987012754904474</v>
          </cell>
          <cell r="L62">
            <v>1.790020931506711</v>
          </cell>
          <cell r="M62">
            <v>1.796198119035552</v>
          </cell>
          <cell r="N62">
            <v>1.4033577174790395</v>
          </cell>
          <cell r="P62" t="str">
            <v>Liquidity (%)</v>
          </cell>
        </row>
        <row r="63">
          <cell r="B63" t="str">
            <v>Loan Loss Reserve (LLR)</v>
          </cell>
          <cell r="C63">
            <v>2315.1305339999999</v>
          </cell>
          <cell r="D63">
            <v>0</v>
          </cell>
          <cell r="E63">
            <v>915.74700000000007</v>
          </cell>
          <cell r="F63">
            <v>1081.7809999999999</v>
          </cell>
          <cell r="G63">
            <v>953.59899999999993</v>
          </cell>
          <cell r="H63">
            <v>811.20899999999995</v>
          </cell>
          <cell r="I63">
            <v>990.77899999999977</v>
          </cell>
          <cell r="J63">
            <v>1161.7883185707453</v>
          </cell>
          <cell r="K63">
            <v>1595.05</v>
          </cell>
          <cell r="L63">
            <v>1857.0001307794321</v>
          </cell>
          <cell r="M63">
            <v>1935.5941774127398</v>
          </cell>
          <cell r="N63">
            <v>1926.4274624788422</v>
          </cell>
          <cell r="P63" t="str">
            <v>Avg Loans/Avg EA</v>
          </cell>
          <cell r="Q63">
            <v>63.957658202007863</v>
          </cell>
          <cell r="R63">
            <v>67.752760706585107</v>
          </cell>
          <cell r="S63">
            <v>105.5257419844756</v>
          </cell>
          <cell r="T63">
            <v>80.882478034107763</v>
          </cell>
          <cell r="U63">
            <v>81.822412864637954</v>
          </cell>
          <cell r="V63">
            <v>83.609788320802053</v>
          </cell>
          <cell r="W63">
            <v>85.600328841985601</v>
          </cell>
          <cell r="X63">
            <v>87.604163249031004</v>
          </cell>
          <cell r="Y63">
            <v>84.517185571836038</v>
          </cell>
          <cell r="Z63">
            <v>86.255547683076585</v>
          </cell>
          <cell r="AA63">
            <v>86.336413980864961</v>
          </cell>
          <cell r="AB63">
            <v>86.321430591007115</v>
          </cell>
        </row>
        <row r="64">
          <cell r="B64" t="str">
            <v>LLR/NPL (%)</v>
          </cell>
          <cell r="C64" t="str">
            <v>na</v>
          </cell>
          <cell r="D64" t="str">
            <v>na</v>
          </cell>
          <cell r="E64">
            <v>93.449197451683318</v>
          </cell>
          <cell r="F64">
            <v>95.374712473429398</v>
          </cell>
          <cell r="G64">
            <v>110.52094174696516</v>
          </cell>
          <cell r="H64">
            <v>127.61580392187706</v>
          </cell>
          <cell r="I64">
            <v>172.89633678156102</v>
          </cell>
          <cell r="J64">
            <v>169.07177905930587</v>
          </cell>
          <cell r="K64">
            <v>126.83638619077342</v>
          </cell>
          <cell r="L64">
            <v>95.541927970433449</v>
          </cell>
          <cell r="M64">
            <v>96.25905202166301</v>
          </cell>
          <cell r="N64">
            <v>117.00502168329766</v>
          </cell>
          <cell r="P64" t="str">
            <v>Avg Liquid Assets/AEA</v>
          </cell>
          <cell r="Q64">
            <v>47.761146864929366</v>
          </cell>
          <cell r="R64">
            <v>45.260668302293368</v>
          </cell>
          <cell r="S64">
            <v>52.939475788025248</v>
          </cell>
          <cell r="T64">
            <v>32.692845010402309</v>
          </cell>
          <cell r="U64">
            <v>30.772312038773059</v>
          </cell>
          <cell r="V64">
            <v>33.297975321826357</v>
          </cell>
          <cell r="W64">
            <v>32.546261223879</v>
          </cell>
          <cell r="X64">
            <v>30.551843415099572</v>
          </cell>
          <cell r="Y64">
            <v>30.167488943553305</v>
          </cell>
          <cell r="Z64">
            <v>30.439517279420546</v>
          </cell>
          <cell r="AA64">
            <v>30.541047286905641</v>
          </cell>
          <cell r="AB64">
            <v>30.34233377706682</v>
          </cell>
        </row>
        <row r="65">
          <cell r="B65" t="str">
            <v>LLR/Total Credit (%)</v>
          </cell>
          <cell r="C65">
            <v>3.0002086490841178</v>
          </cell>
          <cell r="D65">
            <v>0</v>
          </cell>
          <cell r="E65">
            <v>1.6267201567284058</v>
          </cell>
          <cell r="F65">
            <v>1.8924424112644882</v>
          </cell>
          <cell r="G65">
            <v>1.5873663219673337</v>
          </cell>
          <cell r="H65">
            <v>1.2489040649713576</v>
          </cell>
          <cell r="I65">
            <v>1.1866122249063951</v>
          </cell>
          <cell r="J65">
            <v>1.3075065583741283</v>
          </cell>
          <cell r="K65">
            <v>1.5203893790547909</v>
          </cell>
          <cell r="L65">
            <v>1.7102205090358233</v>
          </cell>
          <cell r="M65">
            <v>1.7290032818145646</v>
          </cell>
          <cell r="N65">
            <v>1.641999001630581</v>
          </cell>
          <cell r="P65" t="str">
            <v>Avg Loans/Avg Deposits</v>
          </cell>
          <cell r="Q65">
            <v>82.376227090007617</v>
          </cell>
          <cell r="R65">
            <v>85.288819733551094</v>
          </cell>
          <cell r="S65">
            <v>90.527051950036338</v>
          </cell>
          <cell r="T65">
            <v>96.523082213133733</v>
          </cell>
          <cell r="U65">
            <v>101.95642156333386</v>
          </cell>
          <cell r="V65">
            <v>106.22872069340042</v>
          </cell>
          <cell r="W65">
            <v>107.19988674016159</v>
          </cell>
          <cell r="X65">
            <v>109.92231475248215</v>
          </cell>
          <cell r="Y65">
            <v>111.93990701262418</v>
          </cell>
          <cell r="Z65">
            <v>111.57763272902943</v>
          </cell>
          <cell r="AA65">
            <v>110.54370800303637</v>
          </cell>
          <cell r="AB65">
            <v>110.31189663812557</v>
          </cell>
        </row>
        <row r="66">
          <cell r="P66" t="str">
            <v>Avg Loans/Avg Depo &amp; Equity</v>
          </cell>
          <cell r="Q66">
            <v>85.085608734411295</v>
          </cell>
          <cell r="R66">
            <v>88.24208977346008</v>
          </cell>
          <cell r="S66">
            <v>94.739200112771243</v>
          </cell>
          <cell r="T66">
            <v>99.643264750248647</v>
          </cell>
          <cell r="U66">
            <v>101.10037612081126</v>
          </cell>
          <cell r="V66">
            <v>104.53943783415723</v>
          </cell>
          <cell r="W66">
            <v>107.50026567369369</v>
          </cell>
          <cell r="X66">
            <v>111.28064427467115</v>
          </cell>
          <cell r="Y66">
            <v>115.78058750280189</v>
          </cell>
          <cell r="Z66">
            <v>117.47487025497811</v>
          </cell>
          <cell r="AA66">
            <v>116.53772846017398</v>
          </cell>
          <cell r="AB66">
            <v>116.53990505974896</v>
          </cell>
        </row>
        <row r="67">
          <cell r="B67" t="str">
            <v>Specific Reserve</v>
          </cell>
          <cell r="C67">
            <v>0</v>
          </cell>
          <cell r="D67">
            <v>0</v>
          </cell>
          <cell r="E67">
            <v>271.33365500000002</v>
          </cell>
          <cell r="F67">
            <v>272.97055499999999</v>
          </cell>
          <cell r="G67">
            <v>289.30635000000001</v>
          </cell>
          <cell r="H67">
            <v>316.29219499999999</v>
          </cell>
          <cell r="I67">
            <v>409.67789499999998</v>
          </cell>
          <cell r="J67">
            <v>435.00255018420506</v>
          </cell>
          <cell r="K67">
            <v>509.20642999999995</v>
          </cell>
          <cell r="L67">
            <v>512.72478065445353</v>
          </cell>
          <cell r="M67">
            <v>528.58508210394768</v>
          </cell>
          <cell r="N67">
            <v>565.71621933927167</v>
          </cell>
          <cell r="P67" t="str">
            <v>Period-End Loans/Deposits</v>
          </cell>
          <cell r="Q67">
            <v>85.084430804538599</v>
          </cell>
          <cell r="R67">
            <v>85.462636527256279</v>
          </cell>
          <cell r="S67">
            <v>95.060665147378742</v>
          </cell>
          <cell r="T67">
            <v>97.911068376076543</v>
          </cell>
          <cell r="U67">
            <v>106.08691658920026</v>
          </cell>
          <cell r="V67">
            <v>106.3552682804809</v>
          </cell>
          <cell r="W67">
            <v>107.87989557332733</v>
          </cell>
          <cell r="X67">
            <v>111.92851899008586</v>
          </cell>
          <cell r="Y67">
            <v>111.94964888397743</v>
          </cell>
          <cell r="Z67">
            <v>111.21919935585782</v>
          </cell>
          <cell r="AA67">
            <v>109.89548657767077</v>
          </cell>
          <cell r="AB67">
            <v>110.71148236323631</v>
          </cell>
        </row>
        <row r="68">
          <cell r="B68" t="str">
            <v>Specific Reserve/NPLs (%)</v>
          </cell>
          <cell r="C68" t="str">
            <v>na</v>
          </cell>
          <cell r="D68" t="str">
            <v>na</v>
          </cell>
          <cell r="E68">
            <v>27.688774630309375</v>
          </cell>
          <cell r="F68">
            <v>24.066320444560819</v>
          </cell>
          <cell r="G68">
            <v>33.530247258414825</v>
          </cell>
          <cell r="H68">
            <v>49.757686045322608</v>
          </cell>
          <cell r="I68">
            <v>71.491026057154016</v>
          </cell>
          <cell r="J68">
            <v>63.304694908154225</v>
          </cell>
          <cell r="K68">
            <v>40.491460083574204</v>
          </cell>
          <cell r="L68">
            <v>26.379488751776808</v>
          </cell>
          <cell r="M68">
            <v>26.287069629507982</v>
          </cell>
          <cell r="N68">
            <v>34.359787637792586</v>
          </cell>
        </row>
        <row r="69">
          <cell r="B69" t="str">
            <v>General Reserve</v>
          </cell>
          <cell r="C69">
            <v>2315.1305339999999</v>
          </cell>
          <cell r="D69">
            <v>0</v>
          </cell>
          <cell r="E69">
            <v>644.41334500000005</v>
          </cell>
          <cell r="F69">
            <v>808.81044499999996</v>
          </cell>
          <cell r="G69">
            <v>664.29264999999987</v>
          </cell>
          <cell r="H69">
            <v>494.91680499999995</v>
          </cell>
          <cell r="I69">
            <v>581.10110499999973</v>
          </cell>
          <cell r="J69">
            <v>726.78576838654021</v>
          </cell>
          <cell r="K69">
            <v>1085.84357</v>
          </cell>
          <cell r="L69">
            <v>1344.2753501249786</v>
          </cell>
          <cell r="M69">
            <v>1407.009095308792</v>
          </cell>
          <cell r="N69">
            <v>1360.7112431395706</v>
          </cell>
          <cell r="P69" t="str">
            <v>Capital Information</v>
          </cell>
        </row>
        <row r="70">
          <cell r="B70" t="str">
            <v>General Reserve/NPLs (%)</v>
          </cell>
          <cell r="C70" t="e">
            <v>#DIV/0!</v>
          </cell>
          <cell r="D70" t="e">
            <v>#DIV/0!</v>
          </cell>
          <cell r="E70">
            <v>65.760422821373936</v>
          </cell>
          <cell r="F70">
            <v>71.308392028868582</v>
          </cell>
          <cell r="G70">
            <v>76.990694488550332</v>
          </cell>
          <cell r="H70">
            <v>77.858117876554459</v>
          </cell>
          <cell r="I70">
            <v>101.40531072440699</v>
          </cell>
          <cell r="J70">
            <v>105.76708415115161</v>
          </cell>
          <cell r="K70">
            <v>86.344926107199228</v>
          </cell>
          <cell r="L70">
            <v>69.162439218656644</v>
          </cell>
          <cell r="M70">
            <v>69.971982392155013</v>
          </cell>
          <cell r="N70">
            <v>82.645234045505063</v>
          </cell>
          <cell r="P70" t="str">
            <v>Tier 1 Ratio (%)</v>
          </cell>
          <cell r="Q70" t="e">
            <v>#DIV/0!</v>
          </cell>
          <cell r="R70" t="e">
            <v>#DIV/0!</v>
          </cell>
          <cell r="S70">
            <v>5.7077502037031973</v>
          </cell>
          <cell r="T70">
            <v>6.2119320704425416</v>
          </cell>
          <cell r="U70">
            <v>7.5772079497527098</v>
          </cell>
          <cell r="V70">
            <v>9.2980198827211868</v>
          </cell>
          <cell r="W70">
            <v>7.932598629672249</v>
          </cell>
          <cell r="X70">
            <v>7.827630364023241</v>
          </cell>
          <cell r="Y70">
            <v>9.4265824287043909</v>
          </cell>
          <cell r="Z70">
            <v>9.4371844064279333</v>
          </cell>
          <cell r="AA70">
            <v>9.3639344054147635</v>
          </cell>
          <cell r="AB70">
            <v>9.3113055457209093</v>
          </cell>
        </row>
        <row r="71">
          <cell r="B71" t="str">
            <v>Net Charge-offs (NCO)</v>
          </cell>
          <cell r="C71">
            <v>1255.2463950000001</v>
          </cell>
          <cell r="D71">
            <v>1785.11</v>
          </cell>
          <cell r="E71">
            <v>0</v>
          </cell>
          <cell r="F71">
            <v>518.6</v>
          </cell>
          <cell r="G71">
            <v>362.79999999999995</v>
          </cell>
          <cell r="H71">
            <v>241.79999999999998</v>
          </cell>
          <cell r="I71">
            <v>101</v>
          </cell>
          <cell r="J71">
            <v>155.20000000000002</v>
          </cell>
          <cell r="K71">
            <v>280.79999999999995</v>
          </cell>
          <cell r="L71">
            <v>850.1833707658252</v>
          </cell>
          <cell r="M71">
            <v>887.31673532359741</v>
          </cell>
          <cell r="N71">
            <v>940.95577388195045</v>
          </cell>
          <cell r="P71" t="str">
            <v>Tier 2 Ratio (%)</v>
          </cell>
          <cell r="Q71" t="e">
            <v>#DIV/0!</v>
          </cell>
          <cell r="R71" t="e">
            <v>#DIV/0!</v>
          </cell>
          <cell r="S71">
            <v>4.6314151605852496</v>
          </cell>
          <cell r="T71">
            <v>5.0509747591367109</v>
          </cell>
          <cell r="U71">
            <v>4.3502069253654341</v>
          </cell>
          <cell r="V71">
            <v>4.2285330041382272</v>
          </cell>
          <cell r="W71">
            <v>3.6511106009102186</v>
          </cell>
          <cell r="X71">
            <v>3.9915990220924158</v>
          </cell>
          <cell r="Y71">
            <v>4.0834464953488245</v>
          </cell>
          <cell r="Z71">
            <v>3.8642036961024111</v>
          </cell>
          <cell r="AA71">
            <v>3.7124508741334834</v>
          </cell>
          <cell r="AB71">
            <v>3.52898392388565</v>
          </cell>
        </row>
        <row r="72">
          <cell r="B72" t="str">
            <v>NCO/Avg Total Credit (%)</v>
          </cell>
          <cell r="C72" t="e">
            <v>#DIV/0!</v>
          </cell>
          <cell r="D72" t="e">
            <v>#DIV/0!</v>
          </cell>
          <cell r="E72">
            <v>0</v>
          </cell>
          <cell r="F72">
            <v>0.91417660337207063</v>
          </cell>
          <cell r="G72">
            <v>0.61891456476394158</v>
          </cell>
          <cell r="H72">
            <v>0.38679349750221864</v>
          </cell>
          <cell r="I72">
            <v>0.13607265002314481</v>
          </cell>
          <cell r="J72">
            <v>0.18009685961682195</v>
          </cell>
          <cell r="K72">
            <v>0.28983430566297252</v>
          </cell>
          <cell r="L72">
            <v>0.79645036177194206</v>
          </cell>
          <cell r="M72">
            <v>0.80470911527782285</v>
          </cell>
          <cell r="N72">
            <v>0.82082535934199907</v>
          </cell>
          <cell r="P72" t="str">
            <v>Total CAR (%)</v>
          </cell>
          <cell r="Q72" t="e">
            <v>#DIV/0!</v>
          </cell>
          <cell r="R72" t="e">
            <v>#DIV/0!</v>
          </cell>
          <cell r="S72">
            <v>10.339165364288448</v>
          </cell>
          <cell r="T72">
            <v>11.262906829579252</v>
          </cell>
          <cell r="U72">
            <v>11.927414875118144</v>
          </cell>
          <cell r="V72">
            <v>13.526552886859413</v>
          </cell>
          <cell r="W72">
            <v>11.583709230582468</v>
          </cell>
          <cell r="X72">
            <v>11.819229386115657</v>
          </cell>
          <cell r="Y72">
            <v>13.510028924053216</v>
          </cell>
          <cell r="Z72">
            <v>13.301388102530344</v>
          </cell>
          <cell r="AA72">
            <v>13.076385279548248</v>
          </cell>
          <cell r="AB72">
            <v>12.84028946960656</v>
          </cell>
        </row>
        <row r="73">
          <cell r="B73" t="str">
            <v>LLPE/Avg Loans (%)</v>
          </cell>
          <cell r="C73">
            <v>5.6482325622906453</v>
          </cell>
          <cell r="D73">
            <v>1.5639306043447803</v>
          </cell>
          <cell r="E73">
            <v>0.76082302079916075</v>
          </cell>
          <cell r="F73">
            <v>1.530003125795063</v>
          </cell>
          <cell r="G73">
            <v>0.60767473454807208</v>
          </cell>
          <cell r="H73">
            <v>0.33329836647307864</v>
          </cell>
          <cell r="I73">
            <v>0.42418019943257312</v>
          </cell>
          <cell r="J73">
            <v>0.45975768882400109</v>
          </cell>
          <cell r="K73">
            <v>1.2706432085335786</v>
          </cell>
          <cell r="L73">
            <v>1.0398889299737253</v>
          </cell>
          <cell r="M73">
            <v>0.90615752622089185</v>
          </cell>
          <cell r="N73">
            <v>0.84333508485824171</v>
          </cell>
        </row>
        <row r="152">
          <cell r="P152">
            <v>3810988.7930000001</v>
          </cell>
          <cell r="Q152">
            <v>0</v>
          </cell>
        </row>
        <row r="167">
          <cell r="C167">
            <v>2891795.6310000001</v>
          </cell>
          <cell r="D167">
            <v>3078048.412</v>
          </cell>
          <cell r="E167">
            <v>4094917.1359999999</v>
          </cell>
          <cell r="F167">
            <v>4859382.1409999998</v>
          </cell>
        </row>
        <row r="171">
          <cell r="A171" t="str">
            <v>Contra Account of Guarantee Issued</v>
          </cell>
        </row>
        <row r="188">
          <cell r="P188">
            <v>2791587</v>
          </cell>
          <cell r="Q188">
            <v>0</v>
          </cell>
        </row>
        <row r="192">
          <cell r="P192">
            <v>2348914.6860000002</v>
          </cell>
        </row>
        <row r="203">
          <cell r="C203">
            <v>331599</v>
          </cell>
          <cell r="D203">
            <v>316714</v>
          </cell>
          <cell r="E203">
            <v>620630</v>
          </cell>
          <cell r="F203">
            <v>1055526</v>
          </cell>
        </row>
        <row r="207">
          <cell r="A207" t="str">
            <v xml:space="preserve">    Guarantee Payment</v>
          </cell>
        </row>
      </sheetData>
      <sheetData sheetId="9" refreshError="1">
        <row r="1">
          <cell r="A1" t="str">
            <v>Summary of 2Q06 results</v>
          </cell>
        </row>
        <row r="3">
          <cell r="A3" t="str">
            <v>(Won billions)</v>
          </cell>
          <cell r="B3" t="str">
            <v>2Q06A</v>
          </cell>
          <cell r="C3" t="str">
            <v>2Q05</v>
          </cell>
          <cell r="D3" t="str">
            <v>Change (y-y)</v>
          </cell>
          <cell r="E3" t="str">
            <v>1Q06</v>
          </cell>
          <cell r="F3" t="str">
            <v>Change (q-q)</v>
          </cell>
          <cell r="G3" t="str">
            <v>2Q06E</v>
          </cell>
          <cell r="H3" t="str">
            <v>Difference</v>
          </cell>
          <cell r="V3" t="str">
            <v>1Q05</v>
          </cell>
          <cell r="W3" t="str">
            <v>2Q05</v>
          </cell>
          <cell r="X3" t="str">
            <v>3Q05</v>
          </cell>
          <cell r="Y3" t="str">
            <v>4Q05</v>
          </cell>
        </row>
        <row r="4">
          <cell r="A4" t="str">
            <v>Income statement</v>
          </cell>
        </row>
        <row r="5">
          <cell r="A5" t="str">
            <v>Net operating revenue</v>
          </cell>
          <cell r="B5">
            <v>696.29200000000003</v>
          </cell>
          <cell r="C5">
            <v>522.69100000000026</v>
          </cell>
          <cell r="D5">
            <v>0.33212930775544192</v>
          </cell>
          <cell r="E5">
            <v>769.59800000000007</v>
          </cell>
          <cell r="F5">
            <v>-9.525232653931015E-2</v>
          </cell>
          <cell r="G5">
            <v>700.58100000000002</v>
          </cell>
          <cell r="H5">
            <v>-6.1220615460596539E-3</v>
          </cell>
          <cell r="K5" t="str">
            <v>Provisioning expenses</v>
          </cell>
          <cell r="V5">
            <v>505.05099999999993</v>
          </cell>
          <cell r="W5">
            <v>522.69100000000026</v>
          </cell>
          <cell r="X5">
            <v>573.55799999999988</v>
          </cell>
          <cell r="Y5">
            <v>579.17199999999991</v>
          </cell>
        </row>
        <row r="6">
          <cell r="A6" t="str">
            <v xml:space="preserve">   Net interest income</v>
          </cell>
          <cell r="B6">
            <v>591.87300000000005</v>
          </cell>
          <cell r="C6">
            <v>491.70000000000005</v>
          </cell>
          <cell r="D6">
            <v>0.20372788285539967</v>
          </cell>
          <cell r="E6">
            <v>581.80199999999991</v>
          </cell>
          <cell r="F6">
            <v>1.7310012684728093E-2</v>
          </cell>
          <cell r="G6">
            <v>591.87300000000005</v>
          </cell>
          <cell r="H6">
            <v>0</v>
          </cell>
          <cell r="V6">
            <v>450.30029676699996</v>
          </cell>
          <cell r="W6">
            <v>491.70000000000005</v>
          </cell>
          <cell r="X6">
            <v>510.80000000000007</v>
          </cell>
          <cell r="Y6">
            <v>543.35845403600013</v>
          </cell>
        </row>
        <row r="7">
          <cell r="A7" t="str">
            <v xml:space="preserve">   Non-interest income</v>
          </cell>
          <cell r="B7">
            <v>104.419</v>
          </cell>
          <cell r="C7">
            <v>30.991000000000167</v>
          </cell>
          <cell r="D7">
            <v>2.3693330321706121</v>
          </cell>
          <cell r="E7">
            <v>187.79600000000019</v>
          </cell>
          <cell r="F7">
            <v>-0.44397644252273805</v>
          </cell>
          <cell r="G7">
            <v>108.70800000000001</v>
          </cell>
          <cell r="H7">
            <v>-3.9454317989476517E-2</v>
          </cell>
          <cell r="K7" t="str">
            <v>Actual</v>
          </cell>
          <cell r="L7" t="str">
            <v>Expected</v>
          </cell>
          <cell r="V7">
            <v>54.750703232999982</v>
          </cell>
          <cell r="W7">
            <v>30.991000000000167</v>
          </cell>
          <cell r="X7">
            <v>62.757999999999853</v>
          </cell>
          <cell r="Y7">
            <v>35.8135459639998</v>
          </cell>
        </row>
        <row r="8">
          <cell r="A8" t="str">
            <v>Loan loss prov. Expenses</v>
          </cell>
          <cell r="B8">
            <v>59.65</v>
          </cell>
          <cell r="C8">
            <v>23.966999999999999</v>
          </cell>
          <cell r="D8">
            <v>1.4888388200442275</v>
          </cell>
          <cell r="E8">
            <v>43.924999999999997</v>
          </cell>
          <cell r="F8">
            <v>0.35799658508821852</v>
          </cell>
          <cell r="G8">
            <v>63.939000000000007</v>
          </cell>
          <cell r="H8">
            <v>-6.7079560205821287E-2</v>
          </cell>
          <cell r="J8" t="str">
            <v>Corp</v>
          </cell>
          <cell r="K8">
            <v>35.9</v>
          </cell>
          <cell r="L8">
            <v>36</v>
          </cell>
          <cell r="V8">
            <v>62.860999999999997</v>
          </cell>
          <cell r="W8">
            <v>23.966999999999999</v>
          </cell>
          <cell r="X8">
            <v>29.13</v>
          </cell>
          <cell r="Y8">
            <v>95.847999999999999</v>
          </cell>
        </row>
        <row r="9">
          <cell r="A9" t="str">
            <v>SG&amp;A expenses</v>
          </cell>
          <cell r="B9">
            <v>324.84399999999999</v>
          </cell>
          <cell r="C9">
            <v>245.69799999999995</v>
          </cell>
          <cell r="D9">
            <v>0.32212716424228138</v>
          </cell>
          <cell r="E9">
            <v>340.69400000000002</v>
          </cell>
          <cell r="F9">
            <v>-4.6522686046716499E-2</v>
          </cell>
          <cell r="G9">
            <v>324.84399999999999</v>
          </cell>
          <cell r="H9">
            <v>0</v>
          </cell>
          <cell r="J9" t="str">
            <v>Retail</v>
          </cell>
          <cell r="K9">
            <v>22.8</v>
          </cell>
          <cell r="L9">
            <v>22.8</v>
          </cell>
          <cell r="V9">
            <v>250.036</v>
          </cell>
          <cell r="W9">
            <v>245.69799999999995</v>
          </cell>
          <cell r="X9">
            <v>238.11399999999998</v>
          </cell>
          <cell r="Y9">
            <v>307.02600000000007</v>
          </cell>
        </row>
        <row r="10">
          <cell r="A10" t="str">
            <v>Operating profits</v>
          </cell>
          <cell r="B10">
            <v>311.79800000000006</v>
          </cell>
          <cell r="C10">
            <v>253.02600000000032</v>
          </cell>
          <cell r="D10">
            <v>0.23227652494209949</v>
          </cell>
          <cell r="E10">
            <v>384.9790000000001</v>
          </cell>
          <cell r="F10">
            <v>-0.19009088807441454</v>
          </cell>
          <cell r="G10">
            <v>311.79800000000006</v>
          </cell>
          <cell r="H10">
            <v>0</v>
          </cell>
          <cell r="J10" t="str">
            <v>C/C</v>
          </cell>
          <cell r="K10">
            <v>2.6</v>
          </cell>
          <cell r="L10">
            <v>2.6</v>
          </cell>
          <cell r="V10">
            <v>192.15399999999994</v>
          </cell>
          <cell r="W10">
            <v>253.02600000000032</v>
          </cell>
          <cell r="X10">
            <v>306.31399999999991</v>
          </cell>
          <cell r="Y10">
            <v>176.29799999999983</v>
          </cell>
        </row>
        <row r="11">
          <cell r="A11" t="str">
            <v>Non-operating income</v>
          </cell>
          <cell r="B11">
            <v>34.134999999999934</v>
          </cell>
          <cell r="C11">
            <v>45.23599999999999</v>
          </cell>
          <cell r="D11">
            <v>-0.24540189229817089</v>
          </cell>
          <cell r="E11">
            <v>30.067999999999998</v>
          </cell>
          <cell r="F11">
            <v>0.13526007715843869</v>
          </cell>
          <cell r="G11">
            <v>34.134999999999998</v>
          </cell>
          <cell r="H11">
            <v>-1.8873791418627661E-15</v>
          </cell>
          <cell r="V11">
            <v>72.852000000000004</v>
          </cell>
          <cell r="W11">
            <v>45.23599999999999</v>
          </cell>
          <cell r="X11">
            <v>16.148000000000003</v>
          </cell>
          <cell r="Y11">
            <v>106.03999999999996</v>
          </cell>
        </row>
        <row r="12">
          <cell r="A12" t="str">
            <v>Pretax profits</v>
          </cell>
          <cell r="B12">
            <v>345.93299999999999</v>
          </cell>
          <cell r="C12">
            <v>298.26200000000028</v>
          </cell>
          <cell r="D12">
            <v>0.15982927761498167</v>
          </cell>
          <cell r="E12">
            <v>415.04700000000008</v>
          </cell>
          <cell r="F12">
            <v>-0.16652090004264597</v>
          </cell>
          <cell r="G12">
            <v>345.93300000000005</v>
          </cell>
          <cell r="H12">
            <v>0</v>
          </cell>
          <cell r="V12">
            <v>265.00599999999997</v>
          </cell>
          <cell r="W12">
            <v>298.26200000000028</v>
          </cell>
          <cell r="X12">
            <v>322.46199999999993</v>
          </cell>
          <cell r="Y12">
            <v>282.33799999999979</v>
          </cell>
        </row>
        <row r="13">
          <cell r="A13" t="str">
            <v>Net profits</v>
          </cell>
          <cell r="B13">
            <v>244.09899999999999</v>
          </cell>
          <cell r="C13">
            <v>261.39100000000025</v>
          </cell>
          <cell r="D13">
            <v>-6.6153769640118654E-2</v>
          </cell>
          <cell r="E13">
            <v>288.28800000000012</v>
          </cell>
          <cell r="F13">
            <v>-0.15328074703074746</v>
          </cell>
          <cell r="G13">
            <v>244.09899999999999</v>
          </cell>
          <cell r="H13">
            <v>0</v>
          </cell>
          <cell r="V13">
            <v>204.90199999999999</v>
          </cell>
          <cell r="W13">
            <v>261.39100000000025</v>
          </cell>
          <cell r="X13">
            <v>235.19699999999995</v>
          </cell>
          <cell r="Y13">
            <v>205.26199999999977</v>
          </cell>
        </row>
        <row r="14">
          <cell r="A14" t="str">
            <v xml:space="preserve">   Net interest margin *</v>
          </cell>
          <cell r="B14">
            <v>2.46E-2</v>
          </cell>
          <cell r="C14">
            <v>2.4447579188013619E-2</v>
          </cell>
          <cell r="D14">
            <v>1.5242081198638124</v>
          </cell>
          <cell r="E14">
            <v>2.6724603208946176E-2</v>
          </cell>
          <cell r="F14">
            <v>-21.246032089461757</v>
          </cell>
          <cell r="G14">
            <v>2.4622077189826692E-2</v>
          </cell>
          <cell r="H14">
            <v>-0.22077189826691379</v>
          </cell>
          <cell r="V14">
            <v>2.2953968171109906E-2</v>
          </cell>
          <cell r="W14">
            <v>2.4447579188013619E-2</v>
          </cell>
          <cell r="X14">
            <v>2.4129847724601534E-2</v>
          </cell>
          <cell r="Y14">
            <v>2.5017312347218826E-2</v>
          </cell>
        </row>
        <row r="15">
          <cell r="A15" t="str">
            <v xml:space="preserve">   Cost / income</v>
          </cell>
          <cell r="B15">
            <v>0.46653415521074487</v>
          </cell>
          <cell r="C15">
            <v>0.47006357484632377</v>
          </cell>
          <cell r="E15">
            <v>0.44269085938373021</v>
          </cell>
          <cell r="G15">
            <v>0.46367800439920576</v>
          </cell>
        </row>
        <row r="16">
          <cell r="A16" t="str">
            <v xml:space="preserve">   LLPE / Avg. total credit (annualized)</v>
          </cell>
          <cell r="B16">
            <v>3.2501023574513922E-3</v>
          </cell>
          <cell r="C16">
            <v>1.5305366756734784E-3</v>
          </cell>
          <cell r="D16">
            <v>17.195656817779138</v>
          </cell>
          <cell r="E16">
            <v>2.6354667997069902E-3</v>
          </cell>
          <cell r="F16">
            <v>6.1463555774440195</v>
          </cell>
          <cell r="G16">
            <v>3.4837940542824112E-3</v>
          </cell>
          <cell r="H16">
            <v>-2.3369169683101894</v>
          </cell>
        </row>
        <row r="17">
          <cell r="A17" t="str">
            <v>Balance sheet</v>
          </cell>
        </row>
        <row r="18">
          <cell r="A18" t="str">
            <v>Total assets</v>
          </cell>
          <cell r="B18">
            <v>110710.629</v>
          </cell>
          <cell r="C18">
            <v>88273.888000000006</v>
          </cell>
          <cell r="D18">
            <v>0.2541718905595276</v>
          </cell>
          <cell r="E18">
            <v>97381.525999999998</v>
          </cell>
          <cell r="F18">
            <v>0.13687506806989247</v>
          </cell>
          <cell r="G18">
            <v>110710.62899999999</v>
          </cell>
          <cell r="H18">
            <v>0</v>
          </cell>
          <cell r="V18">
            <v>86033.645000000004</v>
          </cell>
          <cell r="W18">
            <v>88273.888000000006</v>
          </cell>
          <cell r="X18">
            <v>92580.868000000002</v>
          </cell>
          <cell r="Y18">
            <v>95915.497224970997</v>
          </cell>
        </row>
        <row r="19">
          <cell r="A19" t="str">
            <v xml:space="preserve">   Net loans</v>
          </cell>
          <cell r="B19">
            <v>80782.680999999997</v>
          </cell>
          <cell r="C19">
            <v>63077.800999999999</v>
          </cell>
          <cell r="D19">
            <v>0.28068321532007756</v>
          </cell>
          <cell r="E19">
            <v>67832.312999999995</v>
          </cell>
          <cell r="F19">
            <v>0.19091738770576794</v>
          </cell>
          <cell r="G19">
            <v>80782.680999999997</v>
          </cell>
          <cell r="H19">
            <v>0</v>
          </cell>
          <cell r="V19">
            <v>59929.012999999999</v>
          </cell>
          <cell r="W19">
            <v>63077.800999999999</v>
          </cell>
          <cell r="X19">
            <v>66676.78</v>
          </cell>
          <cell r="Y19">
            <v>66446.510872058003</v>
          </cell>
        </row>
        <row r="20">
          <cell r="A20" t="str">
            <v>Total liabilities</v>
          </cell>
          <cell r="B20">
            <v>103317.999</v>
          </cell>
          <cell r="C20">
            <v>82868.596000000005</v>
          </cell>
          <cell r="D20">
            <v>0.24676902936789213</v>
          </cell>
          <cell r="E20">
            <v>90348.698999999993</v>
          </cell>
          <cell r="F20">
            <v>0.14354716939532253</v>
          </cell>
          <cell r="G20">
            <v>103317.999</v>
          </cell>
          <cell r="H20">
            <v>0</v>
          </cell>
        </row>
        <row r="21">
          <cell r="A21" t="str">
            <v xml:space="preserve">   Deposits</v>
          </cell>
          <cell r="B21">
            <v>71485.498000000007</v>
          </cell>
          <cell r="C21">
            <v>59354.055</v>
          </cell>
          <cell r="D21">
            <v>0.20439114058845687</v>
          </cell>
          <cell r="E21">
            <v>62083.572</v>
          </cell>
          <cell r="F21">
            <v>0.15143983661249405</v>
          </cell>
          <cell r="G21">
            <v>71485.498000000007</v>
          </cell>
          <cell r="H21">
            <v>0</v>
          </cell>
          <cell r="V21">
            <v>57649.256000000001</v>
          </cell>
          <cell r="W21">
            <v>59354.055</v>
          </cell>
          <cell r="X21">
            <v>63542.572999999997</v>
          </cell>
          <cell r="Y21">
            <v>63223.361314558999</v>
          </cell>
        </row>
        <row r="22">
          <cell r="A22" t="str">
            <v>Shareholders' equity</v>
          </cell>
          <cell r="B22">
            <v>7392.63</v>
          </cell>
          <cell r="C22">
            <v>5405.2920000000004</v>
          </cell>
          <cell r="D22">
            <v>0.36766524361681108</v>
          </cell>
          <cell r="E22">
            <v>7032.8269999999993</v>
          </cell>
          <cell r="F22">
            <v>5.1160507716171644E-2</v>
          </cell>
          <cell r="G22">
            <v>7392.63</v>
          </cell>
          <cell r="H22">
            <v>0</v>
          </cell>
        </row>
        <row r="23">
          <cell r="A23" t="str">
            <v xml:space="preserve">   Tier 1 ratio</v>
          </cell>
          <cell r="B23" t="str">
            <v>NA</v>
          </cell>
          <cell r="C23">
            <v>8.3606358453860011E-2</v>
          </cell>
          <cell r="D23" t="str">
            <v>NA</v>
          </cell>
          <cell r="E23">
            <v>9.3579741492587729E-2</v>
          </cell>
          <cell r="F23" t="str">
            <v>NA</v>
          </cell>
          <cell r="G23">
            <v>8.4619620457365624E-2</v>
          </cell>
          <cell r="H23" t="str">
            <v>NA</v>
          </cell>
          <cell r="V23">
            <v>7.9892089447319251E-2</v>
          </cell>
          <cell r="W23">
            <v>8.3606358453860011E-2</v>
          </cell>
          <cell r="X23">
            <v>8.7889852683509823E-2</v>
          </cell>
          <cell r="Y23">
            <v>9.2980198827211868E-2</v>
          </cell>
        </row>
        <row r="24">
          <cell r="A24" t="str">
            <v xml:space="preserve">   BIS ratio</v>
          </cell>
          <cell r="B24" t="str">
            <v>NA</v>
          </cell>
          <cell r="C24">
            <v>0.11712397502112852</v>
          </cell>
          <cell r="D24" t="str">
            <v>NA</v>
          </cell>
          <cell r="E24">
            <v>0.1319079489647719</v>
          </cell>
          <cell r="F24" t="str">
            <v>NA</v>
          </cell>
          <cell r="G24">
            <v>0.11669748249537576</v>
          </cell>
          <cell r="H24" t="str">
            <v>NA</v>
          </cell>
          <cell r="V24">
            <v>0.11827261065988857</v>
          </cell>
          <cell r="W24">
            <v>0.11712397502112852</v>
          </cell>
          <cell r="X24">
            <v>0.13044302643290387</v>
          </cell>
          <cell r="Y24">
            <v>0.13464044330804373</v>
          </cell>
        </row>
        <row r="25">
          <cell r="A25" t="str">
            <v>Asset quality</v>
          </cell>
        </row>
        <row r="26">
          <cell r="A26" t="str">
            <v>Precautionary &amp; below</v>
          </cell>
          <cell r="B26">
            <v>1566.4</v>
          </cell>
          <cell r="C26">
            <v>1908.8370000000002</v>
          </cell>
          <cell r="D26">
            <v>-0.17939562152242439</v>
          </cell>
          <cell r="E26">
            <v>1649.21</v>
          </cell>
          <cell r="F26">
            <v>-5.0211919646376058E-2</v>
          </cell>
          <cell r="G26">
            <v>1566.3759179810002</v>
          </cell>
          <cell r="H26">
            <v>1.5374354727759609E-5</v>
          </cell>
          <cell r="V26">
            <v>2221.1600000000003</v>
          </cell>
          <cell r="W26">
            <v>1908.8370000000002</v>
          </cell>
          <cell r="X26">
            <v>1874.9870000000001</v>
          </cell>
          <cell r="Y26">
            <v>1695.2289999999998</v>
          </cell>
        </row>
        <row r="27">
          <cell r="A27" t="str">
            <v xml:space="preserve">   % of total credit</v>
          </cell>
          <cell r="B27">
            <v>1.9968181447336218E-2</v>
          </cell>
          <cell r="C27">
            <v>2.9904687705499693E-2</v>
          </cell>
          <cell r="D27">
            <v>-99.365062581634746</v>
          </cell>
          <cell r="E27">
            <v>2.4117835061594643E-2</v>
          </cell>
          <cell r="F27">
            <v>-41.496536142584247</v>
          </cell>
          <cell r="G27">
            <v>1.9967878177901553E-2</v>
          </cell>
          <cell r="H27">
            <v>3.0326943466565948E-3</v>
          </cell>
          <cell r="V27">
            <v>3.6149921691661924E-2</v>
          </cell>
          <cell r="W27">
            <v>2.9904687705499693E-2</v>
          </cell>
          <cell r="X27">
            <v>2.9374997091855124E-2</v>
          </cell>
          <cell r="Y27">
            <v>2.6099049556369932E-2</v>
          </cell>
        </row>
        <row r="28">
          <cell r="A28" t="str">
            <v xml:space="preserve">   Coverage ratio</v>
          </cell>
          <cell r="B28">
            <v>0.54973186925434114</v>
          </cell>
          <cell r="C28">
            <v>0.46288394451700166</v>
          </cell>
          <cell r="D28">
            <v>868.47924737339486</v>
          </cell>
          <cell r="E28">
            <v>0.50597013115370382</v>
          </cell>
          <cell r="F28">
            <v>437.61738100637325</v>
          </cell>
          <cell r="G28">
            <v>0.549738405778047</v>
          </cell>
          <cell r="H28">
            <v>-6.5365237058578884E-2</v>
          </cell>
          <cell r="V28">
            <v>0.4323758756685695</v>
          </cell>
          <cell r="W28">
            <v>0.46288394451700166</v>
          </cell>
          <cell r="X28">
            <v>0.46133546525922575</v>
          </cell>
          <cell r="Y28">
            <v>0.47852473028717657</v>
          </cell>
        </row>
        <row r="29">
          <cell r="A29" t="str">
            <v>Substandard &amp; below</v>
          </cell>
          <cell r="B29">
            <v>581.70000000000005</v>
          </cell>
          <cell r="C29">
            <v>698.13900000000001</v>
          </cell>
          <cell r="D29">
            <v>-0.16678483797639143</v>
          </cell>
          <cell r="E29">
            <v>627.81100000000004</v>
          </cell>
          <cell r="F29">
            <v>-7.3447263587289813E-2</v>
          </cell>
          <cell r="G29">
            <v>581.64281241800006</v>
          </cell>
          <cell r="H29">
            <v>9.832079203775379E-5</v>
          </cell>
          <cell r="V29">
            <v>849.53700000000003</v>
          </cell>
          <cell r="W29">
            <v>698.13900000000001</v>
          </cell>
          <cell r="X29">
            <v>684.29499999999985</v>
          </cell>
          <cell r="Y29">
            <v>635.66500000000008</v>
          </cell>
        </row>
        <row r="30">
          <cell r="A30" t="str">
            <v xml:space="preserve">   % of total credit</v>
          </cell>
          <cell r="B30">
            <v>7.4154054825813828E-3</v>
          </cell>
          <cell r="C30">
            <v>1.0937355452576542E-2</v>
          </cell>
          <cell r="D30">
            <v>-35.219499699951591</v>
          </cell>
          <cell r="E30">
            <v>9.1810273693797607E-3</v>
          </cell>
          <cell r="F30">
            <v>-17.656218867983778</v>
          </cell>
          <cell r="G30">
            <v>7.4146778484598412E-3</v>
          </cell>
          <cell r="H30">
            <v>7.2763412154158019E-3</v>
          </cell>
          <cell r="V30">
            <v>1.3826422240707285E-2</v>
          </cell>
          <cell r="W30">
            <v>1.0937355452576542E-2</v>
          </cell>
          <cell r="X30">
            <v>1.0720694935469418E-2</v>
          </cell>
          <cell r="Y30">
            <v>9.7864373109768036E-3</v>
          </cell>
        </row>
        <row r="31">
          <cell r="A31" t="str">
            <v xml:space="preserve">   Coverage ratio</v>
          </cell>
          <cell r="B31">
            <v>1.4803163142513323</v>
          </cell>
          <cell r="C31">
            <v>1.2656075652556296</v>
          </cell>
          <cell r="D31">
            <v>2147.0874899570267</v>
          </cell>
          <cell r="E31">
            <v>1.3291436435487749</v>
          </cell>
          <cell r="F31">
            <v>1511.7267070255734</v>
          </cell>
          <cell r="G31">
            <v>1.4804567023191699</v>
          </cell>
          <cell r="H31">
            <v>-1.4038806783767122</v>
          </cell>
          <cell r="V31">
            <v>1.1304698912466438</v>
          </cell>
          <cell r="W31">
            <v>1.2656075652556296</v>
          </cell>
          <cell r="X31">
            <v>1.2640717819069263</v>
          </cell>
          <cell r="Y31">
            <v>1.2761580392187706</v>
          </cell>
        </row>
        <row r="33">
          <cell r="B33">
            <v>861.1</v>
          </cell>
        </row>
        <row r="34">
          <cell r="B34">
            <v>78444.800000000003</v>
          </cell>
        </row>
        <row r="37">
          <cell r="A37" t="str">
            <v>In line bottom line, however…</v>
          </cell>
        </row>
        <row r="39">
          <cell r="A39" t="str">
            <v>XXX</v>
          </cell>
        </row>
        <row r="40">
          <cell r="A40" t="str">
            <v>XXX</v>
          </cell>
        </row>
        <row r="41">
          <cell r="A41" t="str">
            <v>XXX</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pipeline-handout"/>
      <sheetName val="summary"/>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WYE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777.7528584280044</v>
          </cell>
          <cell r="E12">
            <v>801.12416082795426</v>
          </cell>
          <cell r="F12">
            <v>480.32922347793647</v>
          </cell>
          <cell r="G12">
            <v>302.52535042870295</v>
          </cell>
          <cell r="H12">
            <v>-140.85209419635794</v>
          </cell>
          <cell r="BA12" t="str">
            <v>.</v>
          </cell>
        </row>
        <row r="13">
          <cell r="C13" t="str">
            <v>Pipeline products launching 2010–2015</v>
          </cell>
          <cell r="D13">
            <v>336.15000000000003</v>
          </cell>
          <cell r="E13">
            <v>486.05249999999995</v>
          </cell>
          <cell r="F13">
            <v>643.90925000000004</v>
          </cell>
          <cell r="G13">
            <v>903.77877650000028</v>
          </cell>
          <cell r="H13">
            <v>877.75910161390948</v>
          </cell>
          <cell r="BA13" t="str">
            <v>.</v>
          </cell>
        </row>
        <row r="14">
          <cell r="C14" t="str">
            <v>Products expiring 2010–15</v>
          </cell>
          <cell r="D14">
            <v>-1897.5856368349996</v>
          </cell>
          <cell r="E14">
            <v>-405.26704991404949</v>
          </cell>
          <cell r="F14">
            <v>-247.4564255044188</v>
          </cell>
          <cell r="G14">
            <v>-486.45018457921105</v>
          </cell>
          <cell r="H14">
            <v>-467.41580692871912</v>
          </cell>
          <cell r="BA14" t="str">
            <v>.</v>
          </cell>
        </row>
        <row r="15">
          <cell r="C15" t="str">
            <v>Net YOY change</v>
          </cell>
          <cell r="D15">
            <v>-783.68277840699375</v>
          </cell>
          <cell r="E15">
            <v>881.90961091390272</v>
          </cell>
          <cell r="F15">
            <v>876.78204797351646</v>
          </cell>
          <cell r="G15">
            <v>719.85394234949126</v>
          </cell>
          <cell r="H15">
            <v>269.4912004888356</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rformance"/>
      <sheetName val="PE FY1"/>
      <sheetName val="EVEBITDA FY1"/>
      <sheetName val="Results"/>
    </sheetNames>
    <sheetDataSet>
      <sheetData sheetId="0"/>
      <sheetData sheetId="1">
        <row r="1">
          <cell r="B1" t="str">
            <v>DROG3-BR</v>
          </cell>
          <cell r="C1" t="str">
            <v>IBOVESPA-BSP</v>
          </cell>
          <cell r="D1" t="str">
            <v>USDBRL</v>
          </cell>
          <cell r="F1" t="str">
            <v>DROG (base 100)</v>
          </cell>
          <cell r="G1" t="str">
            <v>Ibovespa (base 100)</v>
          </cell>
        </row>
        <row r="2">
          <cell r="A2">
            <v>40181</v>
          </cell>
          <cell r="B2">
            <v>28</v>
          </cell>
          <cell r="C2">
            <v>68588.41</v>
          </cell>
          <cell r="D2">
            <v>1.7432000000000001</v>
          </cell>
          <cell r="F2">
            <v>100</v>
          </cell>
          <cell r="G2">
            <v>100</v>
          </cell>
        </row>
        <row r="3">
          <cell r="A3">
            <v>40182</v>
          </cell>
          <cell r="B3">
            <v>28.4</v>
          </cell>
          <cell r="C3">
            <v>70045.08</v>
          </cell>
          <cell r="D3">
            <v>1.7235</v>
          </cell>
          <cell r="F3">
            <v>101.42857142857142</v>
          </cell>
          <cell r="G3">
            <v>102.1237844702917</v>
          </cell>
        </row>
        <row r="4">
          <cell r="A4">
            <v>40183</v>
          </cell>
          <cell r="B4">
            <v>27.71</v>
          </cell>
          <cell r="C4">
            <v>70239.820000000007</v>
          </cell>
          <cell r="D4">
            <v>1.7233000000000001</v>
          </cell>
          <cell r="F4">
            <v>98.964285714285722</v>
          </cell>
          <cell r="G4">
            <v>102.40770999065293</v>
          </cell>
        </row>
        <row r="5">
          <cell r="A5">
            <v>40184</v>
          </cell>
          <cell r="B5">
            <v>27.99</v>
          </cell>
          <cell r="C5">
            <v>70729.34</v>
          </cell>
          <cell r="D5">
            <v>1.7302500000000001</v>
          </cell>
          <cell r="F5">
            <v>99.964285714285708</v>
          </cell>
          <cell r="G5">
            <v>103.1214165775238</v>
          </cell>
        </row>
        <row r="6">
          <cell r="A6">
            <v>40185</v>
          </cell>
          <cell r="B6">
            <v>27.8</v>
          </cell>
          <cell r="C6">
            <v>70451.12</v>
          </cell>
          <cell r="D6">
            <v>1.7359</v>
          </cell>
          <cell r="F6">
            <v>99.285714285714292</v>
          </cell>
          <cell r="G6">
            <v>102.715779531848</v>
          </cell>
        </row>
        <row r="7">
          <cell r="A7">
            <v>40186</v>
          </cell>
          <cell r="B7">
            <v>28.29</v>
          </cell>
          <cell r="C7">
            <v>70262.7</v>
          </cell>
          <cell r="D7">
            <v>1.7364999999999999</v>
          </cell>
          <cell r="F7">
            <v>101.03571428571428</v>
          </cell>
          <cell r="G7">
            <v>102.44106839624945</v>
          </cell>
        </row>
        <row r="8">
          <cell r="A8">
            <v>40187</v>
          </cell>
          <cell r="B8">
            <v>28.29</v>
          </cell>
          <cell r="C8">
            <v>70262.7</v>
          </cell>
          <cell r="D8">
            <v>1.7364999999999999</v>
          </cell>
          <cell r="F8">
            <v>101.03571428571428</v>
          </cell>
          <cell r="G8">
            <v>102.44106839624945</v>
          </cell>
        </row>
        <row r="9">
          <cell r="A9">
            <v>40188</v>
          </cell>
          <cell r="B9">
            <v>28.29</v>
          </cell>
          <cell r="C9">
            <v>70262.7</v>
          </cell>
          <cell r="D9">
            <v>1.7364999999999999</v>
          </cell>
          <cell r="F9">
            <v>101.03571428571428</v>
          </cell>
          <cell r="G9">
            <v>102.44106839624945</v>
          </cell>
        </row>
        <row r="10">
          <cell r="A10">
            <v>40189</v>
          </cell>
          <cell r="B10">
            <v>29.05</v>
          </cell>
          <cell r="C10">
            <v>70433.490000000005</v>
          </cell>
          <cell r="D10">
            <v>1.73075</v>
          </cell>
          <cell r="F10">
            <v>103.75000000000001</v>
          </cell>
          <cell r="G10">
            <v>102.69007548068252</v>
          </cell>
        </row>
        <row r="11">
          <cell r="A11">
            <v>40190</v>
          </cell>
          <cell r="B11">
            <v>29.19</v>
          </cell>
          <cell r="C11">
            <v>70075.78</v>
          </cell>
          <cell r="D11">
            <v>1.7364999999999999</v>
          </cell>
          <cell r="F11">
            <v>104.25</v>
          </cell>
          <cell r="G11">
            <v>102.16854421905974</v>
          </cell>
        </row>
        <row r="12">
          <cell r="A12">
            <v>40191</v>
          </cell>
          <cell r="B12">
            <v>29.9</v>
          </cell>
          <cell r="C12">
            <v>70385.47</v>
          </cell>
          <cell r="D12">
            <v>1.7474499999999999</v>
          </cell>
          <cell r="F12">
            <v>106.78571428571428</v>
          </cell>
          <cell r="G12">
            <v>102.62006365215348</v>
          </cell>
        </row>
        <row r="13">
          <cell r="A13">
            <v>40192</v>
          </cell>
          <cell r="B13">
            <v>29.9</v>
          </cell>
          <cell r="C13">
            <v>69801.42</v>
          </cell>
          <cell r="D13">
            <v>1.7695000000000001</v>
          </cell>
          <cell r="F13">
            <v>106.78571428571428</v>
          </cell>
          <cell r="G13">
            <v>101.7685349463561</v>
          </cell>
        </row>
        <row r="14">
          <cell r="A14">
            <v>40193</v>
          </cell>
          <cell r="B14">
            <v>29.79</v>
          </cell>
          <cell r="C14">
            <v>68978.3</v>
          </cell>
          <cell r="D14">
            <v>1.7683500000000001</v>
          </cell>
          <cell r="F14">
            <v>106.39285714285714</v>
          </cell>
          <cell r="G14">
            <v>100.56844880935422</v>
          </cell>
        </row>
        <row r="15">
          <cell r="A15">
            <v>40194</v>
          </cell>
          <cell r="B15">
            <v>29.79</v>
          </cell>
          <cell r="C15">
            <v>68978.3</v>
          </cell>
          <cell r="D15">
            <v>1.7683500000000001</v>
          </cell>
          <cell r="F15">
            <v>106.39285714285714</v>
          </cell>
          <cell r="G15">
            <v>100.56844880935422</v>
          </cell>
        </row>
        <row r="16">
          <cell r="A16">
            <v>40195</v>
          </cell>
          <cell r="B16">
            <v>29.79</v>
          </cell>
          <cell r="C16">
            <v>68978.3</v>
          </cell>
          <cell r="D16">
            <v>1.7683500000000001</v>
          </cell>
          <cell r="F16">
            <v>106.39285714285714</v>
          </cell>
          <cell r="G16">
            <v>100.56844880935422</v>
          </cell>
        </row>
        <row r="17">
          <cell r="A17">
            <v>40196</v>
          </cell>
          <cell r="B17">
            <v>29.79</v>
          </cell>
          <cell r="C17">
            <v>68978.3</v>
          </cell>
          <cell r="D17">
            <v>1.7683500000000001</v>
          </cell>
          <cell r="F17">
            <v>106.39285714285714</v>
          </cell>
          <cell r="G17">
            <v>100.56844880935422</v>
          </cell>
        </row>
        <row r="18">
          <cell r="A18">
            <v>40197</v>
          </cell>
          <cell r="B18">
            <v>28.99</v>
          </cell>
          <cell r="C18">
            <v>69908.59</v>
          </cell>
          <cell r="D18">
            <v>1.772</v>
          </cell>
          <cell r="F18">
            <v>103.53571428571429</v>
          </cell>
          <cell r="G18">
            <v>101.92478583480793</v>
          </cell>
        </row>
        <row r="19">
          <cell r="A19">
            <v>40198</v>
          </cell>
          <cell r="B19">
            <v>28.69</v>
          </cell>
          <cell r="C19">
            <v>68200.070000000007</v>
          </cell>
          <cell r="D19">
            <v>1.7904</v>
          </cell>
          <cell r="F19">
            <v>102.46428571428572</v>
          </cell>
          <cell r="G19">
            <v>99.433811047668257</v>
          </cell>
        </row>
        <row r="20">
          <cell r="A20">
            <v>40199</v>
          </cell>
          <cell r="B20">
            <v>27.99</v>
          </cell>
          <cell r="C20">
            <v>66270.14</v>
          </cell>
          <cell r="D20">
            <v>1.7985</v>
          </cell>
          <cell r="F20">
            <v>99.964285714285708</v>
          </cell>
          <cell r="G20">
            <v>96.62002661965775</v>
          </cell>
        </row>
        <row r="21">
          <cell r="A21">
            <v>40200</v>
          </cell>
          <cell r="B21">
            <v>28.2</v>
          </cell>
          <cell r="C21">
            <v>66220.039999999994</v>
          </cell>
          <cell r="D21">
            <v>1.8169</v>
          </cell>
          <cell r="F21">
            <v>100.71428571428571</v>
          </cell>
          <cell r="G21">
            <v>96.546982208801737</v>
          </cell>
        </row>
        <row r="22">
          <cell r="A22">
            <v>40201</v>
          </cell>
          <cell r="B22">
            <v>28.2</v>
          </cell>
          <cell r="C22">
            <v>66220.039999999994</v>
          </cell>
          <cell r="D22">
            <v>1.8169</v>
          </cell>
          <cell r="F22">
            <v>100.71428571428571</v>
          </cell>
          <cell r="G22">
            <v>96.546982208801737</v>
          </cell>
        </row>
        <row r="23">
          <cell r="A23">
            <v>40202</v>
          </cell>
          <cell r="B23">
            <v>28.2</v>
          </cell>
          <cell r="C23">
            <v>66220.039999999994</v>
          </cell>
          <cell r="D23">
            <v>1.8169</v>
          </cell>
          <cell r="F23">
            <v>100.71428571428571</v>
          </cell>
          <cell r="G23">
            <v>96.546982208801737</v>
          </cell>
        </row>
        <row r="24">
          <cell r="A24">
            <v>40203</v>
          </cell>
          <cell r="B24">
            <v>28.2</v>
          </cell>
          <cell r="C24">
            <v>66220.039999999994</v>
          </cell>
          <cell r="D24">
            <v>1.8240000000000001</v>
          </cell>
          <cell r="F24">
            <v>100.71428571428571</v>
          </cell>
          <cell r="G24">
            <v>96.546982208801737</v>
          </cell>
        </row>
        <row r="25">
          <cell r="A25">
            <v>40204</v>
          </cell>
          <cell r="B25">
            <v>27.43</v>
          </cell>
          <cell r="C25">
            <v>65523.73</v>
          </cell>
          <cell r="D25">
            <v>1.84355</v>
          </cell>
          <cell r="F25">
            <v>97.964285714285708</v>
          </cell>
          <cell r="G25">
            <v>95.531781535685113</v>
          </cell>
        </row>
        <row r="26">
          <cell r="A26">
            <v>40205</v>
          </cell>
          <cell r="B26">
            <v>26.8</v>
          </cell>
          <cell r="C26">
            <v>65069.79</v>
          </cell>
          <cell r="D26">
            <v>1.8621000000000001</v>
          </cell>
          <cell r="F26">
            <v>95.714285714285722</v>
          </cell>
          <cell r="G26">
            <v>94.869949602272456</v>
          </cell>
        </row>
        <row r="27">
          <cell r="A27">
            <v>40206</v>
          </cell>
          <cell r="B27">
            <v>26.5</v>
          </cell>
          <cell r="C27">
            <v>65587.81</v>
          </cell>
          <cell r="D27">
            <v>1.86175</v>
          </cell>
          <cell r="F27">
            <v>94.642857142857139</v>
          </cell>
          <cell r="G27">
            <v>95.625208398911695</v>
          </cell>
        </row>
        <row r="28">
          <cell r="A28">
            <v>40207</v>
          </cell>
          <cell r="B28">
            <v>27</v>
          </cell>
          <cell r="C28">
            <v>65401.77</v>
          </cell>
          <cell r="D28">
            <v>1.8714</v>
          </cell>
          <cell r="F28">
            <v>96.428571428571431</v>
          </cell>
          <cell r="G28">
            <v>95.353967237321868</v>
          </cell>
        </row>
        <row r="29">
          <cell r="A29">
            <v>40208</v>
          </cell>
          <cell r="B29">
            <v>27</v>
          </cell>
          <cell r="C29">
            <v>65401.77</v>
          </cell>
          <cell r="D29">
            <v>1.8714</v>
          </cell>
          <cell r="F29">
            <v>96.428571428571431</v>
          </cell>
          <cell r="G29">
            <v>95.353967237321868</v>
          </cell>
        </row>
        <row r="30">
          <cell r="A30">
            <v>40209</v>
          </cell>
          <cell r="B30">
            <v>27</v>
          </cell>
          <cell r="C30">
            <v>65401.77</v>
          </cell>
          <cell r="D30">
            <v>1.8714</v>
          </cell>
          <cell r="F30">
            <v>96.428571428571431</v>
          </cell>
          <cell r="G30">
            <v>95.353967237321868</v>
          </cell>
        </row>
        <row r="31">
          <cell r="A31">
            <v>40210</v>
          </cell>
          <cell r="B31">
            <v>28.19</v>
          </cell>
          <cell r="C31">
            <v>66571.740000000005</v>
          </cell>
          <cell r="D31">
            <v>1.8684499999999999</v>
          </cell>
          <cell r="F31">
            <v>100.67857142857144</v>
          </cell>
          <cell r="G31">
            <v>97.05975105706635</v>
          </cell>
        </row>
        <row r="32">
          <cell r="A32">
            <v>40211</v>
          </cell>
          <cell r="B32">
            <v>28.47</v>
          </cell>
          <cell r="C32">
            <v>67163.210000000006</v>
          </cell>
          <cell r="D32">
            <v>1.839</v>
          </cell>
          <cell r="F32">
            <v>101.67857142857142</v>
          </cell>
          <cell r="G32">
            <v>97.922097917126237</v>
          </cell>
        </row>
        <row r="33">
          <cell r="A33">
            <v>40212</v>
          </cell>
          <cell r="B33">
            <v>29.31</v>
          </cell>
          <cell r="C33">
            <v>67108.56</v>
          </cell>
          <cell r="D33">
            <v>1.8459000000000001</v>
          </cell>
          <cell r="F33">
            <v>104.67857142857142</v>
          </cell>
          <cell r="G33">
            <v>97.842419732430002</v>
          </cell>
        </row>
        <row r="34">
          <cell r="A34">
            <v>40213</v>
          </cell>
          <cell r="B34">
            <v>28.2</v>
          </cell>
          <cell r="C34">
            <v>63934.01</v>
          </cell>
          <cell r="D34">
            <v>1.8857999999999999</v>
          </cell>
          <cell r="F34">
            <v>100.71428571428571</v>
          </cell>
          <cell r="G34">
            <v>93.214013854527309</v>
          </cell>
        </row>
        <row r="35">
          <cell r="A35">
            <v>40214</v>
          </cell>
          <cell r="B35">
            <v>27.5</v>
          </cell>
          <cell r="C35">
            <v>62762.7</v>
          </cell>
          <cell r="D35">
            <v>1.875</v>
          </cell>
          <cell r="F35">
            <v>98.214285714285708</v>
          </cell>
          <cell r="G35">
            <v>91.506276351937586</v>
          </cell>
        </row>
        <row r="36">
          <cell r="A36">
            <v>40215</v>
          </cell>
          <cell r="B36">
            <v>27.5</v>
          </cell>
          <cell r="C36">
            <v>62762.7</v>
          </cell>
          <cell r="D36">
            <v>1.875</v>
          </cell>
          <cell r="F36">
            <v>98.214285714285708</v>
          </cell>
          <cell r="G36">
            <v>91.506276351937586</v>
          </cell>
        </row>
        <row r="37">
          <cell r="A37">
            <v>40216</v>
          </cell>
          <cell r="B37">
            <v>27.5</v>
          </cell>
          <cell r="C37">
            <v>62762.7</v>
          </cell>
          <cell r="D37">
            <v>1.875</v>
          </cell>
          <cell r="F37">
            <v>98.214285714285708</v>
          </cell>
          <cell r="G37">
            <v>91.506276351937586</v>
          </cell>
        </row>
        <row r="38">
          <cell r="A38">
            <v>40217</v>
          </cell>
          <cell r="B38">
            <v>28.3</v>
          </cell>
          <cell r="C38">
            <v>63153.09</v>
          </cell>
          <cell r="D38">
            <v>1.8654999999999999</v>
          </cell>
          <cell r="F38">
            <v>101.07142857142857</v>
          </cell>
          <cell r="G38">
            <v>92.075454147428104</v>
          </cell>
        </row>
        <row r="39">
          <cell r="A39">
            <v>40218</v>
          </cell>
          <cell r="B39">
            <v>29</v>
          </cell>
          <cell r="C39">
            <v>64718.17</v>
          </cell>
          <cell r="D39">
            <v>1.85425</v>
          </cell>
          <cell r="F39">
            <v>103.57142857142858</v>
          </cell>
          <cell r="G39">
            <v>94.357297391789658</v>
          </cell>
        </row>
        <row r="40">
          <cell r="A40">
            <v>40219</v>
          </cell>
          <cell r="B40">
            <v>28.99</v>
          </cell>
          <cell r="C40">
            <v>65051.42</v>
          </cell>
          <cell r="D40">
            <v>1.85595</v>
          </cell>
          <cell r="F40">
            <v>103.53571428571429</v>
          </cell>
          <cell r="G40">
            <v>94.843166651625239</v>
          </cell>
        </row>
        <row r="41">
          <cell r="A41">
            <v>40220</v>
          </cell>
          <cell r="B41">
            <v>29</v>
          </cell>
          <cell r="C41">
            <v>66128.94</v>
          </cell>
          <cell r="D41">
            <v>1.8623499999999999</v>
          </cell>
          <cell r="F41">
            <v>103.57142857142858</v>
          </cell>
          <cell r="G41">
            <v>96.41416093477018</v>
          </cell>
        </row>
        <row r="42">
          <cell r="A42">
            <v>40221</v>
          </cell>
          <cell r="B42">
            <v>28.49</v>
          </cell>
          <cell r="C42">
            <v>65854.97</v>
          </cell>
          <cell r="D42">
            <v>1.8629</v>
          </cell>
          <cell r="F42">
            <v>101.74999999999999</v>
          </cell>
          <cell r="G42">
            <v>96.014720271252813</v>
          </cell>
        </row>
        <row r="43">
          <cell r="A43">
            <v>40222</v>
          </cell>
          <cell r="B43">
            <v>28.49</v>
          </cell>
          <cell r="C43">
            <v>65854.97</v>
          </cell>
          <cell r="D43">
            <v>1.8629</v>
          </cell>
          <cell r="F43">
            <v>101.74999999999999</v>
          </cell>
          <cell r="G43">
            <v>96.014720271252813</v>
          </cell>
        </row>
        <row r="44">
          <cell r="A44">
            <v>40223</v>
          </cell>
          <cell r="B44">
            <v>28.49</v>
          </cell>
          <cell r="C44">
            <v>65854.97</v>
          </cell>
          <cell r="D44">
            <v>1.8629</v>
          </cell>
          <cell r="F44">
            <v>101.74999999999999</v>
          </cell>
          <cell r="G44">
            <v>96.014720271252813</v>
          </cell>
        </row>
        <row r="45">
          <cell r="A45">
            <v>40224</v>
          </cell>
          <cell r="B45">
            <v>28.49</v>
          </cell>
          <cell r="C45">
            <v>65854.97</v>
          </cell>
          <cell r="D45">
            <v>1.8629</v>
          </cell>
          <cell r="F45">
            <v>101.74999999999999</v>
          </cell>
          <cell r="G45">
            <v>96.014720271252813</v>
          </cell>
        </row>
        <row r="46">
          <cell r="A46">
            <v>40225</v>
          </cell>
          <cell r="B46">
            <v>28.49</v>
          </cell>
          <cell r="C46">
            <v>65854.97</v>
          </cell>
          <cell r="D46">
            <v>1.8445</v>
          </cell>
          <cell r="F46">
            <v>101.74999999999999</v>
          </cell>
          <cell r="G46">
            <v>96.014720271252813</v>
          </cell>
        </row>
        <row r="47">
          <cell r="A47">
            <v>40226</v>
          </cell>
          <cell r="B47">
            <v>28.85</v>
          </cell>
          <cell r="C47">
            <v>67284.570000000007</v>
          </cell>
          <cell r="D47">
            <v>1.8366499999999999</v>
          </cell>
          <cell r="F47">
            <v>103.03571428571429</v>
          </cell>
          <cell r="G47">
            <v>98.099037432125925</v>
          </cell>
        </row>
        <row r="48">
          <cell r="A48">
            <v>40227</v>
          </cell>
          <cell r="B48">
            <v>28.75</v>
          </cell>
          <cell r="C48">
            <v>67836.08</v>
          </cell>
          <cell r="D48">
            <v>1.8209500000000001</v>
          </cell>
          <cell r="F48">
            <v>102.67857142857142</v>
          </cell>
          <cell r="G48">
            <v>98.90312372017371</v>
          </cell>
        </row>
        <row r="49">
          <cell r="A49">
            <v>40228</v>
          </cell>
          <cell r="B49">
            <v>28.7</v>
          </cell>
          <cell r="C49">
            <v>67597.429999999993</v>
          </cell>
          <cell r="D49">
            <v>1.8131999999999999</v>
          </cell>
          <cell r="F49">
            <v>102.49999999999999</v>
          </cell>
          <cell r="G49">
            <v>98.555178637323692</v>
          </cell>
        </row>
        <row r="50">
          <cell r="A50">
            <v>40229</v>
          </cell>
          <cell r="B50">
            <v>28.7</v>
          </cell>
          <cell r="C50">
            <v>67597.429999999993</v>
          </cell>
          <cell r="D50">
            <v>1.8131999999999999</v>
          </cell>
          <cell r="F50">
            <v>102.49999999999999</v>
          </cell>
          <cell r="G50">
            <v>98.555178637323692</v>
          </cell>
        </row>
        <row r="51">
          <cell r="A51">
            <v>40230</v>
          </cell>
          <cell r="B51">
            <v>28.7</v>
          </cell>
          <cell r="C51">
            <v>67597.429999999993</v>
          </cell>
          <cell r="D51">
            <v>1.8131999999999999</v>
          </cell>
          <cell r="F51">
            <v>102.49999999999999</v>
          </cell>
          <cell r="G51">
            <v>98.555178637323692</v>
          </cell>
        </row>
        <row r="52">
          <cell r="A52">
            <v>40231</v>
          </cell>
          <cell r="B52">
            <v>28.8</v>
          </cell>
          <cell r="C52">
            <v>67184.160000000003</v>
          </cell>
          <cell r="D52">
            <v>1.8109999999999999</v>
          </cell>
          <cell r="F52">
            <v>102.85714285714288</v>
          </cell>
          <cell r="G52">
            <v>97.952642436236687</v>
          </cell>
        </row>
        <row r="53">
          <cell r="A53">
            <v>40232</v>
          </cell>
          <cell r="B53">
            <v>27.19</v>
          </cell>
          <cell r="C53">
            <v>66108.33</v>
          </cell>
          <cell r="D53">
            <v>1.8220000000000001</v>
          </cell>
          <cell r="F53">
            <v>97.107142857142861</v>
          </cell>
          <cell r="G53">
            <v>96.384112126232395</v>
          </cell>
        </row>
        <row r="54">
          <cell r="A54">
            <v>40233</v>
          </cell>
          <cell r="B54">
            <v>28</v>
          </cell>
          <cell r="C54">
            <v>65794.77</v>
          </cell>
          <cell r="D54">
            <v>1.81955</v>
          </cell>
          <cell r="F54">
            <v>100</v>
          </cell>
          <cell r="G54">
            <v>95.926950340443824</v>
          </cell>
        </row>
        <row r="55">
          <cell r="A55">
            <v>40234</v>
          </cell>
          <cell r="B55">
            <v>27.8</v>
          </cell>
          <cell r="C55">
            <v>66121.039999999994</v>
          </cell>
          <cell r="D55">
            <v>1.8353999999999999</v>
          </cell>
          <cell r="F55">
            <v>99.285714285714292</v>
          </cell>
          <cell r="G55">
            <v>96.402642953816823</v>
          </cell>
        </row>
        <row r="56">
          <cell r="A56">
            <v>40235</v>
          </cell>
          <cell r="B56">
            <v>27.8</v>
          </cell>
          <cell r="C56">
            <v>66503.27</v>
          </cell>
          <cell r="D56">
            <v>1.8089999999999999</v>
          </cell>
          <cell r="F56">
            <v>99.285714285714292</v>
          </cell>
          <cell r="G56">
            <v>96.959923695563148</v>
          </cell>
        </row>
        <row r="57">
          <cell r="A57">
            <v>40236</v>
          </cell>
          <cell r="B57">
            <v>27.8</v>
          </cell>
          <cell r="C57">
            <v>66503.27</v>
          </cell>
          <cell r="D57">
            <v>1.8089999999999999</v>
          </cell>
          <cell r="F57">
            <v>99.285714285714292</v>
          </cell>
          <cell r="G57">
            <v>96.959923695563148</v>
          </cell>
        </row>
        <row r="58">
          <cell r="A58">
            <v>40237</v>
          </cell>
          <cell r="B58">
            <v>27.8</v>
          </cell>
          <cell r="C58">
            <v>66503.27</v>
          </cell>
          <cell r="D58">
            <v>1.8089999999999999</v>
          </cell>
          <cell r="F58">
            <v>99.285714285714292</v>
          </cell>
          <cell r="G58">
            <v>96.959923695563148</v>
          </cell>
        </row>
        <row r="59">
          <cell r="A59">
            <v>40238</v>
          </cell>
          <cell r="B59">
            <v>27.78</v>
          </cell>
          <cell r="C59">
            <v>67227.929999999993</v>
          </cell>
          <cell r="D59">
            <v>1.8001</v>
          </cell>
          <cell r="F59">
            <v>99.214285714285722</v>
          </cell>
          <cell r="G59">
            <v>98.01645788260727</v>
          </cell>
        </row>
        <row r="60">
          <cell r="A60">
            <v>40239</v>
          </cell>
          <cell r="B60">
            <v>28.8</v>
          </cell>
          <cell r="C60">
            <v>67779.16</v>
          </cell>
          <cell r="D60">
            <v>1.7820499999999999</v>
          </cell>
          <cell r="F60">
            <v>102.85714285714288</v>
          </cell>
          <cell r="G60">
            <v>98.820135938418758</v>
          </cell>
        </row>
        <row r="61">
          <cell r="A61">
            <v>40240</v>
          </cell>
          <cell r="B61">
            <v>28.75</v>
          </cell>
          <cell r="C61">
            <v>67641.34</v>
          </cell>
          <cell r="D61">
            <v>1.7785</v>
          </cell>
          <cell r="F61">
            <v>102.67857142857142</v>
          </cell>
          <cell r="G61">
            <v>98.619198199812459</v>
          </cell>
        </row>
        <row r="62">
          <cell r="A62">
            <v>40241</v>
          </cell>
          <cell r="B62">
            <v>28.8</v>
          </cell>
          <cell r="C62">
            <v>67814.710000000006</v>
          </cell>
          <cell r="D62">
            <v>1.7904500000000001</v>
          </cell>
          <cell r="F62">
            <v>102.85714285714288</v>
          </cell>
          <cell r="G62">
            <v>98.871966852708795</v>
          </cell>
        </row>
        <row r="63">
          <cell r="A63">
            <v>40242</v>
          </cell>
          <cell r="B63">
            <v>28.5</v>
          </cell>
          <cell r="C63">
            <v>68846.5</v>
          </cell>
          <cell r="D63">
            <v>1.7779499999999999</v>
          </cell>
          <cell r="F63">
            <v>101.78571428571428</v>
          </cell>
          <cell r="G63">
            <v>100.37628806382885</v>
          </cell>
        </row>
        <row r="64">
          <cell r="A64">
            <v>40243</v>
          </cell>
          <cell r="B64">
            <v>28.5</v>
          </cell>
          <cell r="C64">
            <v>68846.5</v>
          </cell>
          <cell r="D64">
            <v>1.7779499999999999</v>
          </cell>
          <cell r="F64">
            <v>101.78571428571428</v>
          </cell>
          <cell r="G64">
            <v>100.37628806382885</v>
          </cell>
        </row>
        <row r="65">
          <cell r="A65">
            <v>40244</v>
          </cell>
          <cell r="B65">
            <v>28.5</v>
          </cell>
          <cell r="C65">
            <v>68846.5</v>
          </cell>
          <cell r="D65">
            <v>1.7779499999999999</v>
          </cell>
          <cell r="F65">
            <v>101.78571428571428</v>
          </cell>
          <cell r="G65">
            <v>100.37628806382885</v>
          </cell>
        </row>
        <row r="66">
          <cell r="A66">
            <v>40245</v>
          </cell>
          <cell r="B66">
            <v>28.75</v>
          </cell>
          <cell r="C66">
            <v>68575.47</v>
          </cell>
          <cell r="D66">
            <v>1.7879499999999999</v>
          </cell>
          <cell r="F66">
            <v>102.67857142857142</v>
          </cell>
          <cell r="G66">
            <v>99.981133838792886</v>
          </cell>
        </row>
        <row r="67">
          <cell r="A67">
            <v>40246</v>
          </cell>
          <cell r="B67">
            <v>28.8</v>
          </cell>
          <cell r="C67">
            <v>69576.38</v>
          </cell>
          <cell r="D67">
            <v>1.7927999999999999</v>
          </cell>
          <cell r="F67">
            <v>102.85714285714288</v>
          </cell>
          <cell r="G67">
            <v>101.44043286613584</v>
          </cell>
        </row>
        <row r="68">
          <cell r="A68">
            <v>40247</v>
          </cell>
          <cell r="B68">
            <v>28.95</v>
          </cell>
          <cell r="C68">
            <v>69979.28</v>
          </cell>
          <cell r="D68">
            <v>1.7675000000000001</v>
          </cell>
          <cell r="F68">
            <v>103.39285714285712</v>
          </cell>
          <cell r="G68">
            <v>102.02784989475626</v>
          </cell>
        </row>
        <row r="69">
          <cell r="A69">
            <v>40248</v>
          </cell>
          <cell r="B69">
            <v>29</v>
          </cell>
          <cell r="C69">
            <v>69884.61</v>
          </cell>
          <cell r="D69">
            <v>1.7692000000000001</v>
          </cell>
          <cell r="F69">
            <v>103.57142857142858</v>
          </cell>
          <cell r="G69">
            <v>101.8898236597116</v>
          </cell>
        </row>
        <row r="70">
          <cell r="A70">
            <v>40249</v>
          </cell>
          <cell r="B70">
            <v>28.7</v>
          </cell>
          <cell r="C70">
            <v>69341.38</v>
          </cell>
          <cell r="D70">
            <v>1.7661</v>
          </cell>
          <cell r="F70">
            <v>102.49999999999999</v>
          </cell>
          <cell r="G70">
            <v>101.09780938208073</v>
          </cell>
        </row>
        <row r="71">
          <cell r="A71">
            <v>40250</v>
          </cell>
          <cell r="B71">
            <v>28.7</v>
          </cell>
          <cell r="C71">
            <v>69341.38</v>
          </cell>
          <cell r="D71">
            <v>1.7661</v>
          </cell>
          <cell r="F71">
            <v>102.49999999999999</v>
          </cell>
          <cell r="G71">
            <v>101.09780938208073</v>
          </cell>
        </row>
        <row r="72">
          <cell r="A72">
            <v>40251</v>
          </cell>
          <cell r="B72">
            <v>28.7</v>
          </cell>
          <cell r="C72">
            <v>69341.38</v>
          </cell>
          <cell r="D72">
            <v>1.7661</v>
          </cell>
          <cell r="F72">
            <v>102.49999999999999</v>
          </cell>
          <cell r="G72">
            <v>101.09780938208073</v>
          </cell>
        </row>
        <row r="73">
          <cell r="A73">
            <v>40252</v>
          </cell>
          <cell r="B73">
            <v>28.5</v>
          </cell>
          <cell r="C73">
            <v>69023.75</v>
          </cell>
          <cell r="D73">
            <v>1.7669999999999999</v>
          </cell>
          <cell r="F73">
            <v>101.78571428571428</v>
          </cell>
          <cell r="G73">
            <v>100.63471364914275</v>
          </cell>
        </row>
        <row r="74">
          <cell r="A74">
            <v>40253</v>
          </cell>
          <cell r="B74">
            <v>28.45</v>
          </cell>
          <cell r="C74">
            <v>69942.210000000006</v>
          </cell>
          <cell r="D74">
            <v>1.7621500000000001</v>
          </cell>
          <cell r="F74">
            <v>101.60714285714285</v>
          </cell>
          <cell r="G74">
            <v>101.97380286261193</v>
          </cell>
        </row>
        <row r="75">
          <cell r="A75">
            <v>40254</v>
          </cell>
          <cell r="B75">
            <v>27.98</v>
          </cell>
          <cell r="C75">
            <v>69723.240000000005</v>
          </cell>
          <cell r="D75">
            <v>1.7656499999999999</v>
          </cell>
          <cell r="F75">
            <v>99.928571428571431</v>
          </cell>
          <cell r="G75">
            <v>101.6545506740862</v>
          </cell>
        </row>
        <row r="76">
          <cell r="A76">
            <v>40255</v>
          </cell>
          <cell r="B76">
            <v>28.5</v>
          </cell>
          <cell r="C76">
            <v>69697.33</v>
          </cell>
          <cell r="D76">
            <v>1.78975</v>
          </cell>
          <cell r="F76">
            <v>101.78571428571428</v>
          </cell>
          <cell r="G76">
            <v>101.61677461250378</v>
          </cell>
        </row>
        <row r="77">
          <cell r="A77">
            <v>40256</v>
          </cell>
          <cell r="B77">
            <v>28.5</v>
          </cell>
          <cell r="C77">
            <v>68828.98</v>
          </cell>
          <cell r="D77">
            <v>1.7983499999999999</v>
          </cell>
          <cell r="F77">
            <v>101.78571428571428</v>
          </cell>
          <cell r="G77">
            <v>100.35074438961334</v>
          </cell>
        </row>
        <row r="78">
          <cell r="A78">
            <v>40257</v>
          </cell>
          <cell r="B78">
            <v>28.5</v>
          </cell>
          <cell r="C78">
            <v>68828.98</v>
          </cell>
          <cell r="D78">
            <v>1.7983499999999999</v>
          </cell>
          <cell r="F78">
            <v>101.78571428571428</v>
          </cell>
          <cell r="G78">
            <v>100.35074438961334</v>
          </cell>
        </row>
        <row r="79">
          <cell r="A79">
            <v>40258</v>
          </cell>
          <cell r="B79">
            <v>28.5</v>
          </cell>
          <cell r="C79">
            <v>68828.98</v>
          </cell>
          <cell r="D79">
            <v>1.7983499999999999</v>
          </cell>
          <cell r="F79">
            <v>101.78571428571428</v>
          </cell>
          <cell r="G79">
            <v>100.35074438961334</v>
          </cell>
        </row>
        <row r="80">
          <cell r="A80">
            <v>40259</v>
          </cell>
          <cell r="B80">
            <v>28.3</v>
          </cell>
          <cell r="C80">
            <v>69041.73</v>
          </cell>
          <cell r="D80">
            <v>1.8027</v>
          </cell>
          <cell r="F80">
            <v>101.07142857142857</v>
          </cell>
          <cell r="G80">
            <v>100.66092799060364</v>
          </cell>
        </row>
        <row r="81">
          <cell r="A81">
            <v>40260</v>
          </cell>
          <cell r="B81">
            <v>28.4</v>
          </cell>
          <cell r="C81">
            <v>69386.720000000001</v>
          </cell>
          <cell r="D81">
            <v>1.78295</v>
          </cell>
          <cell r="F81">
            <v>101.42857142857142</v>
          </cell>
          <cell r="G81">
            <v>101.16391384491928</v>
          </cell>
        </row>
        <row r="82">
          <cell r="A82">
            <v>40261</v>
          </cell>
          <cell r="B82">
            <v>28.59</v>
          </cell>
          <cell r="C82">
            <v>68913.399999999994</v>
          </cell>
          <cell r="D82">
            <v>1.7886</v>
          </cell>
          <cell r="F82">
            <v>102.10714285714286</v>
          </cell>
          <cell r="G82">
            <v>100.47382640886411</v>
          </cell>
        </row>
        <row r="83">
          <cell r="A83">
            <v>40262</v>
          </cell>
          <cell r="B83">
            <v>28.55</v>
          </cell>
          <cell r="C83">
            <v>68441.66</v>
          </cell>
          <cell r="D83">
            <v>1.8047</v>
          </cell>
          <cell r="F83">
            <v>101.96428571428571</v>
          </cell>
          <cell r="G83">
            <v>99.786042568999633</v>
          </cell>
        </row>
        <row r="84">
          <cell r="A84">
            <v>40263</v>
          </cell>
          <cell r="B84">
            <v>28.59</v>
          </cell>
          <cell r="C84">
            <v>68682.66</v>
          </cell>
          <cell r="D84">
            <v>1.8210999999999999</v>
          </cell>
          <cell r="F84">
            <v>102.10714285714286</v>
          </cell>
          <cell r="G84">
            <v>100.1374138866902</v>
          </cell>
        </row>
        <row r="85">
          <cell r="A85">
            <v>40264</v>
          </cell>
          <cell r="B85">
            <v>28.59</v>
          </cell>
          <cell r="C85">
            <v>68682.66</v>
          </cell>
          <cell r="D85">
            <v>1.8210999999999999</v>
          </cell>
          <cell r="F85">
            <v>102.10714285714286</v>
          </cell>
          <cell r="G85">
            <v>100.1374138866902</v>
          </cell>
        </row>
        <row r="86">
          <cell r="A86">
            <v>40265</v>
          </cell>
          <cell r="B86">
            <v>28.59</v>
          </cell>
          <cell r="C86">
            <v>68682.66</v>
          </cell>
          <cell r="D86">
            <v>1.8210999999999999</v>
          </cell>
          <cell r="F86">
            <v>102.10714285714286</v>
          </cell>
          <cell r="G86">
            <v>100.1374138866902</v>
          </cell>
        </row>
        <row r="87">
          <cell r="A87">
            <v>40266</v>
          </cell>
          <cell r="B87">
            <v>28.52</v>
          </cell>
          <cell r="C87">
            <v>69939.12</v>
          </cell>
          <cell r="D87">
            <v>1.80975</v>
          </cell>
          <cell r="F87">
            <v>101.85714285714285</v>
          </cell>
          <cell r="G87">
            <v>101.96929772828965</v>
          </cell>
        </row>
        <row r="88">
          <cell r="A88">
            <v>40267</v>
          </cell>
          <cell r="B88">
            <v>28.5</v>
          </cell>
          <cell r="C88">
            <v>69959.58</v>
          </cell>
          <cell r="D88">
            <v>1.79495</v>
          </cell>
          <cell r="F88">
            <v>101.78571428571428</v>
          </cell>
          <cell r="G88">
            <v>101.99912784098655</v>
          </cell>
        </row>
        <row r="89">
          <cell r="A89">
            <v>40268</v>
          </cell>
          <cell r="B89">
            <v>28.59</v>
          </cell>
          <cell r="C89">
            <v>70371.539999999994</v>
          </cell>
          <cell r="D89">
            <v>1.7847</v>
          </cell>
          <cell r="F89">
            <v>102.10714285714286</v>
          </cell>
          <cell r="G89">
            <v>102.5997540983965</v>
          </cell>
        </row>
        <row r="90">
          <cell r="A90">
            <v>40269</v>
          </cell>
          <cell r="B90">
            <v>28.5</v>
          </cell>
          <cell r="C90">
            <v>71136.34</v>
          </cell>
          <cell r="D90">
            <v>1.76905</v>
          </cell>
          <cell r="F90">
            <v>101.78571428571428</v>
          </cell>
          <cell r="G90">
            <v>103.71481129246179</v>
          </cell>
        </row>
        <row r="91">
          <cell r="A91">
            <v>40270</v>
          </cell>
          <cell r="B91">
            <v>28.5</v>
          </cell>
          <cell r="C91">
            <v>71136.34</v>
          </cell>
          <cell r="D91">
            <v>1.76905</v>
          </cell>
          <cell r="F91">
            <v>101.78571428571428</v>
          </cell>
          <cell r="G91">
            <v>103.71481129246179</v>
          </cell>
        </row>
        <row r="92">
          <cell r="A92">
            <v>40271</v>
          </cell>
          <cell r="B92">
            <v>28.5</v>
          </cell>
          <cell r="C92">
            <v>71136.34</v>
          </cell>
          <cell r="D92">
            <v>1.76905</v>
          </cell>
          <cell r="F92">
            <v>101.78571428571428</v>
          </cell>
          <cell r="G92">
            <v>103.71481129246179</v>
          </cell>
        </row>
        <row r="93">
          <cell r="A93">
            <v>40272</v>
          </cell>
          <cell r="B93">
            <v>28.5</v>
          </cell>
          <cell r="C93">
            <v>71136.34</v>
          </cell>
          <cell r="D93">
            <v>1.76905</v>
          </cell>
          <cell r="F93">
            <v>101.78571428571428</v>
          </cell>
          <cell r="G93">
            <v>103.71481129246179</v>
          </cell>
        </row>
        <row r="94">
          <cell r="A94">
            <v>40273</v>
          </cell>
          <cell r="B94">
            <v>28.39</v>
          </cell>
          <cell r="C94">
            <v>71289.679999999993</v>
          </cell>
          <cell r="D94">
            <v>1.75925</v>
          </cell>
          <cell r="F94">
            <v>101.39285714285715</v>
          </cell>
          <cell r="G94">
            <v>103.93837676073842</v>
          </cell>
        </row>
        <row r="95">
          <cell r="A95">
            <v>40274</v>
          </cell>
          <cell r="B95">
            <v>27.7</v>
          </cell>
          <cell r="C95">
            <v>71095.649999999994</v>
          </cell>
          <cell r="D95">
            <v>1.7604</v>
          </cell>
          <cell r="F95">
            <v>98.928571428571416</v>
          </cell>
          <cell r="G95">
            <v>103.65548640069071</v>
          </cell>
        </row>
        <row r="96">
          <cell r="A96">
            <v>40275</v>
          </cell>
          <cell r="B96">
            <v>27.64</v>
          </cell>
          <cell r="C96">
            <v>70792.94</v>
          </cell>
          <cell r="D96">
            <v>1.7637499999999999</v>
          </cell>
          <cell r="F96">
            <v>98.714285714285722</v>
          </cell>
          <cell r="G96">
            <v>103.21414361405958</v>
          </cell>
        </row>
        <row r="97">
          <cell r="A97">
            <v>40276</v>
          </cell>
          <cell r="B97">
            <v>27.9</v>
          </cell>
          <cell r="C97">
            <v>71784.78</v>
          </cell>
          <cell r="D97">
            <v>1.7839499999999999</v>
          </cell>
          <cell r="F97">
            <v>99.642857142857139</v>
          </cell>
          <cell r="G97">
            <v>104.66021883289028</v>
          </cell>
        </row>
        <row r="98">
          <cell r="A98">
            <v>40277</v>
          </cell>
          <cell r="B98">
            <v>27.2</v>
          </cell>
          <cell r="C98">
            <v>71417.27</v>
          </cell>
          <cell r="D98">
            <v>1.7742</v>
          </cell>
          <cell r="F98">
            <v>97.142857142857139</v>
          </cell>
          <cell r="G98">
            <v>104.12439944299628</v>
          </cell>
        </row>
        <row r="99">
          <cell r="A99">
            <v>40278</v>
          </cell>
          <cell r="B99">
            <v>27.2</v>
          </cell>
          <cell r="C99">
            <v>71417.27</v>
          </cell>
          <cell r="D99">
            <v>1.7742</v>
          </cell>
          <cell r="F99">
            <v>97.142857142857139</v>
          </cell>
          <cell r="G99">
            <v>104.12439944299628</v>
          </cell>
        </row>
        <row r="100">
          <cell r="A100">
            <v>40279</v>
          </cell>
          <cell r="B100">
            <v>27.2</v>
          </cell>
          <cell r="C100">
            <v>71417.27</v>
          </cell>
          <cell r="D100">
            <v>1.7742</v>
          </cell>
          <cell r="F100">
            <v>97.142857142857139</v>
          </cell>
          <cell r="G100">
            <v>104.12439944299628</v>
          </cell>
        </row>
        <row r="101">
          <cell r="A101">
            <v>40280</v>
          </cell>
          <cell r="B101">
            <v>27.19</v>
          </cell>
          <cell r="C101">
            <v>70614.36</v>
          </cell>
          <cell r="D101">
            <v>1.75875</v>
          </cell>
          <cell r="F101">
            <v>97.107142857142861</v>
          </cell>
          <cell r="G101">
            <v>102.95377892562314</v>
          </cell>
        </row>
        <row r="102">
          <cell r="A102">
            <v>40281</v>
          </cell>
          <cell r="B102">
            <v>27.3</v>
          </cell>
          <cell r="C102">
            <v>70792.399999999994</v>
          </cell>
          <cell r="D102">
            <v>1.7659</v>
          </cell>
          <cell r="F102">
            <v>97.5</v>
          </cell>
          <cell r="G102">
            <v>103.21335630903236</v>
          </cell>
        </row>
        <row r="103">
          <cell r="A103">
            <v>40282</v>
          </cell>
          <cell r="B103">
            <v>27.15</v>
          </cell>
          <cell r="C103">
            <v>71034.850000000006</v>
          </cell>
          <cell r="D103">
            <v>1.74275</v>
          </cell>
          <cell r="F103">
            <v>96.964285714285708</v>
          </cell>
          <cell r="G103">
            <v>103.56684168651817</v>
          </cell>
        </row>
        <row r="104">
          <cell r="A104">
            <v>40283</v>
          </cell>
          <cell r="B104">
            <v>27.9</v>
          </cell>
          <cell r="C104">
            <v>70524.350000000006</v>
          </cell>
          <cell r="D104">
            <v>1.74</v>
          </cell>
          <cell r="F104">
            <v>99.642857142857139</v>
          </cell>
          <cell r="G104">
            <v>102.82254684136869</v>
          </cell>
        </row>
        <row r="105">
          <cell r="A105">
            <v>40284</v>
          </cell>
          <cell r="B105">
            <v>28</v>
          </cell>
          <cell r="C105">
            <v>69421.350000000006</v>
          </cell>
          <cell r="D105">
            <v>1.7518</v>
          </cell>
          <cell r="F105">
            <v>100</v>
          </cell>
          <cell r="G105">
            <v>101.21440342471854</v>
          </cell>
        </row>
        <row r="106">
          <cell r="A106">
            <v>40285</v>
          </cell>
          <cell r="B106">
            <v>28</v>
          </cell>
          <cell r="C106">
            <v>69421.350000000006</v>
          </cell>
          <cell r="D106">
            <v>1.7518</v>
          </cell>
          <cell r="F106">
            <v>100</v>
          </cell>
          <cell r="G106">
            <v>101.21440342471854</v>
          </cell>
        </row>
        <row r="107">
          <cell r="A107">
            <v>40286</v>
          </cell>
          <cell r="B107">
            <v>28</v>
          </cell>
          <cell r="C107">
            <v>69421.350000000006</v>
          </cell>
          <cell r="D107">
            <v>1.7518</v>
          </cell>
          <cell r="F107">
            <v>100</v>
          </cell>
          <cell r="G107">
            <v>101.21440342471854</v>
          </cell>
        </row>
        <row r="108">
          <cell r="A108">
            <v>40287</v>
          </cell>
          <cell r="B108">
            <v>28.3</v>
          </cell>
          <cell r="C108">
            <v>69097.58</v>
          </cell>
          <cell r="D108">
            <v>1.7575499999999999</v>
          </cell>
          <cell r="F108">
            <v>101.07142857142857</v>
          </cell>
          <cell r="G108">
            <v>100.74235574202697</v>
          </cell>
        </row>
        <row r="109">
          <cell r="A109">
            <v>40288</v>
          </cell>
          <cell r="B109">
            <v>28.49</v>
          </cell>
          <cell r="C109">
            <v>69318.44</v>
          </cell>
          <cell r="D109">
            <v>1.7511000000000001</v>
          </cell>
          <cell r="F109">
            <v>101.74999999999999</v>
          </cell>
          <cell r="G109">
            <v>101.06436349814787</v>
          </cell>
        </row>
        <row r="110">
          <cell r="A110">
            <v>40289</v>
          </cell>
          <cell r="B110">
            <v>28.49</v>
          </cell>
          <cell r="C110">
            <v>69318.44</v>
          </cell>
          <cell r="D110">
            <v>1.7511000000000001</v>
          </cell>
          <cell r="F110">
            <v>101.74999999999999</v>
          </cell>
          <cell r="G110">
            <v>101.06436349814787</v>
          </cell>
        </row>
        <row r="111">
          <cell r="A111">
            <v>40290</v>
          </cell>
          <cell r="B111">
            <v>29.67</v>
          </cell>
          <cell r="C111">
            <v>69386.41</v>
          </cell>
          <cell r="D111">
            <v>1.7662500000000001</v>
          </cell>
          <cell r="F111">
            <v>105.96428571428571</v>
          </cell>
          <cell r="G111">
            <v>101.16346187351479</v>
          </cell>
        </row>
        <row r="112">
          <cell r="A112">
            <v>40291</v>
          </cell>
          <cell r="B112">
            <v>29.9</v>
          </cell>
          <cell r="C112">
            <v>69509.490000000005</v>
          </cell>
          <cell r="D112">
            <v>1.7623</v>
          </cell>
          <cell r="F112">
            <v>106.78571428571428</v>
          </cell>
          <cell r="G112">
            <v>101.34290910082331</v>
          </cell>
        </row>
        <row r="113">
          <cell r="A113">
            <v>40292</v>
          </cell>
          <cell r="B113">
            <v>29.9</v>
          </cell>
          <cell r="C113">
            <v>69509.490000000005</v>
          </cell>
          <cell r="D113">
            <v>1.7623</v>
          </cell>
          <cell r="F113">
            <v>106.78571428571428</v>
          </cell>
          <cell r="G113">
            <v>101.34290910082331</v>
          </cell>
        </row>
        <row r="114">
          <cell r="A114">
            <v>40293</v>
          </cell>
          <cell r="B114">
            <v>29.9</v>
          </cell>
          <cell r="C114">
            <v>69509.490000000005</v>
          </cell>
          <cell r="D114">
            <v>1.7623</v>
          </cell>
          <cell r="F114">
            <v>106.78571428571428</v>
          </cell>
          <cell r="G114">
            <v>101.34290910082331</v>
          </cell>
        </row>
        <row r="115">
          <cell r="A115">
            <v>40294</v>
          </cell>
          <cell r="B115">
            <v>29.2</v>
          </cell>
          <cell r="C115">
            <v>68871.94</v>
          </cell>
          <cell r="D115">
            <v>1.7442500000000001</v>
          </cell>
          <cell r="F115">
            <v>104.28571428571429</v>
          </cell>
          <cell r="G115">
            <v>100.41337887844317</v>
          </cell>
        </row>
        <row r="116">
          <cell r="A116">
            <v>40295</v>
          </cell>
          <cell r="B116">
            <v>29.05</v>
          </cell>
          <cell r="C116">
            <v>66511.100000000006</v>
          </cell>
          <cell r="D116">
            <v>1.7515000000000001</v>
          </cell>
          <cell r="F116">
            <v>103.75000000000001</v>
          </cell>
          <cell r="G116">
            <v>96.971339618457407</v>
          </cell>
        </row>
        <row r="117">
          <cell r="A117">
            <v>40296</v>
          </cell>
          <cell r="B117">
            <v>29.37</v>
          </cell>
          <cell r="C117">
            <v>66655.710000000006</v>
          </cell>
          <cell r="D117">
            <v>1.7576499999999999</v>
          </cell>
          <cell r="F117">
            <v>104.89285714285714</v>
          </cell>
          <cell r="G117">
            <v>97.182176988794467</v>
          </cell>
        </row>
        <row r="118">
          <cell r="A118">
            <v>40297</v>
          </cell>
          <cell r="B118">
            <v>29.3</v>
          </cell>
          <cell r="C118">
            <v>67978.05</v>
          </cell>
          <cell r="D118">
            <v>1.7309000000000001</v>
          </cell>
          <cell r="F118">
            <v>104.64285714285715</v>
          </cell>
          <cell r="G118">
            <v>99.110112043711169</v>
          </cell>
        </row>
        <row r="119">
          <cell r="A119">
            <v>40298</v>
          </cell>
          <cell r="B119">
            <v>29.95</v>
          </cell>
          <cell r="C119">
            <v>67529.73</v>
          </cell>
          <cell r="D119">
            <v>1.73075</v>
          </cell>
          <cell r="F119">
            <v>106.96428571428571</v>
          </cell>
          <cell r="G119">
            <v>98.456473914470379</v>
          </cell>
        </row>
        <row r="120">
          <cell r="A120">
            <v>40299</v>
          </cell>
          <cell r="B120">
            <v>29.95</v>
          </cell>
          <cell r="C120">
            <v>67529.73</v>
          </cell>
          <cell r="D120">
            <v>1.73075</v>
          </cell>
          <cell r="F120">
            <v>106.96428571428571</v>
          </cell>
          <cell r="G120">
            <v>98.456473914470379</v>
          </cell>
        </row>
        <row r="121">
          <cell r="A121">
            <v>40300</v>
          </cell>
          <cell r="B121">
            <v>29.95</v>
          </cell>
          <cell r="C121">
            <v>67529.73</v>
          </cell>
          <cell r="D121">
            <v>1.73075</v>
          </cell>
          <cell r="F121">
            <v>106.96428571428571</v>
          </cell>
          <cell r="G121">
            <v>98.456473914470379</v>
          </cell>
        </row>
        <row r="122">
          <cell r="A122">
            <v>40301</v>
          </cell>
          <cell r="B122">
            <v>29.5</v>
          </cell>
          <cell r="C122">
            <v>67119.41</v>
          </cell>
          <cell r="D122">
            <v>1.7344999999999999</v>
          </cell>
          <cell r="F122">
            <v>105.35714285714286</v>
          </cell>
          <cell r="G122">
            <v>97.858238731587448</v>
          </cell>
        </row>
        <row r="123">
          <cell r="A123">
            <v>40302</v>
          </cell>
          <cell r="B123">
            <v>28.6</v>
          </cell>
          <cell r="C123">
            <v>64869.32</v>
          </cell>
          <cell r="D123">
            <v>1.7555000000000001</v>
          </cell>
          <cell r="F123">
            <v>102.14285714285715</v>
          </cell>
          <cell r="G123">
            <v>94.577669900789346</v>
          </cell>
        </row>
        <row r="124">
          <cell r="A124">
            <v>40303</v>
          </cell>
          <cell r="B124">
            <v>28.5</v>
          </cell>
          <cell r="C124">
            <v>64914.17</v>
          </cell>
          <cell r="D124">
            <v>1.7878499999999999</v>
          </cell>
          <cell r="F124">
            <v>101.78571428571428</v>
          </cell>
          <cell r="G124">
            <v>94.643059957214334</v>
          </cell>
        </row>
        <row r="125">
          <cell r="A125">
            <v>40304</v>
          </cell>
          <cell r="B125">
            <v>27.9</v>
          </cell>
          <cell r="C125">
            <v>63414.22</v>
          </cell>
          <cell r="D125">
            <v>1.8084499999999999</v>
          </cell>
          <cell r="F125">
            <v>99.642857142857139</v>
          </cell>
          <cell r="G125">
            <v>92.456174446965605</v>
          </cell>
        </row>
        <row r="126">
          <cell r="A126">
            <v>40305</v>
          </cell>
          <cell r="B126">
            <v>27.99</v>
          </cell>
          <cell r="C126">
            <v>62870.879999999997</v>
          </cell>
          <cell r="D126">
            <v>1.84975</v>
          </cell>
          <cell r="F126">
            <v>99.964285714285708</v>
          </cell>
          <cell r="G126">
            <v>91.663999792384743</v>
          </cell>
        </row>
        <row r="127">
          <cell r="A127">
            <v>40306</v>
          </cell>
          <cell r="B127">
            <v>27.99</v>
          </cell>
          <cell r="C127">
            <v>62870.879999999997</v>
          </cell>
          <cell r="D127">
            <v>1.84975</v>
          </cell>
          <cell r="F127">
            <v>99.964285714285708</v>
          </cell>
          <cell r="G127">
            <v>91.663999792384743</v>
          </cell>
        </row>
        <row r="128">
          <cell r="A128">
            <v>40307</v>
          </cell>
          <cell r="B128">
            <v>27.99</v>
          </cell>
          <cell r="C128">
            <v>62870.879999999997</v>
          </cell>
          <cell r="D128">
            <v>1.84975</v>
          </cell>
          <cell r="F128">
            <v>99.964285714285708</v>
          </cell>
          <cell r="G128">
            <v>91.663999792384743</v>
          </cell>
        </row>
        <row r="129">
          <cell r="A129">
            <v>40308</v>
          </cell>
          <cell r="B129">
            <v>29</v>
          </cell>
          <cell r="C129">
            <v>65452.68</v>
          </cell>
          <cell r="D129">
            <v>1.7876000000000001</v>
          </cell>
          <cell r="F129">
            <v>103.57142857142858</v>
          </cell>
          <cell r="G129">
            <v>95.42819260571865</v>
          </cell>
        </row>
        <row r="130">
          <cell r="A130">
            <v>40309</v>
          </cell>
          <cell r="B130">
            <v>29</v>
          </cell>
          <cell r="C130">
            <v>64424.89</v>
          </cell>
          <cell r="D130">
            <v>1.78285</v>
          </cell>
          <cell r="F130">
            <v>103.57142857142858</v>
          </cell>
          <cell r="G130">
            <v>93.92970328368888</v>
          </cell>
        </row>
        <row r="131">
          <cell r="A131">
            <v>40310</v>
          </cell>
          <cell r="B131">
            <v>29.28</v>
          </cell>
          <cell r="C131">
            <v>65223.63</v>
          </cell>
          <cell r="D131">
            <v>1.77155</v>
          </cell>
          <cell r="F131">
            <v>104.57142857142858</v>
          </cell>
          <cell r="G131">
            <v>95.094244056685369</v>
          </cell>
        </row>
        <row r="132">
          <cell r="A132">
            <v>40311</v>
          </cell>
          <cell r="B132">
            <v>28.9</v>
          </cell>
          <cell r="C132">
            <v>64788.22</v>
          </cell>
          <cell r="D132">
            <v>1.7722500000000001</v>
          </cell>
          <cell r="F132">
            <v>103.21428571428571</v>
          </cell>
          <cell r="G132">
            <v>94.459428349483531</v>
          </cell>
        </row>
        <row r="133">
          <cell r="A133">
            <v>40312</v>
          </cell>
          <cell r="B133">
            <v>28.68</v>
          </cell>
          <cell r="C133">
            <v>63412.47</v>
          </cell>
          <cell r="D133">
            <v>1.7946</v>
          </cell>
          <cell r="F133">
            <v>102.42857142857143</v>
          </cell>
          <cell r="G133">
            <v>92.453622995488587</v>
          </cell>
        </row>
        <row r="134">
          <cell r="A134">
            <v>40313</v>
          </cell>
          <cell r="B134">
            <v>28.68</v>
          </cell>
          <cell r="C134">
            <v>63412.47</v>
          </cell>
          <cell r="D134">
            <v>1.7946</v>
          </cell>
          <cell r="F134">
            <v>102.42857142857143</v>
          </cell>
          <cell r="G134">
            <v>92.453622995488587</v>
          </cell>
        </row>
        <row r="135">
          <cell r="A135">
            <v>40314</v>
          </cell>
          <cell r="B135">
            <v>28.68</v>
          </cell>
          <cell r="C135">
            <v>63412.47</v>
          </cell>
          <cell r="D135">
            <v>1.7946</v>
          </cell>
          <cell r="F135">
            <v>102.42857142857143</v>
          </cell>
          <cell r="G135">
            <v>92.453622995488587</v>
          </cell>
        </row>
        <row r="136">
          <cell r="A136">
            <v>40315</v>
          </cell>
          <cell r="B136">
            <v>28.7</v>
          </cell>
          <cell r="C136">
            <v>62866.26</v>
          </cell>
          <cell r="D136">
            <v>1.8073999999999999</v>
          </cell>
          <cell r="F136">
            <v>102.49999999999999</v>
          </cell>
          <cell r="G136">
            <v>91.657263960485452</v>
          </cell>
        </row>
        <row r="137">
          <cell r="A137">
            <v>40316</v>
          </cell>
          <cell r="B137">
            <v>28.11</v>
          </cell>
          <cell r="C137">
            <v>60841.08</v>
          </cell>
          <cell r="D137">
            <v>1.7967500000000001</v>
          </cell>
          <cell r="F137">
            <v>100.39285714285715</v>
          </cell>
          <cell r="G137">
            <v>88.704607673512186</v>
          </cell>
        </row>
        <row r="138">
          <cell r="A138">
            <v>40317</v>
          </cell>
          <cell r="B138">
            <v>27</v>
          </cell>
          <cell r="C138">
            <v>59689.32</v>
          </cell>
          <cell r="D138">
            <v>1.83765</v>
          </cell>
          <cell r="F138">
            <v>96.428571428571431</v>
          </cell>
          <cell r="G138">
            <v>87.025373528851304</v>
          </cell>
        </row>
        <row r="139">
          <cell r="A139">
            <v>40318</v>
          </cell>
          <cell r="B139">
            <v>25.01</v>
          </cell>
          <cell r="C139">
            <v>58192.08</v>
          </cell>
          <cell r="D139">
            <v>1.8864000000000001</v>
          </cell>
          <cell r="F139">
            <v>89.321428571428569</v>
          </cell>
          <cell r="G139">
            <v>84.842439123461233</v>
          </cell>
        </row>
        <row r="140">
          <cell r="A140">
            <v>40319</v>
          </cell>
          <cell r="B140">
            <v>26</v>
          </cell>
          <cell r="C140">
            <v>60259.33</v>
          </cell>
          <cell r="D140">
            <v>1.8728</v>
          </cell>
          <cell r="F140">
            <v>92.857142857142861</v>
          </cell>
          <cell r="G140">
            <v>87.856432303941716</v>
          </cell>
        </row>
        <row r="141">
          <cell r="A141">
            <v>40320</v>
          </cell>
          <cell r="B141">
            <v>26</v>
          </cell>
          <cell r="C141">
            <v>60259.33</v>
          </cell>
          <cell r="D141">
            <v>1.8728</v>
          </cell>
          <cell r="F141">
            <v>92.857142857142861</v>
          </cell>
          <cell r="G141">
            <v>87.856432303941716</v>
          </cell>
        </row>
        <row r="142">
          <cell r="A142">
            <v>40321</v>
          </cell>
          <cell r="B142">
            <v>26</v>
          </cell>
          <cell r="C142">
            <v>60259.33</v>
          </cell>
          <cell r="D142">
            <v>1.8728</v>
          </cell>
          <cell r="F142">
            <v>92.857142857142861</v>
          </cell>
          <cell r="G142">
            <v>87.856432303941716</v>
          </cell>
        </row>
        <row r="143">
          <cell r="A143">
            <v>40322</v>
          </cell>
          <cell r="B143">
            <v>26.84</v>
          </cell>
          <cell r="C143">
            <v>59915.14</v>
          </cell>
          <cell r="D143">
            <v>1.8485</v>
          </cell>
          <cell r="F143">
            <v>95.857142857142847</v>
          </cell>
          <cell r="G143">
            <v>87.354612827444171</v>
          </cell>
        </row>
        <row r="144">
          <cell r="A144">
            <v>40323</v>
          </cell>
          <cell r="B144">
            <v>28.9</v>
          </cell>
          <cell r="C144">
            <v>59184.08</v>
          </cell>
          <cell r="D144">
            <v>1.8866000000000001</v>
          </cell>
          <cell r="F144">
            <v>103.21428571428571</v>
          </cell>
          <cell r="G144">
            <v>86.288747617855549</v>
          </cell>
        </row>
        <row r="145">
          <cell r="A145">
            <v>40324</v>
          </cell>
          <cell r="B145">
            <v>28.5</v>
          </cell>
          <cell r="C145">
            <v>60190.36</v>
          </cell>
          <cell r="D145">
            <v>1.8408</v>
          </cell>
          <cell r="F145">
            <v>101.78571428571428</v>
          </cell>
          <cell r="G145">
            <v>87.755875956302233</v>
          </cell>
        </row>
        <row r="146">
          <cell r="A146">
            <v>40325</v>
          </cell>
          <cell r="B146">
            <v>29.5</v>
          </cell>
          <cell r="C146">
            <v>62091.77</v>
          </cell>
          <cell r="D146">
            <v>1.8319000000000001</v>
          </cell>
          <cell r="F146">
            <v>105.35714285714286</v>
          </cell>
          <cell r="G146">
            <v>90.528079015098896</v>
          </cell>
        </row>
        <row r="147">
          <cell r="A147">
            <v>40326</v>
          </cell>
          <cell r="B147">
            <v>29.7</v>
          </cell>
          <cell r="C147">
            <v>61946.99</v>
          </cell>
          <cell r="D147">
            <v>1.8245</v>
          </cell>
          <cell r="F147">
            <v>106.07142857142857</v>
          </cell>
          <cell r="G147">
            <v>90.316993789475504</v>
          </cell>
        </row>
        <row r="148">
          <cell r="A148">
            <v>40327</v>
          </cell>
          <cell r="B148">
            <v>29.7</v>
          </cell>
          <cell r="C148">
            <v>61946.99</v>
          </cell>
          <cell r="D148">
            <v>1.8245</v>
          </cell>
          <cell r="F148">
            <v>106.07142857142857</v>
          </cell>
          <cell r="G148">
            <v>90.316993789475504</v>
          </cell>
        </row>
        <row r="149">
          <cell r="A149">
            <v>40328</v>
          </cell>
          <cell r="B149">
            <v>29.7</v>
          </cell>
          <cell r="C149">
            <v>61946.99</v>
          </cell>
          <cell r="D149">
            <v>1.8245</v>
          </cell>
          <cell r="F149">
            <v>106.07142857142857</v>
          </cell>
          <cell r="G149">
            <v>90.316993789475504</v>
          </cell>
        </row>
        <row r="150">
          <cell r="A150">
            <v>40329</v>
          </cell>
          <cell r="B150">
            <v>29.7</v>
          </cell>
          <cell r="C150">
            <v>61946.99</v>
          </cell>
          <cell r="D150">
            <v>1.8245</v>
          </cell>
          <cell r="F150">
            <v>106.07142857142857</v>
          </cell>
          <cell r="G150">
            <v>90.316993789475504</v>
          </cell>
        </row>
        <row r="151">
          <cell r="A151">
            <v>40330</v>
          </cell>
          <cell r="B151">
            <v>29.5</v>
          </cell>
          <cell r="C151">
            <v>61840.99</v>
          </cell>
          <cell r="D151">
            <v>1.8204</v>
          </cell>
          <cell r="F151">
            <v>105.35714285714286</v>
          </cell>
          <cell r="G151">
            <v>90.162448728582561</v>
          </cell>
        </row>
        <row r="152">
          <cell r="A152">
            <v>40331</v>
          </cell>
          <cell r="B152">
            <v>29.7</v>
          </cell>
          <cell r="C152">
            <v>62942.91</v>
          </cell>
          <cell r="D152">
            <v>1.83365</v>
          </cell>
          <cell r="F152">
            <v>106.07142857142857</v>
          </cell>
          <cell r="G152">
            <v>91.769017535178321</v>
          </cell>
        </row>
        <row r="153">
          <cell r="A153">
            <v>40332</v>
          </cell>
          <cell r="B153">
            <v>29.7</v>
          </cell>
          <cell r="C153">
            <v>62942.91</v>
          </cell>
          <cell r="D153">
            <v>1.8191999999999999</v>
          </cell>
          <cell r="F153">
            <v>106.07142857142857</v>
          </cell>
          <cell r="G153">
            <v>91.769017535178321</v>
          </cell>
        </row>
        <row r="154">
          <cell r="A154">
            <v>40333</v>
          </cell>
          <cell r="B154">
            <v>30</v>
          </cell>
          <cell r="C154">
            <v>61675.75</v>
          </cell>
          <cell r="D154">
            <v>1.83975</v>
          </cell>
          <cell r="F154">
            <v>107.14285714285714</v>
          </cell>
          <cell r="G154">
            <v>89.921533390262283</v>
          </cell>
        </row>
        <row r="155">
          <cell r="A155">
            <v>40334</v>
          </cell>
          <cell r="B155">
            <v>30</v>
          </cell>
          <cell r="C155">
            <v>61675.75</v>
          </cell>
          <cell r="D155">
            <v>1.83975</v>
          </cell>
          <cell r="F155">
            <v>107.14285714285714</v>
          </cell>
          <cell r="G155">
            <v>89.921533390262283</v>
          </cell>
        </row>
        <row r="156">
          <cell r="A156">
            <v>40335</v>
          </cell>
          <cell r="B156">
            <v>30</v>
          </cell>
          <cell r="C156">
            <v>61675.75</v>
          </cell>
          <cell r="D156">
            <v>1.83975</v>
          </cell>
          <cell r="F156">
            <v>107.14285714285714</v>
          </cell>
          <cell r="G156">
            <v>89.921533390262283</v>
          </cell>
        </row>
        <row r="157">
          <cell r="A157">
            <v>40336</v>
          </cell>
          <cell r="B157">
            <v>30.49</v>
          </cell>
          <cell r="C157">
            <v>61182.92</v>
          </cell>
          <cell r="D157">
            <v>1.8701000000000001</v>
          </cell>
          <cell r="F157">
            <v>108.89285714285715</v>
          </cell>
          <cell r="G157">
            <v>89.203000915169184</v>
          </cell>
        </row>
        <row r="158">
          <cell r="A158">
            <v>40337</v>
          </cell>
          <cell r="B158">
            <v>30.45</v>
          </cell>
          <cell r="C158">
            <v>61793</v>
          </cell>
          <cell r="D158">
            <v>1.8734999999999999</v>
          </cell>
          <cell r="F158">
            <v>108.74999999999999</v>
          </cell>
          <cell r="G158">
            <v>90.092480639221691</v>
          </cell>
        </row>
        <row r="159">
          <cell r="A159">
            <v>40338</v>
          </cell>
          <cell r="B159">
            <v>30</v>
          </cell>
          <cell r="C159">
            <v>61478.61</v>
          </cell>
          <cell r="D159">
            <v>1.8412500000000001</v>
          </cell>
          <cell r="F159">
            <v>107.14285714285714</v>
          </cell>
          <cell r="G159">
            <v>89.634108736446876</v>
          </cell>
        </row>
        <row r="160">
          <cell r="A160">
            <v>40339</v>
          </cell>
          <cell r="B160">
            <v>29.9</v>
          </cell>
          <cell r="C160">
            <v>63048.800000000003</v>
          </cell>
          <cell r="D160">
            <v>1.8202499999999999</v>
          </cell>
          <cell r="F160">
            <v>106.78571428571428</v>
          </cell>
          <cell r="G160">
            <v>91.923402219121272</v>
          </cell>
        </row>
        <row r="161">
          <cell r="A161">
            <v>40340</v>
          </cell>
          <cell r="B161">
            <v>30.9</v>
          </cell>
          <cell r="C161">
            <v>63605.38</v>
          </cell>
          <cell r="D161">
            <v>1.8079000000000001</v>
          </cell>
          <cell r="F161">
            <v>110.35714285714285</v>
          </cell>
          <cell r="G161">
            <v>92.734880426591019</v>
          </cell>
        </row>
        <row r="162">
          <cell r="A162">
            <v>40341</v>
          </cell>
          <cell r="B162">
            <v>30.9</v>
          </cell>
          <cell r="C162">
            <v>63605.38</v>
          </cell>
          <cell r="D162">
            <v>1.8079000000000001</v>
          </cell>
          <cell r="F162">
            <v>110.35714285714285</v>
          </cell>
          <cell r="G162">
            <v>92.734880426591019</v>
          </cell>
        </row>
        <row r="163">
          <cell r="A163">
            <v>40342</v>
          </cell>
          <cell r="B163">
            <v>30.9</v>
          </cell>
          <cell r="C163">
            <v>63605.38</v>
          </cell>
          <cell r="D163">
            <v>1.8079000000000001</v>
          </cell>
          <cell r="F163">
            <v>110.35714285714285</v>
          </cell>
          <cell r="G163">
            <v>92.734880426591019</v>
          </cell>
        </row>
        <row r="164">
          <cell r="A164">
            <v>40343</v>
          </cell>
          <cell r="B164">
            <v>31.5</v>
          </cell>
          <cell r="C164">
            <v>63532.85</v>
          </cell>
          <cell r="D164">
            <v>1.8010999999999999</v>
          </cell>
          <cell r="F164">
            <v>112.5</v>
          </cell>
          <cell r="G164">
            <v>92.62913369766116</v>
          </cell>
        </row>
        <row r="165">
          <cell r="A165">
            <v>40344</v>
          </cell>
          <cell r="B165">
            <v>32.79</v>
          </cell>
          <cell r="C165">
            <v>64442.27</v>
          </cell>
          <cell r="D165">
            <v>1.7940499999999999</v>
          </cell>
          <cell r="F165">
            <v>117.10714285714286</v>
          </cell>
          <cell r="G165">
            <v>93.955042841786224</v>
          </cell>
        </row>
        <row r="166">
          <cell r="A166">
            <v>40345</v>
          </cell>
          <cell r="B166">
            <v>33.99</v>
          </cell>
          <cell r="C166">
            <v>64750.71</v>
          </cell>
          <cell r="D166">
            <v>1.7903500000000001</v>
          </cell>
          <cell r="F166">
            <v>121.39285714285715</v>
          </cell>
          <cell r="G166">
            <v>94.404739809539237</v>
          </cell>
        </row>
        <row r="167">
          <cell r="A167">
            <v>40346</v>
          </cell>
          <cell r="B167">
            <v>32.520000000000003</v>
          </cell>
          <cell r="C167">
            <v>64540.91</v>
          </cell>
          <cell r="D167">
            <v>1.7837000000000001</v>
          </cell>
          <cell r="F167">
            <v>116.14285714285715</v>
          </cell>
          <cell r="G167">
            <v>94.098857226753026</v>
          </cell>
        </row>
        <row r="168">
          <cell r="A168">
            <v>40347</v>
          </cell>
          <cell r="B168">
            <v>32.75</v>
          </cell>
          <cell r="C168">
            <v>64437.58</v>
          </cell>
          <cell r="D168">
            <v>1.7732000000000001</v>
          </cell>
          <cell r="F168">
            <v>116.96428571428572</v>
          </cell>
          <cell r="G168">
            <v>93.948204951827861</v>
          </cell>
        </row>
        <row r="169">
          <cell r="A169">
            <v>40348</v>
          </cell>
          <cell r="B169">
            <v>32.75</v>
          </cell>
          <cell r="C169">
            <v>64437.58</v>
          </cell>
          <cell r="D169">
            <v>1.7732000000000001</v>
          </cell>
          <cell r="F169">
            <v>116.96428571428572</v>
          </cell>
          <cell r="G169">
            <v>93.948204951827861</v>
          </cell>
        </row>
        <row r="170">
          <cell r="A170">
            <v>40349</v>
          </cell>
          <cell r="B170">
            <v>32.75</v>
          </cell>
          <cell r="C170">
            <v>64437.58</v>
          </cell>
          <cell r="D170">
            <v>1.7732000000000001</v>
          </cell>
          <cell r="F170">
            <v>116.96428571428572</v>
          </cell>
          <cell r="G170">
            <v>93.948204951827861</v>
          </cell>
        </row>
        <row r="171">
          <cell r="A171">
            <v>40350</v>
          </cell>
          <cell r="B171">
            <v>33.35</v>
          </cell>
          <cell r="C171">
            <v>64829.03</v>
          </cell>
          <cell r="D171">
            <v>1.7637</v>
          </cell>
          <cell r="F171">
            <v>119.10714285714286</v>
          </cell>
          <cell r="G171">
            <v>94.518928197927309</v>
          </cell>
        </row>
        <row r="172">
          <cell r="A172">
            <v>40351</v>
          </cell>
          <cell r="B172">
            <v>33.49</v>
          </cell>
          <cell r="C172">
            <v>64810.62</v>
          </cell>
          <cell r="D172">
            <v>1.7641500000000001</v>
          </cell>
          <cell r="F172">
            <v>119.60714285714286</v>
          </cell>
          <cell r="G172">
            <v>94.492086928389213</v>
          </cell>
        </row>
        <row r="173">
          <cell r="A173">
            <v>40352</v>
          </cell>
          <cell r="B173">
            <v>33</v>
          </cell>
          <cell r="C173">
            <v>65160.33</v>
          </cell>
          <cell r="D173">
            <v>1.7968500000000001</v>
          </cell>
          <cell r="F173">
            <v>117.85714285714286</v>
          </cell>
          <cell r="G173">
            <v>95.001954411831377</v>
          </cell>
        </row>
        <row r="174">
          <cell r="A174">
            <v>40353</v>
          </cell>
          <cell r="B174">
            <v>33.99</v>
          </cell>
          <cell r="C174">
            <v>63936.7</v>
          </cell>
          <cell r="D174">
            <v>1.7924</v>
          </cell>
          <cell r="F174">
            <v>121.39285714285715</v>
          </cell>
          <cell r="G174">
            <v>93.217935799940534</v>
          </cell>
        </row>
        <row r="175">
          <cell r="A175">
            <v>40354</v>
          </cell>
          <cell r="B175">
            <v>34</v>
          </cell>
          <cell r="C175">
            <v>64823.83</v>
          </cell>
          <cell r="D175">
            <v>1.7867999999999999</v>
          </cell>
          <cell r="F175">
            <v>121.42857142857142</v>
          </cell>
          <cell r="G175">
            <v>94.511346742109922</v>
          </cell>
        </row>
        <row r="176">
          <cell r="A176">
            <v>40355</v>
          </cell>
          <cell r="B176">
            <v>34</v>
          </cell>
          <cell r="C176">
            <v>64823.83</v>
          </cell>
          <cell r="D176">
            <v>1.7867999999999999</v>
          </cell>
          <cell r="F176">
            <v>121.42857142857142</v>
          </cell>
          <cell r="G176">
            <v>94.511346742109922</v>
          </cell>
        </row>
        <row r="177">
          <cell r="A177">
            <v>40356</v>
          </cell>
          <cell r="B177">
            <v>34</v>
          </cell>
          <cell r="C177">
            <v>64823.83</v>
          </cell>
          <cell r="D177">
            <v>1.7867999999999999</v>
          </cell>
          <cell r="F177">
            <v>121.42857142857142</v>
          </cell>
          <cell r="G177">
            <v>94.511346742109922</v>
          </cell>
        </row>
        <row r="178">
          <cell r="A178">
            <v>40357</v>
          </cell>
          <cell r="B178">
            <v>34.89</v>
          </cell>
          <cell r="C178">
            <v>64225.22</v>
          </cell>
          <cell r="D178">
            <v>1.7789999999999999</v>
          </cell>
          <cell r="F178">
            <v>124.60714285714285</v>
          </cell>
          <cell r="G178">
            <v>93.63858996002385</v>
          </cell>
        </row>
        <row r="179">
          <cell r="A179">
            <v>40358</v>
          </cell>
          <cell r="B179">
            <v>35</v>
          </cell>
          <cell r="C179">
            <v>61977.91</v>
          </cell>
          <cell r="D179">
            <v>1.8023</v>
          </cell>
          <cell r="F179">
            <v>125</v>
          </cell>
          <cell r="G179">
            <v>90.362074292143518</v>
          </cell>
        </row>
        <row r="180">
          <cell r="A180">
            <v>40359</v>
          </cell>
          <cell r="B180">
            <v>34.5</v>
          </cell>
          <cell r="C180">
            <v>60935.9</v>
          </cell>
          <cell r="D180">
            <v>1.8025</v>
          </cell>
          <cell r="F180">
            <v>123.21428571428572</v>
          </cell>
          <cell r="G180">
            <v>88.842852604397734</v>
          </cell>
        </row>
        <row r="181">
          <cell r="A181">
            <v>40360</v>
          </cell>
          <cell r="B181">
            <v>34</v>
          </cell>
          <cell r="C181">
            <v>61236.2</v>
          </cell>
          <cell r="D181">
            <v>1.8050999999999999</v>
          </cell>
          <cell r="F181">
            <v>121.42857142857142</v>
          </cell>
          <cell r="G181">
            <v>89.280681677851987</v>
          </cell>
        </row>
        <row r="182">
          <cell r="A182">
            <v>40361</v>
          </cell>
          <cell r="B182">
            <v>34.700000000000003</v>
          </cell>
          <cell r="C182">
            <v>61429.79</v>
          </cell>
          <cell r="D182">
            <v>1.7716000000000001</v>
          </cell>
          <cell r="F182">
            <v>123.92857142857143</v>
          </cell>
          <cell r="G182">
            <v>89.562930530099763</v>
          </cell>
        </row>
        <row r="183">
          <cell r="A183">
            <v>40362</v>
          </cell>
          <cell r="B183">
            <v>34.700000000000003</v>
          </cell>
          <cell r="C183">
            <v>61429.79</v>
          </cell>
          <cell r="D183">
            <v>1.7716000000000001</v>
          </cell>
          <cell r="F183">
            <v>123.92857142857143</v>
          </cell>
          <cell r="G183">
            <v>89.562930530099763</v>
          </cell>
        </row>
        <row r="184">
          <cell r="A184">
            <v>40363</v>
          </cell>
          <cell r="B184">
            <v>34.700000000000003</v>
          </cell>
          <cell r="C184">
            <v>61429.79</v>
          </cell>
          <cell r="D184">
            <v>1.7716000000000001</v>
          </cell>
          <cell r="F184">
            <v>123.92857142857143</v>
          </cell>
          <cell r="G184">
            <v>89.562930530099763</v>
          </cell>
        </row>
        <row r="185">
          <cell r="A185">
            <v>40364</v>
          </cell>
          <cell r="B185">
            <v>34.700000000000003</v>
          </cell>
          <cell r="C185">
            <v>61429.79</v>
          </cell>
          <cell r="D185">
            <v>1.7716000000000001</v>
          </cell>
          <cell r="F185">
            <v>123.92857142857143</v>
          </cell>
          <cell r="G185">
            <v>89.562930530099763</v>
          </cell>
        </row>
        <row r="186">
          <cell r="A186">
            <v>40365</v>
          </cell>
          <cell r="B186">
            <v>34.43</v>
          </cell>
          <cell r="C186">
            <v>62064.75</v>
          </cell>
          <cell r="D186">
            <v>1.7646500000000001</v>
          </cell>
          <cell r="F186">
            <v>122.96428571428571</v>
          </cell>
          <cell r="G186">
            <v>90.488684604293923</v>
          </cell>
        </row>
        <row r="187">
          <cell r="A187">
            <v>40366</v>
          </cell>
          <cell r="B187">
            <v>35</v>
          </cell>
          <cell r="C187">
            <v>63283.8</v>
          </cell>
          <cell r="D187">
            <v>1.7698</v>
          </cell>
          <cell r="F187">
            <v>125</v>
          </cell>
          <cell r="G187">
            <v>92.266025703176382</v>
          </cell>
        </row>
        <row r="188">
          <cell r="A188">
            <v>40367</v>
          </cell>
          <cell r="B188">
            <v>35</v>
          </cell>
          <cell r="C188">
            <v>63476.32</v>
          </cell>
          <cell r="D188">
            <v>1.7686999999999999</v>
          </cell>
          <cell r="F188">
            <v>125</v>
          </cell>
          <cell r="G188">
            <v>92.546714525092497</v>
          </cell>
        </row>
        <row r="189">
          <cell r="A189">
            <v>40368</v>
          </cell>
          <cell r="B189">
            <v>35</v>
          </cell>
          <cell r="C189">
            <v>63476.32</v>
          </cell>
          <cell r="D189">
            <v>1.76075</v>
          </cell>
          <cell r="F189">
            <v>125</v>
          </cell>
          <cell r="G189">
            <v>92.546714525092497</v>
          </cell>
        </row>
        <row r="190">
          <cell r="A190">
            <v>40369</v>
          </cell>
          <cell r="B190">
            <v>35</v>
          </cell>
          <cell r="C190">
            <v>63476.32</v>
          </cell>
          <cell r="D190">
            <v>1.76075</v>
          </cell>
          <cell r="F190">
            <v>125</v>
          </cell>
          <cell r="G190">
            <v>92.546714525092497</v>
          </cell>
        </row>
        <row r="191">
          <cell r="A191">
            <v>40370</v>
          </cell>
          <cell r="B191">
            <v>35</v>
          </cell>
          <cell r="C191">
            <v>63476.32</v>
          </cell>
          <cell r="D191">
            <v>1.76075</v>
          </cell>
          <cell r="F191">
            <v>125</v>
          </cell>
          <cell r="G191">
            <v>92.546714525092497</v>
          </cell>
        </row>
        <row r="192">
          <cell r="A192">
            <v>40371</v>
          </cell>
          <cell r="B192">
            <v>34.75</v>
          </cell>
          <cell r="C192">
            <v>62960.1</v>
          </cell>
          <cell r="D192">
            <v>1.76315</v>
          </cell>
          <cell r="F192">
            <v>124.10714285714286</v>
          </cell>
          <cell r="G192">
            <v>91.794080078543871</v>
          </cell>
        </row>
        <row r="193">
          <cell r="A193">
            <v>40372</v>
          </cell>
          <cell r="B193">
            <v>34.75</v>
          </cell>
          <cell r="C193">
            <v>63685.56</v>
          </cell>
          <cell r="D193">
            <v>1.7516499999999999</v>
          </cell>
          <cell r="F193">
            <v>124.10714285714286</v>
          </cell>
          <cell r="G193">
            <v>92.851780643406073</v>
          </cell>
        </row>
        <row r="194">
          <cell r="A194">
            <v>40373</v>
          </cell>
          <cell r="B194">
            <v>34.74</v>
          </cell>
          <cell r="C194">
            <v>63479.46</v>
          </cell>
          <cell r="D194">
            <v>1.7649999999999999</v>
          </cell>
          <cell r="F194">
            <v>124.07142857142858</v>
          </cell>
          <cell r="G194">
            <v>92.551292558028393</v>
          </cell>
        </row>
        <row r="195">
          <cell r="A195">
            <v>40374</v>
          </cell>
          <cell r="B195">
            <v>35</v>
          </cell>
          <cell r="C195">
            <v>63489.37</v>
          </cell>
          <cell r="D195">
            <v>1.7693000000000001</v>
          </cell>
          <cell r="F195">
            <v>125</v>
          </cell>
          <cell r="G195">
            <v>92.565741063249604</v>
          </cell>
        </row>
        <row r="196">
          <cell r="A196">
            <v>40375</v>
          </cell>
          <cell r="B196">
            <v>34.4</v>
          </cell>
          <cell r="C196">
            <v>62339.27</v>
          </cell>
          <cell r="D196">
            <v>1.7783500000000001</v>
          </cell>
          <cell r="F196">
            <v>122.85714285714285</v>
          </cell>
          <cell r="G196">
            <v>90.888927152561195</v>
          </cell>
        </row>
        <row r="197">
          <cell r="A197">
            <v>40376</v>
          </cell>
          <cell r="B197">
            <v>34.4</v>
          </cell>
          <cell r="C197">
            <v>62339.27</v>
          </cell>
          <cell r="D197">
            <v>1.7783500000000001</v>
          </cell>
          <cell r="F197">
            <v>122.85714285714285</v>
          </cell>
          <cell r="G197">
            <v>90.888927152561195</v>
          </cell>
        </row>
        <row r="198">
          <cell r="A198">
            <v>40377</v>
          </cell>
          <cell r="B198">
            <v>34.4</v>
          </cell>
          <cell r="C198">
            <v>62339.27</v>
          </cell>
          <cell r="D198">
            <v>1.7783500000000001</v>
          </cell>
          <cell r="F198">
            <v>122.85714285714285</v>
          </cell>
          <cell r="G198">
            <v>90.888927152561195</v>
          </cell>
        </row>
        <row r="199">
          <cell r="A199">
            <v>40378</v>
          </cell>
          <cell r="B199">
            <v>34.49</v>
          </cell>
          <cell r="C199">
            <v>63297.04</v>
          </cell>
          <cell r="D199">
            <v>1.7847999999999999</v>
          </cell>
          <cell r="F199">
            <v>123.17857142857143</v>
          </cell>
          <cell r="G199">
            <v>92.285329256065268</v>
          </cell>
        </row>
        <row r="200">
          <cell r="A200">
            <v>40379</v>
          </cell>
          <cell r="B200">
            <v>34.4</v>
          </cell>
          <cell r="C200">
            <v>64462.5</v>
          </cell>
          <cell r="D200">
            <v>1.7808999999999999</v>
          </cell>
          <cell r="F200">
            <v>122.85714285714285</v>
          </cell>
          <cell r="G200">
            <v>93.984537620860436</v>
          </cell>
        </row>
        <row r="201">
          <cell r="A201">
            <v>40380</v>
          </cell>
          <cell r="B201">
            <v>34.799999999999997</v>
          </cell>
          <cell r="C201">
            <v>64476.84</v>
          </cell>
          <cell r="D201">
            <v>1.77495</v>
          </cell>
          <cell r="F201">
            <v>124.28571428571426</v>
          </cell>
          <cell r="G201">
            <v>94.005444943249145</v>
          </cell>
        </row>
        <row r="202">
          <cell r="A202">
            <v>40381</v>
          </cell>
          <cell r="B202">
            <v>34.9</v>
          </cell>
          <cell r="C202">
            <v>65748.100000000006</v>
          </cell>
          <cell r="D202">
            <v>1.7615000000000001</v>
          </cell>
          <cell r="F202">
            <v>124.64285714285714</v>
          </cell>
          <cell r="G202">
            <v>95.858906774482747</v>
          </cell>
        </row>
        <row r="203">
          <cell r="A203">
            <v>40382</v>
          </cell>
          <cell r="B203">
            <v>34.200000000000003</v>
          </cell>
          <cell r="C203">
            <v>66322.990000000005</v>
          </cell>
          <cell r="D203">
            <v>1.7618</v>
          </cell>
          <cell r="F203">
            <v>122.14285714285715</v>
          </cell>
          <cell r="G203">
            <v>96.697080454263343</v>
          </cell>
        </row>
        <row r="204">
          <cell r="A204">
            <v>40383</v>
          </cell>
          <cell r="B204">
            <v>34.200000000000003</v>
          </cell>
          <cell r="C204">
            <v>66322.990000000005</v>
          </cell>
          <cell r="D204">
            <v>1.7618</v>
          </cell>
          <cell r="F204">
            <v>122.14285714285715</v>
          </cell>
          <cell r="G204">
            <v>96.697080454263343</v>
          </cell>
        </row>
        <row r="205">
          <cell r="A205">
            <v>40384</v>
          </cell>
          <cell r="B205">
            <v>34.200000000000003</v>
          </cell>
          <cell r="C205">
            <v>66322.990000000005</v>
          </cell>
          <cell r="D205">
            <v>1.7618</v>
          </cell>
          <cell r="F205">
            <v>122.14285714285715</v>
          </cell>
          <cell r="G205">
            <v>96.697080454263343</v>
          </cell>
        </row>
        <row r="206">
          <cell r="A206">
            <v>40385</v>
          </cell>
          <cell r="B206">
            <v>34.15</v>
          </cell>
          <cell r="C206">
            <v>66443.259999999995</v>
          </cell>
          <cell r="D206">
            <v>1.7714000000000001</v>
          </cell>
          <cell r="F206">
            <v>121.96428571428571</v>
          </cell>
          <cell r="G206">
            <v>96.87243077948591</v>
          </cell>
        </row>
        <row r="207">
          <cell r="A207">
            <v>40386</v>
          </cell>
          <cell r="B207">
            <v>34.700000000000003</v>
          </cell>
          <cell r="C207">
            <v>66674.44</v>
          </cell>
          <cell r="D207">
            <v>1.76675</v>
          </cell>
          <cell r="F207">
            <v>123.92857142857143</v>
          </cell>
          <cell r="G207">
            <v>97.209484809459795</v>
          </cell>
        </row>
        <row r="208">
          <cell r="A208">
            <v>40387</v>
          </cell>
          <cell r="B208">
            <v>35</v>
          </cell>
          <cell r="C208">
            <v>66808.25</v>
          </cell>
          <cell r="D208">
            <v>1.7639</v>
          </cell>
          <cell r="F208">
            <v>125</v>
          </cell>
          <cell r="G208">
            <v>97.404576079253033</v>
          </cell>
        </row>
        <row r="209">
          <cell r="A209">
            <v>40388</v>
          </cell>
          <cell r="B209">
            <v>35</v>
          </cell>
          <cell r="C209">
            <v>66953.83</v>
          </cell>
          <cell r="D209">
            <v>1.7637499999999999</v>
          </cell>
          <cell r="F209">
            <v>125</v>
          </cell>
          <cell r="G209">
            <v>97.616827682694492</v>
          </cell>
        </row>
        <row r="210">
          <cell r="A210">
            <v>40389</v>
          </cell>
          <cell r="B210">
            <v>36.6</v>
          </cell>
          <cell r="C210">
            <v>67515.399999999994</v>
          </cell>
          <cell r="D210">
            <v>1.75925</v>
          </cell>
          <cell r="F210">
            <v>130.71428571428572</v>
          </cell>
          <cell r="G210">
            <v>98.435581171804373</v>
          </cell>
        </row>
        <row r="211">
          <cell r="A211">
            <v>40390</v>
          </cell>
          <cell r="B211">
            <v>36.6</v>
          </cell>
          <cell r="C211">
            <v>67515.399999999994</v>
          </cell>
          <cell r="D211">
            <v>1.75925</v>
          </cell>
          <cell r="F211">
            <v>130.71428571428572</v>
          </cell>
          <cell r="G211">
            <v>98.435581171804373</v>
          </cell>
        </row>
        <row r="212">
          <cell r="A212">
            <v>40391</v>
          </cell>
          <cell r="B212">
            <v>36.6</v>
          </cell>
          <cell r="C212">
            <v>67515.399999999994</v>
          </cell>
          <cell r="D212">
            <v>1.75925</v>
          </cell>
          <cell r="F212">
            <v>130.71428571428572</v>
          </cell>
          <cell r="G212">
            <v>98.435581171804373</v>
          </cell>
        </row>
        <row r="213">
          <cell r="A213">
            <v>40392</v>
          </cell>
          <cell r="B213">
            <v>36.5</v>
          </cell>
          <cell r="C213">
            <v>68517.460000000006</v>
          </cell>
          <cell r="D213">
            <v>1.7472000000000001</v>
          </cell>
          <cell r="F213">
            <v>130.35714285714286</v>
          </cell>
          <cell r="G213">
            <v>99.896556867260813</v>
          </cell>
        </row>
        <row r="214">
          <cell r="A214">
            <v>40393</v>
          </cell>
          <cell r="B214">
            <v>36</v>
          </cell>
          <cell r="C214">
            <v>67997.36</v>
          </cell>
          <cell r="D214">
            <v>1.7615000000000001</v>
          </cell>
          <cell r="F214">
            <v>128.57142857142858</v>
          </cell>
          <cell r="G214">
            <v>99.138265488294593</v>
          </cell>
        </row>
        <row r="215">
          <cell r="A215">
            <v>40394</v>
          </cell>
          <cell r="B215">
            <v>35.950000000000003</v>
          </cell>
          <cell r="C215">
            <v>68272</v>
          </cell>
          <cell r="D215">
            <v>1.75925</v>
          </cell>
          <cell r="F215">
            <v>128.39285714285717</v>
          </cell>
          <cell r="G215">
            <v>99.538682993234559</v>
          </cell>
        </row>
        <row r="216">
          <cell r="A216">
            <v>40395</v>
          </cell>
          <cell r="B216">
            <v>36.25</v>
          </cell>
          <cell r="C216">
            <v>68411.72</v>
          </cell>
          <cell r="D216">
            <v>1.7563500000000001</v>
          </cell>
          <cell r="F216">
            <v>129.46428571428572</v>
          </cell>
          <cell r="G216">
            <v>99.742390879158734</v>
          </cell>
        </row>
        <row r="217">
          <cell r="A217">
            <v>40396</v>
          </cell>
          <cell r="B217">
            <v>36.36</v>
          </cell>
          <cell r="C217">
            <v>68094.759999999995</v>
          </cell>
          <cell r="D217">
            <v>1.75875</v>
          </cell>
          <cell r="F217">
            <v>129.85714285714286</v>
          </cell>
          <cell r="G217">
            <v>99.280271987643374</v>
          </cell>
        </row>
        <row r="218">
          <cell r="A218">
            <v>40397</v>
          </cell>
          <cell r="B218">
            <v>36.36</v>
          </cell>
          <cell r="C218">
            <v>68094.759999999995</v>
          </cell>
          <cell r="D218">
            <v>1.75875</v>
          </cell>
          <cell r="F218">
            <v>129.85714285714286</v>
          </cell>
          <cell r="G218">
            <v>99.280271987643374</v>
          </cell>
        </row>
        <row r="219">
          <cell r="A219">
            <v>40398</v>
          </cell>
          <cell r="B219">
            <v>36.36</v>
          </cell>
          <cell r="C219">
            <v>68094.759999999995</v>
          </cell>
          <cell r="D219">
            <v>1.75875</v>
          </cell>
          <cell r="F219">
            <v>129.85714285714286</v>
          </cell>
          <cell r="G219">
            <v>99.280271987643374</v>
          </cell>
        </row>
        <row r="220">
          <cell r="A220">
            <v>40399</v>
          </cell>
          <cell r="B220">
            <v>36.5</v>
          </cell>
          <cell r="C220">
            <v>67862.28</v>
          </cell>
          <cell r="D220">
            <v>1.7544999999999999</v>
          </cell>
          <cell r="F220">
            <v>130.35714285714286</v>
          </cell>
          <cell r="G220">
            <v>98.941322593715171</v>
          </cell>
        </row>
        <row r="221">
          <cell r="A221">
            <v>40400</v>
          </cell>
          <cell r="B221">
            <v>36.5</v>
          </cell>
          <cell r="C221">
            <v>67223.23</v>
          </cell>
          <cell r="D221">
            <v>1.7614000000000001</v>
          </cell>
          <cell r="F221">
            <v>130.35714285714286</v>
          </cell>
          <cell r="G221">
            <v>98.009605412926177</v>
          </cell>
        </row>
        <row r="222">
          <cell r="A222">
            <v>40401</v>
          </cell>
          <cell r="B222">
            <v>36</v>
          </cell>
          <cell r="C222">
            <v>65790.289999999994</v>
          </cell>
          <cell r="D222">
            <v>1.7721</v>
          </cell>
          <cell r="F222">
            <v>128.57142857142858</v>
          </cell>
          <cell r="G222">
            <v>95.920418624662659</v>
          </cell>
        </row>
        <row r="223">
          <cell r="A223">
            <v>40402</v>
          </cell>
          <cell r="B223">
            <v>35.799999999999997</v>
          </cell>
          <cell r="C223">
            <v>65966.17</v>
          </cell>
          <cell r="D223">
            <v>1.76925</v>
          </cell>
          <cell r="F223">
            <v>127.85714285714285</v>
          </cell>
          <cell r="G223">
            <v>96.176846787963143</v>
          </cell>
        </row>
        <row r="224">
          <cell r="A224">
            <v>40403</v>
          </cell>
          <cell r="B224">
            <v>38</v>
          </cell>
          <cell r="C224">
            <v>66264.429999999993</v>
          </cell>
          <cell r="D224">
            <v>1.7709999999999999</v>
          </cell>
          <cell r="F224">
            <v>135.71428571428572</v>
          </cell>
          <cell r="G224">
            <v>96.611701597981337</v>
          </cell>
        </row>
        <row r="225">
          <cell r="A225">
            <v>40404</v>
          </cell>
          <cell r="B225">
            <v>38</v>
          </cell>
          <cell r="C225">
            <v>66264.429999999993</v>
          </cell>
          <cell r="D225">
            <v>1.7709999999999999</v>
          </cell>
          <cell r="F225">
            <v>135.71428571428572</v>
          </cell>
          <cell r="G225">
            <v>96.611701597981337</v>
          </cell>
        </row>
        <row r="226">
          <cell r="A226">
            <v>40405</v>
          </cell>
          <cell r="B226">
            <v>38</v>
          </cell>
          <cell r="C226">
            <v>66264.429999999993</v>
          </cell>
          <cell r="D226">
            <v>1.7709999999999999</v>
          </cell>
          <cell r="F226">
            <v>135.71428571428572</v>
          </cell>
          <cell r="G226">
            <v>96.611701597981337</v>
          </cell>
        </row>
        <row r="227">
          <cell r="A227">
            <v>40406</v>
          </cell>
          <cell r="B227">
            <v>37.5</v>
          </cell>
          <cell r="C227">
            <v>66701.89</v>
          </cell>
          <cell r="D227">
            <v>1.76315</v>
          </cell>
          <cell r="F227">
            <v>133.92857142857142</v>
          </cell>
          <cell r="G227">
            <v>97.249506148341965</v>
          </cell>
        </row>
        <row r="228">
          <cell r="A228">
            <v>40407</v>
          </cell>
          <cell r="B228">
            <v>36.76</v>
          </cell>
          <cell r="C228">
            <v>67583.77</v>
          </cell>
          <cell r="D228">
            <v>1.75065</v>
          </cell>
          <cell r="F228">
            <v>131.28571428571428</v>
          </cell>
          <cell r="G228">
            <v>98.535262736080341</v>
          </cell>
        </row>
        <row r="229">
          <cell r="A229">
            <v>40408</v>
          </cell>
          <cell r="B229">
            <v>36.799999999999997</v>
          </cell>
          <cell r="C229">
            <v>67638.38</v>
          </cell>
          <cell r="D229">
            <v>1.7533000000000001</v>
          </cell>
          <cell r="F229">
            <v>131.42857142857142</v>
          </cell>
          <cell r="G229">
            <v>98.614882601885654</v>
          </cell>
        </row>
        <row r="230">
          <cell r="A230">
            <v>40409</v>
          </cell>
          <cell r="B230">
            <v>36.89</v>
          </cell>
          <cell r="C230">
            <v>66887.13</v>
          </cell>
          <cell r="D230">
            <v>1.76325</v>
          </cell>
          <cell r="F230">
            <v>131.75</v>
          </cell>
          <cell r="G230">
            <v>97.51958093211374</v>
          </cell>
        </row>
        <row r="231">
          <cell r="A231">
            <v>40410</v>
          </cell>
          <cell r="B231">
            <v>36.799999999999997</v>
          </cell>
          <cell r="C231">
            <v>66677.16</v>
          </cell>
          <cell r="D231">
            <v>1.764</v>
          </cell>
          <cell r="F231">
            <v>131.42857142857142</v>
          </cell>
          <cell r="G231">
            <v>97.213450494041197</v>
          </cell>
        </row>
        <row r="232">
          <cell r="A232">
            <v>40411</v>
          </cell>
          <cell r="B232">
            <v>36.799999999999997</v>
          </cell>
          <cell r="C232">
            <v>66677.16</v>
          </cell>
          <cell r="D232">
            <v>1.764</v>
          </cell>
          <cell r="F232">
            <v>131.42857142857142</v>
          </cell>
          <cell r="G232">
            <v>97.213450494041197</v>
          </cell>
        </row>
        <row r="233">
          <cell r="A233">
            <v>40412</v>
          </cell>
          <cell r="B233">
            <v>36.799999999999997</v>
          </cell>
          <cell r="C233">
            <v>66677.16</v>
          </cell>
          <cell r="D233">
            <v>1.764</v>
          </cell>
          <cell r="F233">
            <v>131.42857142857142</v>
          </cell>
          <cell r="G233">
            <v>97.213450494041197</v>
          </cell>
        </row>
        <row r="234">
          <cell r="A234">
            <v>40413</v>
          </cell>
          <cell r="B234">
            <v>37.299999999999997</v>
          </cell>
          <cell r="C234">
            <v>65981.86</v>
          </cell>
          <cell r="D234">
            <v>1.7623</v>
          </cell>
          <cell r="F234">
            <v>133.21428571428569</v>
          </cell>
          <cell r="G234">
            <v>96.199722372919851</v>
          </cell>
        </row>
        <row r="235">
          <cell r="A235">
            <v>40414</v>
          </cell>
          <cell r="B235">
            <v>37.299999999999997</v>
          </cell>
          <cell r="C235">
            <v>65156.36</v>
          </cell>
          <cell r="D235">
            <v>1.768</v>
          </cell>
          <cell r="F235">
            <v>133.21428571428569</v>
          </cell>
          <cell r="G235">
            <v>94.996166261909266</v>
          </cell>
        </row>
        <row r="236">
          <cell r="A236">
            <v>40415</v>
          </cell>
          <cell r="B236">
            <v>36.99</v>
          </cell>
          <cell r="C236">
            <v>64803.43</v>
          </cell>
          <cell r="D236">
            <v>1.7704</v>
          </cell>
          <cell r="F236">
            <v>132.10714285714286</v>
          </cell>
          <cell r="G236">
            <v>94.481604107749391</v>
          </cell>
        </row>
        <row r="237">
          <cell r="A237">
            <v>40416</v>
          </cell>
          <cell r="B237">
            <v>36.46</v>
          </cell>
          <cell r="C237">
            <v>63867.48</v>
          </cell>
          <cell r="D237">
            <v>1.7578</v>
          </cell>
          <cell r="F237">
            <v>130.21428571428572</v>
          </cell>
          <cell r="G237">
            <v>93.117014959232918</v>
          </cell>
        </row>
        <row r="238">
          <cell r="A238">
            <v>40417</v>
          </cell>
          <cell r="B238">
            <v>36.86</v>
          </cell>
          <cell r="C238">
            <v>65585.14</v>
          </cell>
          <cell r="D238">
            <v>1.75265</v>
          </cell>
          <cell r="F238">
            <v>131.64285714285714</v>
          </cell>
          <cell r="G238">
            <v>95.621315612943931</v>
          </cell>
        </row>
        <row r="239">
          <cell r="A239">
            <v>40418</v>
          </cell>
          <cell r="B239">
            <v>36.86</v>
          </cell>
          <cell r="C239">
            <v>65585.14</v>
          </cell>
          <cell r="D239">
            <v>1.75265</v>
          </cell>
          <cell r="F239">
            <v>131.64285714285714</v>
          </cell>
          <cell r="G239">
            <v>95.621315612943931</v>
          </cell>
        </row>
        <row r="240">
          <cell r="A240">
            <v>40419</v>
          </cell>
          <cell r="B240">
            <v>36.86</v>
          </cell>
          <cell r="C240">
            <v>65585.14</v>
          </cell>
          <cell r="D240">
            <v>1.75265</v>
          </cell>
          <cell r="F240">
            <v>131.64285714285714</v>
          </cell>
          <cell r="G240">
            <v>95.621315612943931</v>
          </cell>
        </row>
        <row r="241">
          <cell r="A241">
            <v>40420</v>
          </cell>
          <cell r="B241">
            <v>36.75</v>
          </cell>
          <cell r="C241">
            <v>64260.79</v>
          </cell>
          <cell r="D241">
            <v>1.7556</v>
          </cell>
          <cell r="F241">
            <v>131.25</v>
          </cell>
          <cell r="G241">
            <v>93.690450033759348</v>
          </cell>
        </row>
        <row r="242">
          <cell r="A242">
            <v>40421</v>
          </cell>
          <cell r="B242">
            <v>36.99</v>
          </cell>
          <cell r="C242">
            <v>65145.45</v>
          </cell>
          <cell r="D242">
            <v>1.7539499999999999</v>
          </cell>
          <cell r="F242">
            <v>132.10714285714286</v>
          </cell>
          <cell r="G242">
            <v>94.980259784415466</v>
          </cell>
        </row>
        <row r="243">
          <cell r="A243">
            <v>40422</v>
          </cell>
          <cell r="B243">
            <v>37.1</v>
          </cell>
          <cell r="C243">
            <v>67072.53</v>
          </cell>
          <cell r="D243">
            <v>1.7400500000000001</v>
          </cell>
          <cell r="F243">
            <v>132.5</v>
          </cell>
          <cell r="G243">
            <v>97.789888991449132</v>
          </cell>
        </row>
        <row r="244">
          <cell r="A244">
            <v>40423</v>
          </cell>
          <cell r="B244">
            <v>37.25</v>
          </cell>
          <cell r="C244">
            <v>66808.08</v>
          </cell>
          <cell r="D244">
            <v>1.7364999999999999</v>
          </cell>
          <cell r="F244">
            <v>133.03571428571428</v>
          </cell>
          <cell r="G244">
            <v>97.404328223966701</v>
          </cell>
        </row>
        <row r="245">
          <cell r="A245">
            <v>40424</v>
          </cell>
          <cell r="B245">
            <v>37.71</v>
          </cell>
          <cell r="C245">
            <v>66678.62</v>
          </cell>
          <cell r="D245">
            <v>1.72525</v>
          </cell>
          <cell r="F245">
            <v>134.67857142857142</v>
          </cell>
          <cell r="G245">
            <v>97.215579133559132</v>
          </cell>
        </row>
        <row r="246">
          <cell r="A246">
            <v>40425</v>
          </cell>
          <cell r="B246">
            <v>37.71</v>
          </cell>
          <cell r="C246">
            <v>66678.62</v>
          </cell>
          <cell r="D246">
            <v>1.72525</v>
          </cell>
          <cell r="F246">
            <v>134.67857142857142</v>
          </cell>
          <cell r="G246">
            <v>97.215579133559132</v>
          </cell>
        </row>
        <row r="247">
          <cell r="A247">
            <v>40426</v>
          </cell>
          <cell r="B247">
            <v>37.71</v>
          </cell>
          <cell r="C247">
            <v>66678.62</v>
          </cell>
          <cell r="D247">
            <v>1.72525</v>
          </cell>
          <cell r="F247">
            <v>134.67857142857142</v>
          </cell>
          <cell r="G247">
            <v>97.215579133559132</v>
          </cell>
        </row>
        <row r="248">
          <cell r="A248">
            <v>40427</v>
          </cell>
          <cell r="B248">
            <v>37.71</v>
          </cell>
          <cell r="C248">
            <v>66678.62</v>
          </cell>
          <cell r="D248">
            <v>1.72525</v>
          </cell>
          <cell r="F248">
            <v>134.67857142857142</v>
          </cell>
          <cell r="G248">
            <v>97.215579133559132</v>
          </cell>
        </row>
        <row r="249">
          <cell r="A249">
            <v>40428</v>
          </cell>
          <cell r="B249">
            <v>37.1</v>
          </cell>
          <cell r="C249">
            <v>66747.3</v>
          </cell>
          <cell r="D249">
            <v>1.72695</v>
          </cell>
          <cell r="F249">
            <v>132.5</v>
          </cell>
          <cell r="G249">
            <v>97.315712669239602</v>
          </cell>
        </row>
        <row r="250">
          <cell r="A250">
            <v>40429</v>
          </cell>
          <cell r="B250">
            <v>37.549999999999997</v>
          </cell>
          <cell r="C250">
            <v>66407.28</v>
          </cell>
          <cell r="D250">
            <v>1.7230000000000001</v>
          </cell>
          <cell r="F250">
            <v>134.10714285714283</v>
          </cell>
          <cell r="G250">
            <v>96.819972937118663</v>
          </cell>
        </row>
        <row r="251">
          <cell r="A251">
            <v>40430</v>
          </cell>
          <cell r="B251">
            <v>37.549999999999997</v>
          </cell>
          <cell r="C251">
            <v>66624.100000000006</v>
          </cell>
          <cell r="D251">
            <v>1.722</v>
          </cell>
          <cell r="F251">
            <v>134.10714285714283</v>
          </cell>
          <cell r="G251">
            <v>97.136090485258379</v>
          </cell>
        </row>
        <row r="252">
          <cell r="A252">
            <v>40431</v>
          </cell>
          <cell r="B252">
            <v>39</v>
          </cell>
          <cell r="C252">
            <v>66806.789999999994</v>
          </cell>
          <cell r="D252">
            <v>1.7174</v>
          </cell>
          <cell r="F252">
            <v>139.28571428571428</v>
          </cell>
          <cell r="G252">
            <v>97.402447439735056</v>
          </cell>
        </row>
        <row r="253">
          <cell r="A253">
            <v>40432</v>
          </cell>
          <cell r="B253">
            <v>39</v>
          </cell>
          <cell r="C253">
            <v>66806.789999999994</v>
          </cell>
          <cell r="D253">
            <v>1.7174</v>
          </cell>
          <cell r="F253">
            <v>139.28571428571428</v>
          </cell>
          <cell r="G253">
            <v>97.402447439735056</v>
          </cell>
        </row>
        <row r="254">
          <cell r="A254">
            <v>40433</v>
          </cell>
          <cell r="B254">
            <v>39</v>
          </cell>
          <cell r="C254">
            <v>66806.789999999994</v>
          </cell>
          <cell r="D254">
            <v>1.7174</v>
          </cell>
          <cell r="F254">
            <v>139.28571428571428</v>
          </cell>
          <cell r="G254">
            <v>97.402447439735056</v>
          </cell>
        </row>
        <row r="255">
          <cell r="A255">
            <v>40434</v>
          </cell>
          <cell r="B255">
            <v>40.5</v>
          </cell>
          <cell r="C255">
            <v>68030.58</v>
          </cell>
          <cell r="D255">
            <v>1.7152000000000001</v>
          </cell>
          <cell r="F255">
            <v>144.64285714285714</v>
          </cell>
          <cell r="G255">
            <v>99.18669932718953</v>
          </cell>
        </row>
        <row r="256">
          <cell r="A256">
            <v>40435</v>
          </cell>
          <cell r="B256">
            <v>40.4</v>
          </cell>
          <cell r="C256">
            <v>67691.850000000006</v>
          </cell>
          <cell r="D256">
            <v>1.70675</v>
          </cell>
          <cell r="F256">
            <v>144.28571428571428</v>
          </cell>
          <cell r="G256">
            <v>98.692840379300236</v>
          </cell>
        </row>
        <row r="257">
          <cell r="A257">
            <v>40436</v>
          </cell>
          <cell r="B257">
            <v>41.74</v>
          </cell>
          <cell r="C257">
            <v>68106.850000000006</v>
          </cell>
          <cell r="D257">
            <v>1.7116</v>
          </cell>
          <cell r="F257">
            <v>149.07142857142858</v>
          </cell>
          <cell r="G257">
            <v>99.297898872418827</v>
          </cell>
        </row>
        <row r="258">
          <cell r="A258">
            <v>40437</v>
          </cell>
          <cell r="B258">
            <v>40.25</v>
          </cell>
          <cell r="C258">
            <v>67662.990000000005</v>
          </cell>
          <cell r="D258">
            <v>1.71715</v>
          </cell>
          <cell r="F258">
            <v>143.75</v>
          </cell>
          <cell r="G258">
            <v>98.650763299513727</v>
          </cell>
        </row>
        <row r="259">
          <cell r="A259">
            <v>40438</v>
          </cell>
          <cell r="B259">
            <v>41.01</v>
          </cell>
          <cell r="C259">
            <v>67089.119999999995</v>
          </cell>
          <cell r="D259">
            <v>1.7159</v>
          </cell>
          <cell r="F259">
            <v>146.46428571428572</v>
          </cell>
          <cell r="G259">
            <v>97.81407675145114</v>
          </cell>
        </row>
        <row r="260">
          <cell r="A260">
            <v>40439</v>
          </cell>
          <cell r="B260">
            <v>41.01</v>
          </cell>
          <cell r="C260">
            <v>67089.119999999995</v>
          </cell>
          <cell r="D260">
            <v>1.7159</v>
          </cell>
          <cell r="F260">
            <v>146.46428571428572</v>
          </cell>
          <cell r="G260">
            <v>97.81407675145114</v>
          </cell>
        </row>
        <row r="261">
          <cell r="A261">
            <v>40440</v>
          </cell>
          <cell r="B261">
            <v>41.01</v>
          </cell>
          <cell r="C261">
            <v>67089.119999999995</v>
          </cell>
          <cell r="D261">
            <v>1.7159</v>
          </cell>
          <cell r="F261">
            <v>146.46428571428572</v>
          </cell>
          <cell r="G261">
            <v>97.81407675145114</v>
          </cell>
        </row>
        <row r="262">
          <cell r="A262">
            <v>40441</v>
          </cell>
          <cell r="B262">
            <v>41</v>
          </cell>
          <cell r="C262">
            <v>68190.460000000006</v>
          </cell>
          <cell r="D262">
            <v>1.7173</v>
          </cell>
          <cell r="F262">
            <v>146.42857142857142</v>
          </cell>
          <cell r="G262">
            <v>99.419799934128818</v>
          </cell>
        </row>
        <row r="263">
          <cell r="A263">
            <v>40442</v>
          </cell>
          <cell r="B263">
            <v>41</v>
          </cell>
          <cell r="C263">
            <v>67719.13</v>
          </cell>
          <cell r="D263">
            <v>1.7299</v>
          </cell>
          <cell r="F263">
            <v>146.42857142857142</v>
          </cell>
          <cell r="G263">
            <v>98.732613862896073</v>
          </cell>
        </row>
        <row r="264">
          <cell r="A264">
            <v>40443</v>
          </cell>
          <cell r="B264">
            <v>41.1</v>
          </cell>
          <cell r="C264">
            <v>68325.179999999993</v>
          </cell>
          <cell r="D264">
            <v>1.7190000000000001</v>
          </cell>
          <cell r="F264">
            <v>146.78571428571431</v>
          </cell>
          <cell r="G264">
            <v>99.616217958690086</v>
          </cell>
        </row>
        <row r="265">
          <cell r="A265">
            <v>40444</v>
          </cell>
          <cell r="B265">
            <v>41</v>
          </cell>
          <cell r="C265">
            <v>68794.320000000007</v>
          </cell>
          <cell r="D265">
            <v>1.7211000000000001</v>
          </cell>
          <cell r="F265">
            <v>146.42857142857142</v>
          </cell>
          <cell r="G265">
            <v>100.3002110706459</v>
          </cell>
        </row>
        <row r="266">
          <cell r="A266">
            <v>40445</v>
          </cell>
          <cell r="B266">
            <v>41</v>
          </cell>
          <cell r="C266">
            <v>68196.479999999996</v>
          </cell>
          <cell r="D266">
            <v>1.7124999999999999</v>
          </cell>
          <cell r="F266">
            <v>146.42857142857142</v>
          </cell>
          <cell r="G266">
            <v>99.428576927209704</v>
          </cell>
        </row>
        <row r="267">
          <cell r="A267">
            <v>40446</v>
          </cell>
          <cell r="B267">
            <v>41</v>
          </cell>
          <cell r="C267">
            <v>68196.479999999996</v>
          </cell>
          <cell r="D267">
            <v>1.7124999999999999</v>
          </cell>
          <cell r="F267">
            <v>146.42857142857142</v>
          </cell>
          <cell r="G267">
            <v>99.428576927209704</v>
          </cell>
        </row>
        <row r="268">
          <cell r="A268">
            <v>40447</v>
          </cell>
          <cell r="B268">
            <v>41</v>
          </cell>
          <cell r="C268">
            <v>68196.479999999996</v>
          </cell>
          <cell r="D268">
            <v>1.7124999999999999</v>
          </cell>
          <cell r="F268">
            <v>146.42857142857142</v>
          </cell>
          <cell r="G268">
            <v>99.428576927209704</v>
          </cell>
        </row>
        <row r="269">
          <cell r="A269">
            <v>40448</v>
          </cell>
          <cell r="B269">
            <v>40.5</v>
          </cell>
          <cell r="C269">
            <v>68815.97</v>
          </cell>
          <cell r="D269">
            <v>1.7117500000000001</v>
          </cell>
          <cell r="F269">
            <v>144.64285714285714</v>
          </cell>
          <cell r="G269">
            <v>100.33177617034714</v>
          </cell>
        </row>
        <row r="270">
          <cell r="A270">
            <v>40449</v>
          </cell>
          <cell r="B270">
            <v>41.25</v>
          </cell>
          <cell r="C270">
            <v>69227.63</v>
          </cell>
          <cell r="D270">
            <v>1.7088000000000001</v>
          </cell>
          <cell r="F270">
            <v>147.32142857142858</v>
          </cell>
          <cell r="G270">
            <v>100.93196503607533</v>
          </cell>
        </row>
        <row r="271">
          <cell r="A271">
            <v>40450</v>
          </cell>
          <cell r="B271">
            <v>42.9</v>
          </cell>
          <cell r="C271">
            <v>69228.240000000005</v>
          </cell>
          <cell r="D271">
            <v>1.7072499999999999</v>
          </cell>
          <cell r="F271">
            <v>153.21428571428569</v>
          </cell>
          <cell r="G271">
            <v>100.93285439916161</v>
          </cell>
        </row>
        <row r="272">
          <cell r="A272">
            <v>40451</v>
          </cell>
          <cell r="B272">
            <v>43.2</v>
          </cell>
          <cell r="C272">
            <v>69429.78</v>
          </cell>
          <cell r="D272">
            <v>1.6941999999999999</v>
          </cell>
          <cell r="F272">
            <v>154.28571428571431</v>
          </cell>
          <cell r="G272">
            <v>101.22669413097636</v>
          </cell>
        </row>
        <row r="273">
          <cell r="A273">
            <v>40452</v>
          </cell>
          <cell r="B273">
            <v>43.85</v>
          </cell>
          <cell r="C273">
            <v>70229.350000000006</v>
          </cell>
          <cell r="D273">
            <v>1.6854</v>
          </cell>
          <cell r="F273">
            <v>156.60714285714286</v>
          </cell>
          <cell r="G273">
            <v>102.39244502095907</v>
          </cell>
        </row>
        <row r="274">
          <cell r="A274">
            <v>40453</v>
          </cell>
          <cell r="B274">
            <v>43.85</v>
          </cell>
          <cell r="C274">
            <v>70229.350000000006</v>
          </cell>
          <cell r="D274">
            <v>1.6854</v>
          </cell>
          <cell r="F274">
            <v>156.60714285714286</v>
          </cell>
          <cell r="G274">
            <v>102.39244502095907</v>
          </cell>
        </row>
        <row r="275">
          <cell r="A275">
            <v>40454</v>
          </cell>
          <cell r="B275">
            <v>43.85</v>
          </cell>
          <cell r="C275">
            <v>70229.350000000006</v>
          </cell>
          <cell r="D275">
            <v>1.6854</v>
          </cell>
          <cell r="F275">
            <v>156.60714285714286</v>
          </cell>
          <cell r="G275">
            <v>102.39244502095907</v>
          </cell>
        </row>
        <row r="276">
          <cell r="A276">
            <v>40455</v>
          </cell>
          <cell r="B276">
            <v>44.35</v>
          </cell>
          <cell r="C276">
            <v>70384.92</v>
          </cell>
          <cell r="D276">
            <v>1.6857</v>
          </cell>
          <cell r="F276">
            <v>158.39285714285717</v>
          </cell>
          <cell r="G276">
            <v>102.61926176740354</v>
          </cell>
        </row>
        <row r="277">
          <cell r="A277">
            <v>40456</v>
          </cell>
          <cell r="B277">
            <v>46</v>
          </cell>
          <cell r="C277">
            <v>71283.11</v>
          </cell>
          <cell r="D277">
            <v>1.6820999999999999</v>
          </cell>
          <cell r="F277">
            <v>164.28571428571428</v>
          </cell>
          <cell r="G277">
            <v>103.9287978829076</v>
          </cell>
        </row>
        <row r="278">
          <cell r="A278">
            <v>40457</v>
          </cell>
          <cell r="B278">
            <v>45.4</v>
          </cell>
          <cell r="C278">
            <v>70541.37</v>
          </cell>
          <cell r="D278">
            <v>1.6806000000000001</v>
          </cell>
          <cell r="F278">
            <v>162.14285714285714</v>
          </cell>
          <cell r="G278">
            <v>102.84736152944789</v>
          </cell>
        </row>
        <row r="279">
          <cell r="A279">
            <v>40458</v>
          </cell>
          <cell r="B279">
            <v>44</v>
          </cell>
          <cell r="C279">
            <v>69918.399999999994</v>
          </cell>
          <cell r="D279">
            <v>1.6775500000000001</v>
          </cell>
          <cell r="F279">
            <v>157.14285714285714</v>
          </cell>
          <cell r="G279">
            <v>101.9390885428019</v>
          </cell>
        </row>
        <row r="280">
          <cell r="A280">
            <v>40459</v>
          </cell>
          <cell r="B280">
            <v>45.23</v>
          </cell>
          <cell r="C280">
            <v>70808.800000000003</v>
          </cell>
          <cell r="D280">
            <v>1.6810499999999999</v>
          </cell>
          <cell r="F280">
            <v>161.53571428571428</v>
          </cell>
          <cell r="G280">
            <v>103.23726705430261</v>
          </cell>
        </row>
        <row r="281">
          <cell r="A281">
            <v>40460</v>
          </cell>
          <cell r="B281">
            <v>45.23</v>
          </cell>
          <cell r="C281">
            <v>70808.800000000003</v>
          </cell>
          <cell r="D281">
            <v>1.6810499999999999</v>
          </cell>
          <cell r="F281">
            <v>161.53571428571428</v>
          </cell>
          <cell r="G281">
            <v>103.23726705430261</v>
          </cell>
        </row>
        <row r="282">
          <cell r="A282">
            <v>40461</v>
          </cell>
          <cell r="B282">
            <v>45.23</v>
          </cell>
          <cell r="C282">
            <v>70808.800000000003</v>
          </cell>
          <cell r="D282">
            <v>1.6810499999999999</v>
          </cell>
          <cell r="F282">
            <v>161.53571428571428</v>
          </cell>
          <cell r="G282">
            <v>103.23726705430261</v>
          </cell>
        </row>
        <row r="283">
          <cell r="A283">
            <v>40462</v>
          </cell>
          <cell r="B283">
            <v>47</v>
          </cell>
          <cell r="C283">
            <v>70946.490000000005</v>
          </cell>
          <cell r="D283">
            <v>1.6640999999999999</v>
          </cell>
          <cell r="F283">
            <v>167.85714285714286</v>
          </cell>
          <cell r="G283">
            <v>103.43801525651347</v>
          </cell>
        </row>
        <row r="284">
          <cell r="A284">
            <v>40463</v>
          </cell>
          <cell r="B284">
            <v>47</v>
          </cell>
          <cell r="C284">
            <v>70946.490000000005</v>
          </cell>
          <cell r="D284">
            <v>1.66995</v>
          </cell>
          <cell r="F284">
            <v>167.85714285714286</v>
          </cell>
          <cell r="G284">
            <v>103.43801525651347</v>
          </cell>
        </row>
        <row r="285">
          <cell r="A285">
            <v>40464</v>
          </cell>
          <cell r="B285">
            <v>49.4</v>
          </cell>
          <cell r="C285">
            <v>71674.899999999994</v>
          </cell>
          <cell r="D285">
            <v>1.6567000000000001</v>
          </cell>
          <cell r="F285">
            <v>176.42857142857142</v>
          </cell>
          <cell r="G285">
            <v>104.50001683957973</v>
          </cell>
        </row>
        <row r="286">
          <cell r="A286">
            <v>40465</v>
          </cell>
          <cell r="B286">
            <v>49.5</v>
          </cell>
          <cell r="C286">
            <v>71692.289999999994</v>
          </cell>
          <cell r="D286">
            <v>1.65615</v>
          </cell>
          <cell r="F286">
            <v>176.78571428571428</v>
          </cell>
          <cell r="G286">
            <v>104.5253709773998</v>
          </cell>
        </row>
        <row r="287">
          <cell r="A287">
            <v>40466</v>
          </cell>
          <cell r="B287">
            <v>49.5</v>
          </cell>
          <cell r="C287">
            <v>71830.179999999993</v>
          </cell>
          <cell r="D287">
            <v>1.66235</v>
          </cell>
          <cell r="F287">
            <v>176.78571428571428</v>
          </cell>
          <cell r="G287">
            <v>104.72641077406517</v>
          </cell>
        </row>
        <row r="288">
          <cell r="A288">
            <v>40467</v>
          </cell>
          <cell r="B288">
            <v>49.5</v>
          </cell>
          <cell r="C288">
            <v>71830.179999999993</v>
          </cell>
          <cell r="D288">
            <v>1.66235</v>
          </cell>
          <cell r="F288">
            <v>176.78571428571428</v>
          </cell>
          <cell r="G288">
            <v>104.72641077406517</v>
          </cell>
        </row>
        <row r="289">
          <cell r="A289">
            <v>40468</v>
          </cell>
          <cell r="B289">
            <v>49.5</v>
          </cell>
          <cell r="C289">
            <v>71830.179999999993</v>
          </cell>
          <cell r="D289">
            <v>1.66235</v>
          </cell>
          <cell r="F289">
            <v>176.78571428571428</v>
          </cell>
          <cell r="G289">
            <v>104.72641077406517</v>
          </cell>
        </row>
        <row r="290">
          <cell r="A290">
            <v>40469</v>
          </cell>
          <cell r="B290">
            <v>48.29</v>
          </cell>
          <cell r="C290">
            <v>71735.53</v>
          </cell>
          <cell r="D290">
            <v>1.6594500000000001</v>
          </cell>
          <cell r="F290">
            <v>172.46428571428572</v>
          </cell>
          <cell r="G290">
            <v>104.58841369846597</v>
          </cell>
        </row>
        <row r="291">
          <cell r="A291">
            <v>40470</v>
          </cell>
          <cell r="B291">
            <v>46.6</v>
          </cell>
          <cell r="C291">
            <v>69863.58</v>
          </cell>
          <cell r="D291">
            <v>1.6898500000000001</v>
          </cell>
          <cell r="F291">
            <v>166.42857142857144</v>
          </cell>
          <cell r="G291">
            <v>101.85916250281934</v>
          </cell>
        </row>
        <row r="292">
          <cell r="A292">
            <v>40471</v>
          </cell>
          <cell r="B292">
            <v>46</v>
          </cell>
          <cell r="C292">
            <v>70404.679999999993</v>
          </cell>
          <cell r="D292">
            <v>1.6756500000000001</v>
          </cell>
          <cell r="F292">
            <v>164.28571428571428</v>
          </cell>
          <cell r="G292">
            <v>102.64807129950964</v>
          </cell>
        </row>
        <row r="293">
          <cell r="A293">
            <v>40472</v>
          </cell>
          <cell r="B293">
            <v>45.45</v>
          </cell>
          <cell r="C293">
            <v>69652.100000000006</v>
          </cell>
          <cell r="D293">
            <v>1.69085</v>
          </cell>
          <cell r="F293">
            <v>162.32142857142858</v>
          </cell>
          <cell r="G293">
            <v>101.55083052661521</v>
          </cell>
        </row>
        <row r="294">
          <cell r="A294">
            <v>40473</v>
          </cell>
          <cell r="B294">
            <v>45</v>
          </cell>
          <cell r="C294">
            <v>69529.73</v>
          </cell>
          <cell r="D294">
            <v>1.69495</v>
          </cell>
          <cell r="F294">
            <v>160.71428571428572</v>
          </cell>
          <cell r="G294">
            <v>101.37241845962022</v>
          </cell>
        </row>
        <row r="295">
          <cell r="A295">
            <v>40474</v>
          </cell>
          <cell r="B295">
            <v>45</v>
          </cell>
          <cell r="C295">
            <v>69529.73</v>
          </cell>
          <cell r="D295">
            <v>1.69495</v>
          </cell>
          <cell r="F295">
            <v>160.71428571428572</v>
          </cell>
          <cell r="G295">
            <v>101.37241845962022</v>
          </cell>
        </row>
        <row r="296">
          <cell r="A296">
            <v>40475</v>
          </cell>
          <cell r="B296">
            <v>45</v>
          </cell>
          <cell r="C296">
            <v>69529.73</v>
          </cell>
          <cell r="D296">
            <v>1.69495</v>
          </cell>
          <cell r="F296">
            <v>160.71428571428572</v>
          </cell>
          <cell r="G296">
            <v>101.37241845962022</v>
          </cell>
        </row>
        <row r="297">
          <cell r="A297">
            <v>40476</v>
          </cell>
          <cell r="B297">
            <v>43.85</v>
          </cell>
          <cell r="C297">
            <v>69580.28</v>
          </cell>
          <cell r="D297">
            <v>1.7056500000000001</v>
          </cell>
          <cell r="F297">
            <v>156.60714285714286</v>
          </cell>
          <cell r="G297">
            <v>101.44611895799886</v>
          </cell>
        </row>
        <row r="298">
          <cell r="A298">
            <v>40477</v>
          </cell>
          <cell r="B298">
            <v>42.7</v>
          </cell>
          <cell r="C298">
            <v>70740.39</v>
          </cell>
          <cell r="D298">
            <v>1.70705</v>
          </cell>
          <cell r="F298">
            <v>152.5</v>
          </cell>
          <cell r="G298">
            <v>103.13752717113576</v>
          </cell>
        </row>
        <row r="299">
          <cell r="A299">
            <v>40478</v>
          </cell>
          <cell r="B299">
            <v>40.89</v>
          </cell>
          <cell r="C299">
            <v>70568.94</v>
          </cell>
          <cell r="D299">
            <v>1.7161500000000001</v>
          </cell>
          <cell r="F299">
            <v>146.03571428571428</v>
          </cell>
          <cell r="G299">
            <v>102.88755782500279</v>
          </cell>
        </row>
        <row r="300">
          <cell r="A300">
            <v>40479</v>
          </cell>
          <cell r="B300">
            <v>42.64</v>
          </cell>
          <cell r="C300">
            <v>70320.13</v>
          </cell>
          <cell r="D300">
            <v>1.7134</v>
          </cell>
          <cell r="F300">
            <v>152.28571428571428</v>
          </cell>
          <cell r="G300">
            <v>102.52479974386344</v>
          </cell>
        </row>
        <row r="301">
          <cell r="A301">
            <v>40480</v>
          </cell>
          <cell r="B301">
            <v>43.03</v>
          </cell>
          <cell r="C301">
            <v>70673.3</v>
          </cell>
          <cell r="D301">
            <v>1.69665</v>
          </cell>
          <cell r="F301">
            <v>153.67857142857144</v>
          </cell>
          <cell r="G301">
            <v>103.0397118113687</v>
          </cell>
        </row>
        <row r="302">
          <cell r="A302">
            <v>40481</v>
          </cell>
          <cell r="B302">
            <v>43.03</v>
          </cell>
          <cell r="C302">
            <v>70673.3</v>
          </cell>
          <cell r="D302">
            <v>1.69665</v>
          </cell>
          <cell r="F302">
            <v>153.67857142857144</v>
          </cell>
          <cell r="G302">
            <v>103.0397118113687</v>
          </cell>
        </row>
        <row r="303">
          <cell r="A303">
            <v>40482</v>
          </cell>
          <cell r="B303">
            <v>43.03</v>
          </cell>
          <cell r="C303">
            <v>70673.3</v>
          </cell>
          <cell r="D303">
            <v>1.69665</v>
          </cell>
          <cell r="F303">
            <v>153.67857142857144</v>
          </cell>
          <cell r="G303">
            <v>103.0397118113687</v>
          </cell>
        </row>
        <row r="304">
          <cell r="A304">
            <v>40483</v>
          </cell>
          <cell r="B304">
            <v>43.89</v>
          </cell>
          <cell r="C304">
            <v>71560.929999999993</v>
          </cell>
          <cell r="D304">
            <v>1.7047000000000001</v>
          </cell>
          <cell r="F304">
            <v>156.75</v>
          </cell>
          <cell r="G304">
            <v>104.33385173967437</v>
          </cell>
        </row>
        <row r="305">
          <cell r="A305">
            <v>40484</v>
          </cell>
          <cell r="B305">
            <v>43.89</v>
          </cell>
          <cell r="C305">
            <v>71560.929999999993</v>
          </cell>
          <cell r="D305">
            <v>1.7038</v>
          </cell>
          <cell r="F305">
            <v>156.75</v>
          </cell>
          <cell r="G305">
            <v>104.33385173967437</v>
          </cell>
        </row>
        <row r="306">
          <cell r="A306">
            <v>40485</v>
          </cell>
          <cell r="B306">
            <v>45.5</v>
          </cell>
          <cell r="C306">
            <v>71904.77</v>
          </cell>
          <cell r="D306">
            <v>1.6991499999999999</v>
          </cell>
          <cell r="F306">
            <v>162.5</v>
          </cell>
          <cell r="G306">
            <v>104.83516092587655</v>
          </cell>
        </row>
        <row r="307">
          <cell r="A307">
            <v>40486</v>
          </cell>
          <cell r="B307">
            <v>43.01</v>
          </cell>
          <cell r="C307">
            <v>72995.69</v>
          </cell>
          <cell r="D307">
            <v>1.6793</v>
          </cell>
          <cell r="F307">
            <v>153.60714285714286</v>
          </cell>
          <cell r="G307">
            <v>106.42569203747397</v>
          </cell>
        </row>
      </sheetData>
      <sheetData sheetId="2">
        <row r="1">
          <cell r="C1" t="str">
            <v>Mean</v>
          </cell>
          <cell r="D1" t="str">
            <v>StdDev</v>
          </cell>
          <cell r="F1" t="e">
            <v>#DIV/0!</v>
          </cell>
        </row>
        <row r="2">
          <cell r="B2" t="str">
            <v>DROG3-BR</v>
          </cell>
          <cell r="C2" t="e">
            <v>#DIV/0!</v>
          </cell>
          <cell r="D2" t="e">
            <v>#DIV/0!</v>
          </cell>
          <cell r="F2" t="e">
            <v>#DIV/0!</v>
          </cell>
        </row>
        <row r="3">
          <cell r="B3" t="str">
            <v>PE</v>
          </cell>
          <cell r="C3" t="str">
            <v>Mean</v>
          </cell>
          <cell r="D3" t="str">
            <v>+1 StdDev</v>
          </cell>
          <cell r="E3" t="str">
            <v>-1 StdDev</v>
          </cell>
          <cell r="F3" t="e">
            <v>#DIV/0!</v>
          </cell>
        </row>
        <row r="4">
          <cell r="A4">
            <v>39448</v>
          </cell>
          <cell r="B4" t="str">
            <v>#Calc</v>
          </cell>
          <cell r="C4" t="e">
            <v>#DIV/0!</v>
          </cell>
          <cell r="D4" t="e">
            <v>#DIV/0!</v>
          </cell>
          <cell r="E4" t="e">
            <v>#DIV/0!</v>
          </cell>
        </row>
        <row r="5">
          <cell r="A5">
            <v>39449</v>
          </cell>
          <cell r="B5" t="str">
            <v>#Calc</v>
          </cell>
          <cell r="C5" t="e">
            <v>#DIV/0!</v>
          </cell>
          <cell r="D5" t="e">
            <v>#DIV/0!</v>
          </cell>
          <cell r="E5" t="e">
            <v>#DIV/0!</v>
          </cell>
        </row>
        <row r="6">
          <cell r="A6">
            <v>39450</v>
          </cell>
          <cell r="B6" t="str">
            <v>#Calc</v>
          </cell>
          <cell r="C6" t="e">
            <v>#DIV/0!</v>
          </cell>
          <cell r="D6" t="e">
            <v>#DIV/0!</v>
          </cell>
          <cell r="E6" t="e">
            <v>#DIV/0!</v>
          </cell>
        </row>
        <row r="7">
          <cell r="A7">
            <v>39451</v>
          </cell>
          <cell r="B7" t="str">
            <v>#Calc</v>
          </cell>
          <cell r="C7" t="e">
            <v>#DIV/0!</v>
          </cell>
          <cell r="D7" t="e">
            <v>#DIV/0!</v>
          </cell>
          <cell r="E7" t="e">
            <v>#DIV/0!</v>
          </cell>
        </row>
        <row r="8">
          <cell r="A8">
            <v>39452</v>
          </cell>
          <cell r="B8" t="str">
            <v>#Calc</v>
          </cell>
          <cell r="C8" t="e">
            <v>#DIV/0!</v>
          </cell>
          <cell r="D8" t="e">
            <v>#DIV/0!</v>
          </cell>
          <cell r="E8" t="e">
            <v>#DIV/0!</v>
          </cell>
        </row>
        <row r="9">
          <cell r="A9">
            <v>39453</v>
          </cell>
          <cell r="B9" t="str">
            <v>#Calc</v>
          </cell>
          <cell r="C9" t="e">
            <v>#DIV/0!</v>
          </cell>
          <cell r="D9" t="e">
            <v>#DIV/0!</v>
          </cell>
          <cell r="E9" t="e">
            <v>#DIV/0!</v>
          </cell>
        </row>
        <row r="10">
          <cell r="A10">
            <v>39454</v>
          </cell>
          <cell r="B10" t="str">
            <v>#Calc</v>
          </cell>
          <cell r="C10" t="e">
            <v>#DIV/0!</v>
          </cell>
          <cell r="D10" t="e">
            <v>#DIV/0!</v>
          </cell>
          <cell r="E10" t="e">
            <v>#DIV/0!</v>
          </cell>
        </row>
        <row r="11">
          <cell r="A11">
            <v>39455</v>
          </cell>
          <cell r="B11" t="str">
            <v>#Calc</v>
          </cell>
          <cell r="C11" t="e">
            <v>#DIV/0!</v>
          </cell>
          <cell r="D11" t="e">
            <v>#DIV/0!</v>
          </cell>
          <cell r="E11" t="e">
            <v>#DIV/0!</v>
          </cell>
        </row>
        <row r="12">
          <cell r="A12">
            <v>39456</v>
          </cell>
          <cell r="B12" t="str">
            <v>#Calc</v>
          </cell>
          <cell r="C12" t="e">
            <v>#DIV/0!</v>
          </cell>
          <cell r="D12" t="e">
            <v>#DIV/0!</v>
          </cell>
          <cell r="E12" t="e">
            <v>#DIV/0!</v>
          </cell>
        </row>
        <row r="13">
          <cell r="A13">
            <v>39457</v>
          </cell>
          <cell r="B13" t="str">
            <v>#Calc</v>
          </cell>
          <cell r="C13" t="e">
            <v>#DIV/0!</v>
          </cell>
          <cell r="D13" t="e">
            <v>#DIV/0!</v>
          </cell>
          <cell r="E13" t="e">
            <v>#DIV/0!</v>
          </cell>
        </row>
        <row r="14">
          <cell r="A14">
            <v>39458</v>
          </cell>
          <cell r="B14" t="str">
            <v>#Calc</v>
          </cell>
          <cell r="C14" t="e">
            <v>#DIV/0!</v>
          </cell>
          <cell r="D14" t="e">
            <v>#DIV/0!</v>
          </cell>
          <cell r="E14" t="e">
            <v>#DIV/0!</v>
          </cell>
        </row>
        <row r="15">
          <cell r="A15">
            <v>39459</v>
          </cell>
          <cell r="B15" t="str">
            <v>#Calc</v>
          </cell>
          <cell r="C15" t="e">
            <v>#DIV/0!</v>
          </cell>
          <cell r="D15" t="e">
            <v>#DIV/0!</v>
          </cell>
          <cell r="E15" t="e">
            <v>#DIV/0!</v>
          </cell>
        </row>
        <row r="16">
          <cell r="A16">
            <v>39460</v>
          </cell>
          <cell r="B16" t="str">
            <v>#Calc</v>
          </cell>
          <cell r="C16" t="e">
            <v>#DIV/0!</v>
          </cell>
          <cell r="D16" t="e">
            <v>#DIV/0!</v>
          </cell>
          <cell r="E16" t="e">
            <v>#DIV/0!</v>
          </cell>
        </row>
        <row r="17">
          <cell r="A17">
            <v>39461</v>
          </cell>
          <cell r="B17" t="str">
            <v>#Calc</v>
          </cell>
          <cell r="C17" t="e">
            <v>#DIV/0!</v>
          </cell>
          <cell r="D17" t="e">
            <v>#DIV/0!</v>
          </cell>
          <cell r="E17" t="e">
            <v>#DIV/0!</v>
          </cell>
        </row>
        <row r="18">
          <cell r="A18">
            <v>39462</v>
          </cell>
          <cell r="B18" t="str">
            <v>#Calc</v>
          </cell>
          <cell r="C18" t="e">
            <v>#DIV/0!</v>
          </cell>
          <cell r="D18" t="e">
            <v>#DIV/0!</v>
          </cell>
          <cell r="E18" t="e">
            <v>#DIV/0!</v>
          </cell>
        </row>
        <row r="19">
          <cell r="A19">
            <v>39463</v>
          </cell>
          <cell r="B19" t="str">
            <v>#Calc</v>
          </cell>
          <cell r="C19" t="e">
            <v>#DIV/0!</v>
          </cell>
          <cell r="D19" t="e">
            <v>#DIV/0!</v>
          </cell>
          <cell r="E19" t="e">
            <v>#DIV/0!</v>
          </cell>
        </row>
        <row r="20">
          <cell r="A20">
            <v>39464</v>
          </cell>
          <cell r="B20" t="str">
            <v>#Calc</v>
          </cell>
          <cell r="C20" t="e">
            <v>#DIV/0!</v>
          </cell>
          <cell r="D20" t="e">
            <v>#DIV/0!</v>
          </cell>
          <cell r="E20" t="e">
            <v>#DIV/0!</v>
          </cell>
        </row>
        <row r="21">
          <cell r="A21">
            <v>39465</v>
          </cell>
          <cell r="B21" t="str">
            <v>#Calc</v>
          </cell>
          <cell r="C21" t="e">
            <v>#DIV/0!</v>
          </cell>
          <cell r="D21" t="e">
            <v>#DIV/0!</v>
          </cell>
          <cell r="E21" t="e">
            <v>#DIV/0!</v>
          </cell>
        </row>
        <row r="22">
          <cell r="A22">
            <v>39466</v>
          </cell>
          <cell r="B22" t="str">
            <v>#Calc</v>
          </cell>
          <cell r="C22" t="e">
            <v>#DIV/0!</v>
          </cell>
          <cell r="D22" t="e">
            <v>#DIV/0!</v>
          </cell>
          <cell r="E22" t="e">
            <v>#DIV/0!</v>
          </cell>
        </row>
        <row r="23">
          <cell r="A23">
            <v>39467</v>
          </cell>
          <cell r="B23" t="str">
            <v>#Calc</v>
          </cell>
          <cell r="C23" t="e">
            <v>#DIV/0!</v>
          </cell>
          <cell r="D23" t="e">
            <v>#DIV/0!</v>
          </cell>
          <cell r="E23" t="e">
            <v>#DIV/0!</v>
          </cell>
        </row>
        <row r="24">
          <cell r="A24">
            <v>39468</v>
          </cell>
          <cell r="B24" t="str">
            <v>#Calc</v>
          </cell>
          <cell r="C24" t="e">
            <v>#DIV/0!</v>
          </cell>
          <cell r="D24" t="e">
            <v>#DIV/0!</v>
          </cell>
          <cell r="E24" t="e">
            <v>#DIV/0!</v>
          </cell>
        </row>
        <row r="25">
          <cell r="A25">
            <v>39469</v>
          </cell>
          <cell r="B25" t="str">
            <v>#Calc</v>
          </cell>
          <cell r="C25" t="e">
            <v>#DIV/0!</v>
          </cell>
          <cell r="D25" t="e">
            <v>#DIV/0!</v>
          </cell>
          <cell r="E25" t="e">
            <v>#DIV/0!</v>
          </cell>
        </row>
        <row r="26">
          <cell r="A26">
            <v>39470</v>
          </cell>
          <cell r="B26" t="str">
            <v>#Calc</v>
          </cell>
          <cell r="C26" t="e">
            <v>#DIV/0!</v>
          </cell>
          <cell r="D26" t="e">
            <v>#DIV/0!</v>
          </cell>
          <cell r="E26" t="e">
            <v>#DIV/0!</v>
          </cell>
        </row>
        <row r="27">
          <cell r="A27">
            <v>39471</v>
          </cell>
          <cell r="B27" t="str">
            <v>#Calc</v>
          </cell>
          <cell r="C27" t="e">
            <v>#DIV/0!</v>
          </cell>
          <cell r="D27" t="e">
            <v>#DIV/0!</v>
          </cell>
          <cell r="E27" t="e">
            <v>#DIV/0!</v>
          </cell>
        </row>
        <row r="28">
          <cell r="A28">
            <v>39472</v>
          </cell>
          <cell r="B28" t="str">
            <v>#Calc</v>
          </cell>
          <cell r="C28" t="e">
            <v>#DIV/0!</v>
          </cell>
          <cell r="D28" t="e">
            <v>#DIV/0!</v>
          </cell>
          <cell r="E28" t="e">
            <v>#DIV/0!</v>
          </cell>
        </row>
        <row r="29">
          <cell r="A29">
            <v>39473</v>
          </cell>
          <cell r="B29" t="str">
            <v>#Calc</v>
          </cell>
          <cell r="C29" t="e">
            <v>#DIV/0!</v>
          </cell>
          <cell r="D29" t="e">
            <v>#DIV/0!</v>
          </cell>
          <cell r="E29" t="e">
            <v>#DIV/0!</v>
          </cell>
        </row>
        <row r="30">
          <cell r="A30">
            <v>39474</v>
          </cell>
          <cell r="B30" t="str">
            <v>#Calc</v>
          </cell>
          <cell r="C30" t="e">
            <v>#DIV/0!</v>
          </cell>
          <cell r="D30" t="e">
            <v>#DIV/0!</v>
          </cell>
          <cell r="E30" t="e">
            <v>#DIV/0!</v>
          </cell>
        </row>
        <row r="31">
          <cell r="A31">
            <v>39475</v>
          </cell>
          <cell r="B31" t="str">
            <v>#Calc</v>
          </cell>
          <cell r="C31" t="e">
            <v>#DIV/0!</v>
          </cell>
          <cell r="D31" t="e">
            <v>#DIV/0!</v>
          </cell>
          <cell r="E31" t="e">
            <v>#DIV/0!</v>
          </cell>
        </row>
        <row r="32">
          <cell r="A32">
            <v>39476</v>
          </cell>
          <cell r="B32" t="str">
            <v>#Calc</v>
          </cell>
          <cell r="C32" t="e">
            <v>#DIV/0!</v>
          </cell>
          <cell r="D32" t="e">
            <v>#DIV/0!</v>
          </cell>
          <cell r="E32" t="e">
            <v>#DIV/0!</v>
          </cell>
        </row>
        <row r="33">
          <cell r="A33">
            <v>39477</v>
          </cell>
          <cell r="B33" t="str">
            <v>#Calc</v>
          </cell>
          <cell r="C33" t="e">
            <v>#DIV/0!</v>
          </cell>
          <cell r="D33" t="e">
            <v>#DIV/0!</v>
          </cell>
          <cell r="E33" t="e">
            <v>#DIV/0!</v>
          </cell>
        </row>
        <row r="34">
          <cell r="A34">
            <v>39478</v>
          </cell>
          <cell r="B34" t="str">
            <v>#Calc</v>
          </cell>
          <cell r="C34" t="e">
            <v>#DIV/0!</v>
          </cell>
          <cell r="D34" t="e">
            <v>#DIV/0!</v>
          </cell>
          <cell r="E34" t="e">
            <v>#DIV/0!</v>
          </cell>
        </row>
        <row r="35">
          <cell r="A35">
            <v>39479</v>
          </cell>
          <cell r="B35" t="str">
            <v>#Calc</v>
          </cell>
          <cell r="C35" t="e">
            <v>#DIV/0!</v>
          </cell>
          <cell r="D35" t="e">
            <v>#DIV/0!</v>
          </cell>
          <cell r="E35" t="e">
            <v>#DIV/0!</v>
          </cell>
        </row>
        <row r="36">
          <cell r="A36">
            <v>39480</v>
          </cell>
          <cell r="B36" t="str">
            <v>#Calc</v>
          </cell>
          <cell r="C36" t="e">
            <v>#DIV/0!</v>
          </cell>
          <cell r="D36" t="e">
            <v>#DIV/0!</v>
          </cell>
          <cell r="E36" t="e">
            <v>#DIV/0!</v>
          </cell>
        </row>
        <row r="37">
          <cell r="A37">
            <v>39481</v>
          </cell>
          <cell r="B37" t="str">
            <v>#Calc</v>
          </cell>
          <cell r="C37" t="e">
            <v>#DIV/0!</v>
          </cell>
          <cell r="D37" t="e">
            <v>#DIV/0!</v>
          </cell>
          <cell r="E37" t="e">
            <v>#DIV/0!</v>
          </cell>
        </row>
        <row r="38">
          <cell r="A38">
            <v>39482</v>
          </cell>
          <cell r="B38" t="str">
            <v>#Calc</v>
          </cell>
          <cell r="C38" t="e">
            <v>#DIV/0!</v>
          </cell>
          <cell r="D38" t="e">
            <v>#DIV/0!</v>
          </cell>
          <cell r="E38" t="e">
            <v>#DIV/0!</v>
          </cell>
        </row>
        <row r="39">
          <cell r="A39">
            <v>39483</v>
          </cell>
          <cell r="B39" t="str">
            <v>#Calc</v>
          </cell>
          <cell r="C39" t="e">
            <v>#DIV/0!</v>
          </cell>
          <cell r="D39" t="e">
            <v>#DIV/0!</v>
          </cell>
          <cell r="E39" t="e">
            <v>#DIV/0!</v>
          </cell>
        </row>
        <row r="40">
          <cell r="A40">
            <v>39484</v>
          </cell>
          <cell r="B40" t="str">
            <v>#Calc</v>
          </cell>
          <cell r="C40" t="e">
            <v>#DIV/0!</v>
          </cell>
          <cell r="D40" t="e">
            <v>#DIV/0!</v>
          </cell>
          <cell r="E40" t="e">
            <v>#DIV/0!</v>
          </cell>
        </row>
        <row r="41">
          <cell r="A41">
            <v>39485</v>
          </cell>
          <cell r="B41" t="str">
            <v>#Calc</v>
          </cell>
          <cell r="C41" t="e">
            <v>#DIV/0!</v>
          </cell>
          <cell r="D41" t="e">
            <v>#DIV/0!</v>
          </cell>
          <cell r="E41" t="e">
            <v>#DIV/0!</v>
          </cell>
        </row>
        <row r="42">
          <cell r="A42">
            <v>39486</v>
          </cell>
          <cell r="B42" t="str">
            <v>#Calc</v>
          </cell>
          <cell r="C42" t="e">
            <v>#DIV/0!</v>
          </cell>
          <cell r="D42" t="e">
            <v>#DIV/0!</v>
          </cell>
          <cell r="E42" t="e">
            <v>#DIV/0!</v>
          </cell>
        </row>
        <row r="43">
          <cell r="A43">
            <v>39487</v>
          </cell>
          <cell r="B43" t="str">
            <v>#Calc</v>
          </cell>
          <cell r="C43" t="e">
            <v>#DIV/0!</v>
          </cell>
          <cell r="D43" t="e">
            <v>#DIV/0!</v>
          </cell>
          <cell r="E43" t="e">
            <v>#DIV/0!</v>
          </cell>
        </row>
        <row r="44">
          <cell r="A44">
            <v>39488</v>
          </cell>
          <cell r="B44" t="str">
            <v>#Calc</v>
          </cell>
          <cell r="C44" t="e">
            <v>#DIV/0!</v>
          </cell>
          <cell r="D44" t="e">
            <v>#DIV/0!</v>
          </cell>
          <cell r="E44" t="e">
            <v>#DIV/0!</v>
          </cell>
        </row>
        <row r="45">
          <cell r="A45">
            <v>39489</v>
          </cell>
          <cell r="B45" t="str">
            <v>#Calc</v>
          </cell>
          <cell r="C45" t="e">
            <v>#DIV/0!</v>
          </cell>
          <cell r="D45" t="e">
            <v>#DIV/0!</v>
          </cell>
          <cell r="E45" t="e">
            <v>#DIV/0!</v>
          </cell>
        </row>
        <row r="46">
          <cell r="A46">
            <v>39490</v>
          </cell>
          <cell r="B46" t="str">
            <v>#Calc</v>
          </cell>
          <cell r="C46" t="e">
            <v>#DIV/0!</v>
          </cell>
          <cell r="D46" t="e">
            <v>#DIV/0!</v>
          </cell>
          <cell r="E46" t="e">
            <v>#DIV/0!</v>
          </cell>
        </row>
        <row r="47">
          <cell r="A47">
            <v>39491</v>
          </cell>
          <cell r="B47" t="str">
            <v>#Calc</v>
          </cell>
          <cell r="C47" t="e">
            <v>#DIV/0!</v>
          </cell>
          <cell r="D47" t="e">
            <v>#DIV/0!</v>
          </cell>
          <cell r="E47" t="e">
            <v>#DIV/0!</v>
          </cell>
        </row>
        <row r="48">
          <cell r="A48">
            <v>39492</v>
          </cell>
          <cell r="B48" t="str">
            <v>#Calc</v>
          </cell>
          <cell r="C48" t="e">
            <v>#DIV/0!</v>
          </cell>
          <cell r="D48" t="e">
            <v>#DIV/0!</v>
          </cell>
          <cell r="E48" t="e">
            <v>#DIV/0!</v>
          </cell>
        </row>
        <row r="49">
          <cell r="A49">
            <v>39493</v>
          </cell>
          <cell r="B49" t="str">
            <v>#Calc</v>
          </cell>
          <cell r="C49" t="e">
            <v>#DIV/0!</v>
          </cell>
          <cell r="D49" t="e">
            <v>#DIV/0!</v>
          </cell>
          <cell r="E49" t="e">
            <v>#DIV/0!</v>
          </cell>
        </row>
        <row r="50">
          <cell r="A50">
            <v>39494</v>
          </cell>
          <cell r="B50" t="str">
            <v>#Calc</v>
          </cell>
          <cell r="C50" t="e">
            <v>#DIV/0!</v>
          </cell>
          <cell r="D50" t="e">
            <v>#DIV/0!</v>
          </cell>
          <cell r="E50" t="e">
            <v>#DIV/0!</v>
          </cell>
        </row>
        <row r="51">
          <cell r="A51">
            <v>39495</v>
          </cell>
          <cell r="B51" t="str">
            <v>#Calc</v>
          </cell>
          <cell r="C51" t="e">
            <v>#DIV/0!</v>
          </cell>
          <cell r="D51" t="e">
            <v>#DIV/0!</v>
          </cell>
          <cell r="E51" t="e">
            <v>#DIV/0!</v>
          </cell>
        </row>
        <row r="52">
          <cell r="A52">
            <v>39496</v>
          </cell>
          <cell r="B52" t="str">
            <v>#Calc</v>
          </cell>
          <cell r="C52" t="e">
            <v>#DIV/0!</v>
          </cell>
          <cell r="D52" t="e">
            <v>#DIV/0!</v>
          </cell>
          <cell r="E52" t="e">
            <v>#DIV/0!</v>
          </cell>
        </row>
        <row r="53">
          <cell r="A53">
            <v>39497</v>
          </cell>
          <cell r="B53" t="str">
            <v>#Calc</v>
          </cell>
          <cell r="C53" t="e">
            <v>#DIV/0!</v>
          </cell>
          <cell r="D53" t="e">
            <v>#DIV/0!</v>
          </cell>
          <cell r="E53" t="e">
            <v>#DIV/0!</v>
          </cell>
        </row>
        <row r="54">
          <cell r="A54">
            <v>39498</v>
          </cell>
          <cell r="B54" t="str">
            <v>#Calc</v>
          </cell>
          <cell r="C54" t="e">
            <v>#DIV/0!</v>
          </cell>
          <cell r="D54" t="e">
            <v>#DIV/0!</v>
          </cell>
          <cell r="E54" t="e">
            <v>#DIV/0!</v>
          </cell>
        </row>
        <row r="55">
          <cell r="A55">
            <v>39499</v>
          </cell>
          <cell r="B55" t="str">
            <v>#Calc</v>
          </cell>
          <cell r="C55" t="e">
            <v>#DIV/0!</v>
          </cell>
          <cell r="D55" t="e">
            <v>#DIV/0!</v>
          </cell>
          <cell r="E55" t="e">
            <v>#DIV/0!</v>
          </cell>
        </row>
        <row r="56">
          <cell r="A56">
            <v>39500</v>
          </cell>
          <cell r="B56" t="str">
            <v>#Calc</v>
          </cell>
          <cell r="C56" t="e">
            <v>#DIV/0!</v>
          </cell>
          <cell r="D56" t="e">
            <v>#DIV/0!</v>
          </cell>
          <cell r="E56" t="e">
            <v>#DIV/0!</v>
          </cell>
        </row>
        <row r="57">
          <cell r="A57">
            <v>39501</v>
          </cell>
          <cell r="B57" t="str">
            <v>#Calc</v>
          </cell>
          <cell r="C57" t="e">
            <v>#DIV/0!</v>
          </cell>
          <cell r="D57" t="e">
            <v>#DIV/0!</v>
          </cell>
          <cell r="E57" t="e">
            <v>#DIV/0!</v>
          </cell>
        </row>
        <row r="58">
          <cell r="A58">
            <v>39502</v>
          </cell>
          <cell r="B58" t="str">
            <v>#Calc</v>
          </cell>
          <cell r="C58" t="e">
            <v>#DIV/0!</v>
          </cell>
          <cell r="D58" t="e">
            <v>#DIV/0!</v>
          </cell>
          <cell r="E58" t="e">
            <v>#DIV/0!</v>
          </cell>
        </row>
        <row r="59">
          <cell r="A59">
            <v>39503</v>
          </cell>
          <cell r="B59" t="str">
            <v>#Calc</v>
          </cell>
          <cell r="C59" t="e">
            <v>#DIV/0!</v>
          </cell>
          <cell r="D59" t="e">
            <v>#DIV/0!</v>
          </cell>
          <cell r="E59" t="e">
            <v>#DIV/0!</v>
          </cell>
        </row>
        <row r="60">
          <cell r="A60">
            <v>39504</v>
          </cell>
          <cell r="B60" t="str">
            <v>#Calc</v>
          </cell>
          <cell r="C60" t="e">
            <v>#DIV/0!</v>
          </cell>
          <cell r="D60" t="e">
            <v>#DIV/0!</v>
          </cell>
          <cell r="E60" t="e">
            <v>#DIV/0!</v>
          </cell>
        </row>
        <row r="61">
          <cell r="A61">
            <v>39505</v>
          </cell>
          <cell r="B61" t="str">
            <v>#Calc</v>
          </cell>
          <cell r="C61" t="e">
            <v>#DIV/0!</v>
          </cell>
          <cell r="D61" t="e">
            <v>#DIV/0!</v>
          </cell>
          <cell r="E61" t="e">
            <v>#DIV/0!</v>
          </cell>
        </row>
        <row r="62">
          <cell r="A62">
            <v>39506</v>
          </cell>
          <cell r="B62" t="str">
            <v>#Calc</v>
          </cell>
          <cell r="C62" t="e">
            <v>#DIV/0!</v>
          </cell>
          <cell r="D62" t="e">
            <v>#DIV/0!</v>
          </cell>
          <cell r="E62" t="e">
            <v>#DIV/0!</v>
          </cell>
        </row>
        <row r="63">
          <cell r="A63">
            <v>39507</v>
          </cell>
          <cell r="B63" t="str">
            <v>#Calc</v>
          </cell>
          <cell r="C63" t="e">
            <v>#DIV/0!</v>
          </cell>
          <cell r="D63" t="e">
            <v>#DIV/0!</v>
          </cell>
          <cell r="E63" t="e">
            <v>#DIV/0!</v>
          </cell>
        </row>
        <row r="64">
          <cell r="A64">
            <v>39508</v>
          </cell>
          <cell r="B64" t="str">
            <v>#Calc</v>
          </cell>
          <cell r="C64" t="e">
            <v>#DIV/0!</v>
          </cell>
          <cell r="D64" t="e">
            <v>#DIV/0!</v>
          </cell>
          <cell r="E64" t="e">
            <v>#DIV/0!</v>
          </cell>
        </row>
        <row r="65">
          <cell r="A65">
            <v>39509</v>
          </cell>
          <cell r="B65" t="str">
            <v>#Calc</v>
          </cell>
          <cell r="C65" t="e">
            <v>#DIV/0!</v>
          </cell>
          <cell r="D65" t="e">
            <v>#DIV/0!</v>
          </cell>
          <cell r="E65" t="e">
            <v>#DIV/0!</v>
          </cell>
        </row>
        <row r="66">
          <cell r="A66">
            <v>39510</v>
          </cell>
          <cell r="B66" t="str">
            <v>#Calc</v>
          </cell>
          <cell r="C66" t="e">
            <v>#DIV/0!</v>
          </cell>
          <cell r="D66" t="e">
            <v>#DIV/0!</v>
          </cell>
          <cell r="E66" t="e">
            <v>#DIV/0!</v>
          </cell>
        </row>
        <row r="67">
          <cell r="A67">
            <v>39511</v>
          </cell>
          <cell r="B67" t="str">
            <v>#Calc</v>
          </cell>
          <cell r="C67" t="e">
            <v>#DIV/0!</v>
          </cell>
          <cell r="D67" t="e">
            <v>#DIV/0!</v>
          </cell>
          <cell r="E67" t="e">
            <v>#DIV/0!</v>
          </cell>
        </row>
        <row r="68">
          <cell r="A68">
            <v>39512</v>
          </cell>
          <cell r="B68" t="str">
            <v>#Calc</v>
          </cell>
          <cell r="C68" t="e">
            <v>#DIV/0!</v>
          </cell>
          <cell r="D68" t="e">
            <v>#DIV/0!</v>
          </cell>
          <cell r="E68" t="e">
            <v>#DIV/0!</v>
          </cell>
        </row>
        <row r="69">
          <cell r="A69">
            <v>39513</v>
          </cell>
          <cell r="B69" t="str">
            <v>#Calc</v>
          </cell>
          <cell r="C69" t="e">
            <v>#DIV/0!</v>
          </cell>
          <cell r="D69" t="e">
            <v>#DIV/0!</v>
          </cell>
          <cell r="E69" t="e">
            <v>#DIV/0!</v>
          </cell>
        </row>
        <row r="70">
          <cell r="A70">
            <v>39514</v>
          </cell>
          <cell r="B70" t="str">
            <v>#Calc</v>
          </cell>
          <cell r="C70" t="e">
            <v>#DIV/0!</v>
          </cell>
          <cell r="D70" t="e">
            <v>#DIV/0!</v>
          </cell>
          <cell r="E70" t="e">
            <v>#DIV/0!</v>
          </cell>
        </row>
        <row r="71">
          <cell r="A71">
            <v>39515</v>
          </cell>
          <cell r="B71" t="str">
            <v>#Calc</v>
          </cell>
          <cell r="C71" t="e">
            <v>#DIV/0!</v>
          </cell>
          <cell r="D71" t="e">
            <v>#DIV/0!</v>
          </cell>
          <cell r="E71" t="e">
            <v>#DIV/0!</v>
          </cell>
        </row>
        <row r="72">
          <cell r="A72">
            <v>39516</v>
          </cell>
          <cell r="B72" t="str">
            <v>#Calc</v>
          </cell>
          <cell r="C72" t="e">
            <v>#DIV/0!</v>
          </cell>
          <cell r="D72" t="e">
            <v>#DIV/0!</v>
          </cell>
          <cell r="E72" t="e">
            <v>#DIV/0!</v>
          </cell>
        </row>
        <row r="73">
          <cell r="A73">
            <v>39517</v>
          </cell>
          <cell r="B73" t="str">
            <v>#Calc</v>
          </cell>
          <cell r="C73" t="e">
            <v>#DIV/0!</v>
          </cell>
          <cell r="D73" t="e">
            <v>#DIV/0!</v>
          </cell>
          <cell r="E73" t="e">
            <v>#DIV/0!</v>
          </cell>
        </row>
        <row r="74">
          <cell r="A74">
            <v>39518</v>
          </cell>
          <cell r="B74" t="str">
            <v>#Calc</v>
          </cell>
          <cell r="C74" t="e">
            <v>#DIV/0!</v>
          </cell>
          <cell r="D74" t="e">
            <v>#DIV/0!</v>
          </cell>
          <cell r="E74" t="e">
            <v>#DIV/0!</v>
          </cell>
        </row>
        <row r="75">
          <cell r="A75">
            <v>39519</v>
          </cell>
          <cell r="B75" t="str">
            <v>#Calc</v>
          </cell>
          <cell r="C75" t="e">
            <v>#DIV/0!</v>
          </cell>
          <cell r="D75" t="e">
            <v>#DIV/0!</v>
          </cell>
          <cell r="E75" t="e">
            <v>#DIV/0!</v>
          </cell>
        </row>
        <row r="76">
          <cell r="A76">
            <v>39520</v>
          </cell>
          <cell r="B76" t="str">
            <v>#Calc</v>
          </cell>
          <cell r="C76" t="e">
            <v>#DIV/0!</v>
          </cell>
          <cell r="D76" t="e">
            <v>#DIV/0!</v>
          </cell>
          <cell r="E76" t="e">
            <v>#DIV/0!</v>
          </cell>
        </row>
        <row r="77">
          <cell r="A77">
            <v>39521</v>
          </cell>
          <cell r="B77" t="str">
            <v>#Calc</v>
          </cell>
          <cell r="C77" t="e">
            <v>#DIV/0!</v>
          </cell>
          <cell r="D77" t="e">
            <v>#DIV/0!</v>
          </cell>
          <cell r="E77" t="e">
            <v>#DIV/0!</v>
          </cell>
        </row>
        <row r="78">
          <cell r="A78">
            <v>39522</v>
          </cell>
          <cell r="B78" t="str">
            <v>#Calc</v>
          </cell>
          <cell r="C78" t="e">
            <v>#DIV/0!</v>
          </cell>
          <cell r="D78" t="e">
            <v>#DIV/0!</v>
          </cell>
          <cell r="E78" t="e">
            <v>#DIV/0!</v>
          </cell>
        </row>
        <row r="79">
          <cell r="A79">
            <v>39523</v>
          </cell>
          <cell r="B79" t="str">
            <v>#Calc</v>
          </cell>
          <cell r="C79" t="e">
            <v>#DIV/0!</v>
          </cell>
          <cell r="D79" t="e">
            <v>#DIV/0!</v>
          </cell>
          <cell r="E79" t="e">
            <v>#DIV/0!</v>
          </cell>
        </row>
        <row r="80">
          <cell r="A80">
            <v>39524</v>
          </cell>
          <cell r="B80" t="str">
            <v>#Calc</v>
          </cell>
          <cell r="C80" t="e">
            <v>#DIV/0!</v>
          </cell>
          <cell r="D80" t="e">
            <v>#DIV/0!</v>
          </cell>
          <cell r="E80" t="e">
            <v>#DIV/0!</v>
          </cell>
        </row>
        <row r="81">
          <cell r="A81">
            <v>39525</v>
          </cell>
          <cell r="B81" t="str">
            <v>#Calc</v>
          </cell>
          <cell r="C81" t="e">
            <v>#DIV/0!</v>
          </cell>
          <cell r="D81" t="e">
            <v>#DIV/0!</v>
          </cell>
          <cell r="E81" t="e">
            <v>#DIV/0!</v>
          </cell>
        </row>
        <row r="82">
          <cell r="A82">
            <v>39526</v>
          </cell>
          <cell r="B82" t="str">
            <v>#Calc</v>
          </cell>
          <cell r="C82" t="e">
            <v>#DIV/0!</v>
          </cell>
          <cell r="D82" t="e">
            <v>#DIV/0!</v>
          </cell>
          <cell r="E82" t="e">
            <v>#DIV/0!</v>
          </cell>
        </row>
        <row r="83">
          <cell r="A83">
            <v>39527</v>
          </cell>
          <cell r="B83" t="str">
            <v>#Calc</v>
          </cell>
          <cell r="C83" t="e">
            <v>#DIV/0!</v>
          </cell>
          <cell r="D83" t="e">
            <v>#DIV/0!</v>
          </cell>
          <cell r="E83" t="e">
            <v>#DIV/0!</v>
          </cell>
        </row>
        <row r="84">
          <cell r="A84">
            <v>39528</v>
          </cell>
          <cell r="B84" t="str">
            <v>#Calc</v>
          </cell>
          <cell r="C84" t="e">
            <v>#DIV/0!</v>
          </cell>
          <cell r="D84" t="e">
            <v>#DIV/0!</v>
          </cell>
          <cell r="E84" t="e">
            <v>#DIV/0!</v>
          </cell>
        </row>
        <row r="85">
          <cell r="A85">
            <v>39529</v>
          </cell>
          <cell r="B85" t="str">
            <v>#Calc</v>
          </cell>
          <cell r="C85" t="e">
            <v>#DIV/0!</v>
          </cell>
          <cell r="D85" t="e">
            <v>#DIV/0!</v>
          </cell>
          <cell r="E85" t="e">
            <v>#DIV/0!</v>
          </cell>
        </row>
        <row r="86">
          <cell r="A86">
            <v>39530</v>
          </cell>
          <cell r="B86" t="str">
            <v>#Calc</v>
          </cell>
          <cell r="C86" t="e">
            <v>#DIV/0!</v>
          </cell>
          <cell r="D86" t="e">
            <v>#DIV/0!</v>
          </cell>
          <cell r="E86" t="e">
            <v>#DIV/0!</v>
          </cell>
        </row>
        <row r="87">
          <cell r="A87">
            <v>39531</v>
          </cell>
          <cell r="B87" t="str">
            <v>#Calc</v>
          </cell>
          <cell r="C87" t="e">
            <v>#DIV/0!</v>
          </cell>
          <cell r="D87" t="e">
            <v>#DIV/0!</v>
          </cell>
          <cell r="E87" t="e">
            <v>#DIV/0!</v>
          </cell>
        </row>
        <row r="88">
          <cell r="A88">
            <v>39532</v>
          </cell>
          <cell r="B88" t="str">
            <v>#Calc</v>
          </cell>
          <cell r="C88" t="e">
            <v>#DIV/0!</v>
          </cell>
          <cell r="D88" t="e">
            <v>#DIV/0!</v>
          </cell>
          <cell r="E88" t="e">
            <v>#DIV/0!</v>
          </cell>
        </row>
        <row r="89">
          <cell r="A89">
            <v>39533</v>
          </cell>
          <cell r="B89" t="str">
            <v>#Calc</v>
          </cell>
          <cell r="C89" t="e">
            <v>#DIV/0!</v>
          </cell>
          <cell r="D89" t="e">
            <v>#DIV/0!</v>
          </cell>
          <cell r="E89" t="e">
            <v>#DIV/0!</v>
          </cell>
        </row>
        <row r="90">
          <cell r="A90">
            <v>39534</v>
          </cell>
          <cell r="B90" t="str">
            <v>#Calc</v>
          </cell>
          <cell r="C90" t="e">
            <v>#DIV/0!</v>
          </cell>
          <cell r="D90" t="e">
            <v>#DIV/0!</v>
          </cell>
          <cell r="E90" t="e">
            <v>#DIV/0!</v>
          </cell>
        </row>
        <row r="91">
          <cell r="A91">
            <v>39535</v>
          </cell>
          <cell r="B91" t="str">
            <v>#Calc</v>
          </cell>
          <cell r="C91" t="e">
            <v>#DIV/0!</v>
          </cell>
          <cell r="D91" t="e">
            <v>#DIV/0!</v>
          </cell>
          <cell r="E91" t="e">
            <v>#DIV/0!</v>
          </cell>
        </row>
        <row r="92">
          <cell r="A92">
            <v>39536</v>
          </cell>
          <cell r="B92" t="str">
            <v>#Calc</v>
          </cell>
          <cell r="C92" t="e">
            <v>#DIV/0!</v>
          </cell>
          <cell r="D92" t="e">
            <v>#DIV/0!</v>
          </cell>
          <cell r="E92" t="e">
            <v>#DIV/0!</v>
          </cell>
        </row>
        <row r="93">
          <cell r="A93">
            <v>39537</v>
          </cell>
          <cell r="B93" t="str">
            <v>#Calc</v>
          </cell>
          <cell r="C93" t="e">
            <v>#DIV/0!</v>
          </cell>
          <cell r="D93" t="e">
            <v>#DIV/0!</v>
          </cell>
          <cell r="E93" t="e">
            <v>#DIV/0!</v>
          </cell>
        </row>
        <row r="94">
          <cell r="A94">
            <v>39538</v>
          </cell>
          <cell r="B94" t="str">
            <v>#Calc</v>
          </cell>
          <cell r="C94" t="e">
            <v>#DIV/0!</v>
          </cell>
          <cell r="D94" t="e">
            <v>#DIV/0!</v>
          </cell>
          <cell r="E94" t="e">
            <v>#DIV/0!</v>
          </cell>
        </row>
        <row r="95">
          <cell r="A95">
            <v>39539</v>
          </cell>
          <cell r="B95" t="str">
            <v>#Calc</v>
          </cell>
          <cell r="C95" t="e">
            <v>#DIV/0!</v>
          </cell>
          <cell r="D95" t="e">
            <v>#DIV/0!</v>
          </cell>
          <cell r="E95" t="e">
            <v>#DIV/0!</v>
          </cell>
        </row>
        <row r="96">
          <cell r="A96">
            <v>39540</v>
          </cell>
          <cell r="B96" t="str">
            <v>#Calc</v>
          </cell>
          <cell r="C96" t="e">
            <v>#DIV/0!</v>
          </cell>
          <cell r="D96" t="e">
            <v>#DIV/0!</v>
          </cell>
          <cell r="E96" t="e">
            <v>#DIV/0!</v>
          </cell>
        </row>
        <row r="97">
          <cell r="A97">
            <v>39541</v>
          </cell>
          <cell r="B97" t="str">
            <v>#Calc</v>
          </cell>
          <cell r="C97" t="e">
            <v>#DIV/0!</v>
          </cell>
          <cell r="D97" t="e">
            <v>#DIV/0!</v>
          </cell>
          <cell r="E97" t="e">
            <v>#DIV/0!</v>
          </cell>
        </row>
        <row r="98">
          <cell r="A98">
            <v>39542</v>
          </cell>
          <cell r="B98" t="str">
            <v>#Calc</v>
          </cell>
          <cell r="C98" t="e">
            <v>#DIV/0!</v>
          </cell>
          <cell r="D98" t="e">
            <v>#DIV/0!</v>
          </cell>
          <cell r="E98" t="e">
            <v>#DIV/0!</v>
          </cell>
        </row>
        <row r="99">
          <cell r="A99">
            <v>39543</v>
          </cell>
          <cell r="B99" t="str">
            <v>#Calc</v>
          </cell>
          <cell r="C99" t="e">
            <v>#DIV/0!</v>
          </cell>
          <cell r="D99" t="e">
            <v>#DIV/0!</v>
          </cell>
          <cell r="E99" t="e">
            <v>#DIV/0!</v>
          </cell>
        </row>
        <row r="100">
          <cell r="A100">
            <v>39544</v>
          </cell>
          <cell r="B100" t="str">
            <v>#Calc</v>
          </cell>
          <cell r="C100" t="e">
            <v>#DIV/0!</v>
          </cell>
          <cell r="D100" t="e">
            <v>#DIV/0!</v>
          </cell>
          <cell r="E100" t="e">
            <v>#DIV/0!</v>
          </cell>
        </row>
        <row r="101">
          <cell r="A101">
            <v>39545</v>
          </cell>
          <cell r="B101" t="str">
            <v>#Calc</v>
          </cell>
          <cell r="C101" t="e">
            <v>#DIV/0!</v>
          </cell>
          <cell r="D101" t="e">
            <v>#DIV/0!</v>
          </cell>
          <cell r="E101" t="e">
            <v>#DIV/0!</v>
          </cell>
        </row>
        <row r="102">
          <cell r="A102">
            <v>39546</v>
          </cell>
          <cell r="B102" t="str">
            <v>#Calc</v>
          </cell>
          <cell r="C102" t="e">
            <v>#DIV/0!</v>
          </cell>
          <cell r="D102" t="e">
            <v>#DIV/0!</v>
          </cell>
          <cell r="E102" t="e">
            <v>#DIV/0!</v>
          </cell>
        </row>
        <row r="103">
          <cell r="A103">
            <v>39547</v>
          </cell>
          <cell r="B103" t="str">
            <v>#Calc</v>
          </cell>
          <cell r="C103" t="e">
            <v>#DIV/0!</v>
          </cell>
          <cell r="D103" t="e">
            <v>#DIV/0!</v>
          </cell>
          <cell r="E103" t="e">
            <v>#DIV/0!</v>
          </cell>
        </row>
        <row r="104">
          <cell r="A104">
            <v>39548</v>
          </cell>
          <cell r="B104" t="str">
            <v>#Calc</v>
          </cell>
          <cell r="C104" t="e">
            <v>#DIV/0!</v>
          </cell>
          <cell r="D104" t="e">
            <v>#DIV/0!</v>
          </cell>
          <cell r="E104" t="e">
            <v>#DIV/0!</v>
          </cell>
        </row>
        <row r="105">
          <cell r="A105">
            <v>39549</v>
          </cell>
          <cell r="B105" t="str">
            <v>#Calc</v>
          </cell>
          <cell r="C105" t="e">
            <v>#DIV/0!</v>
          </cell>
          <cell r="D105" t="e">
            <v>#DIV/0!</v>
          </cell>
          <cell r="E105" t="e">
            <v>#DIV/0!</v>
          </cell>
        </row>
        <row r="106">
          <cell r="A106">
            <v>39550</v>
          </cell>
          <cell r="B106" t="str">
            <v>#Calc</v>
          </cell>
          <cell r="C106" t="e">
            <v>#DIV/0!</v>
          </cell>
          <cell r="D106" t="e">
            <v>#DIV/0!</v>
          </cell>
          <cell r="E106" t="e">
            <v>#DIV/0!</v>
          </cell>
        </row>
        <row r="107">
          <cell r="A107">
            <v>39551</v>
          </cell>
          <cell r="B107" t="str">
            <v>#Calc</v>
          </cell>
          <cell r="C107" t="e">
            <v>#DIV/0!</v>
          </cell>
          <cell r="D107" t="e">
            <v>#DIV/0!</v>
          </cell>
          <cell r="E107" t="e">
            <v>#DIV/0!</v>
          </cell>
        </row>
        <row r="108">
          <cell r="A108">
            <v>39552</v>
          </cell>
          <cell r="B108" t="str">
            <v>#Calc</v>
          </cell>
          <cell r="C108" t="e">
            <v>#DIV/0!</v>
          </cell>
          <cell r="D108" t="e">
            <v>#DIV/0!</v>
          </cell>
          <cell r="E108" t="e">
            <v>#DIV/0!</v>
          </cell>
        </row>
        <row r="109">
          <cell r="A109">
            <v>39553</v>
          </cell>
          <cell r="B109" t="str">
            <v>#Calc</v>
          </cell>
          <cell r="C109" t="e">
            <v>#DIV/0!</v>
          </cell>
          <cell r="D109" t="e">
            <v>#DIV/0!</v>
          </cell>
          <cell r="E109" t="e">
            <v>#DIV/0!</v>
          </cell>
        </row>
        <row r="110">
          <cell r="A110">
            <v>39554</v>
          </cell>
          <cell r="B110" t="str">
            <v>#Calc</v>
          </cell>
          <cell r="C110" t="e">
            <v>#DIV/0!</v>
          </cell>
          <cell r="D110" t="e">
            <v>#DIV/0!</v>
          </cell>
          <cell r="E110" t="e">
            <v>#DIV/0!</v>
          </cell>
        </row>
        <row r="111">
          <cell r="A111">
            <v>39555</v>
          </cell>
          <cell r="B111" t="str">
            <v>#Calc</v>
          </cell>
          <cell r="C111" t="e">
            <v>#DIV/0!</v>
          </cell>
          <cell r="D111" t="e">
            <v>#DIV/0!</v>
          </cell>
          <cell r="E111" t="e">
            <v>#DIV/0!</v>
          </cell>
        </row>
        <row r="112">
          <cell r="A112">
            <v>39556</v>
          </cell>
          <cell r="B112" t="str">
            <v>#Calc</v>
          </cell>
          <cell r="C112" t="e">
            <v>#DIV/0!</v>
          </cell>
          <cell r="D112" t="e">
            <v>#DIV/0!</v>
          </cell>
          <cell r="E112" t="e">
            <v>#DIV/0!</v>
          </cell>
        </row>
        <row r="113">
          <cell r="A113">
            <v>39557</v>
          </cell>
          <cell r="B113" t="str">
            <v>#Calc</v>
          </cell>
          <cell r="C113" t="e">
            <v>#DIV/0!</v>
          </cell>
          <cell r="D113" t="e">
            <v>#DIV/0!</v>
          </cell>
          <cell r="E113" t="e">
            <v>#DIV/0!</v>
          </cell>
        </row>
        <row r="114">
          <cell r="A114">
            <v>39558</v>
          </cell>
          <cell r="B114" t="str">
            <v>#Calc</v>
          </cell>
          <cell r="C114" t="e">
            <v>#DIV/0!</v>
          </cell>
          <cell r="D114" t="e">
            <v>#DIV/0!</v>
          </cell>
          <cell r="E114" t="e">
            <v>#DIV/0!</v>
          </cell>
        </row>
        <row r="115">
          <cell r="A115">
            <v>39559</v>
          </cell>
          <cell r="B115" t="str">
            <v>#Calc</v>
          </cell>
          <cell r="C115" t="e">
            <v>#DIV/0!</v>
          </cell>
          <cell r="D115" t="e">
            <v>#DIV/0!</v>
          </cell>
          <cell r="E115" t="e">
            <v>#DIV/0!</v>
          </cell>
        </row>
        <row r="116">
          <cell r="A116">
            <v>39560</v>
          </cell>
          <cell r="B116" t="str">
            <v>#Calc</v>
          </cell>
          <cell r="C116" t="e">
            <v>#DIV/0!</v>
          </cell>
          <cell r="D116" t="e">
            <v>#DIV/0!</v>
          </cell>
          <cell r="E116" t="e">
            <v>#DIV/0!</v>
          </cell>
        </row>
        <row r="117">
          <cell r="A117">
            <v>39561</v>
          </cell>
          <cell r="B117" t="str">
            <v>#Calc</v>
          </cell>
          <cell r="C117" t="e">
            <v>#DIV/0!</v>
          </cell>
          <cell r="D117" t="e">
            <v>#DIV/0!</v>
          </cell>
          <cell r="E117" t="e">
            <v>#DIV/0!</v>
          </cell>
        </row>
        <row r="118">
          <cell r="A118">
            <v>39562</v>
          </cell>
          <cell r="B118" t="str">
            <v>#Calc</v>
          </cell>
          <cell r="C118" t="e">
            <v>#DIV/0!</v>
          </cell>
          <cell r="D118" t="e">
            <v>#DIV/0!</v>
          </cell>
          <cell r="E118" t="e">
            <v>#DIV/0!</v>
          </cell>
        </row>
        <row r="119">
          <cell r="A119">
            <v>39563</v>
          </cell>
          <cell r="B119" t="str">
            <v>#Calc</v>
          </cell>
          <cell r="C119" t="e">
            <v>#DIV/0!</v>
          </cell>
          <cell r="D119" t="e">
            <v>#DIV/0!</v>
          </cell>
          <cell r="E119" t="e">
            <v>#DIV/0!</v>
          </cell>
        </row>
        <row r="120">
          <cell r="A120">
            <v>39564</v>
          </cell>
          <cell r="B120" t="str">
            <v>#Calc</v>
          </cell>
          <cell r="C120" t="e">
            <v>#DIV/0!</v>
          </cell>
          <cell r="D120" t="e">
            <v>#DIV/0!</v>
          </cell>
          <cell r="E120" t="e">
            <v>#DIV/0!</v>
          </cell>
        </row>
        <row r="121">
          <cell r="A121">
            <v>39565</v>
          </cell>
          <cell r="B121" t="str">
            <v>#Calc</v>
          </cell>
          <cell r="C121" t="e">
            <v>#DIV/0!</v>
          </cell>
          <cell r="D121" t="e">
            <v>#DIV/0!</v>
          </cell>
          <cell r="E121" t="e">
            <v>#DIV/0!</v>
          </cell>
        </row>
        <row r="122">
          <cell r="A122">
            <v>39566</v>
          </cell>
          <cell r="B122" t="str">
            <v>#Calc</v>
          </cell>
          <cell r="C122" t="e">
            <v>#DIV/0!</v>
          </cell>
          <cell r="D122" t="e">
            <v>#DIV/0!</v>
          </cell>
          <cell r="E122" t="e">
            <v>#DIV/0!</v>
          </cell>
        </row>
        <row r="123">
          <cell r="A123">
            <v>39567</v>
          </cell>
          <cell r="B123" t="str">
            <v>#Calc</v>
          </cell>
          <cell r="C123" t="e">
            <v>#DIV/0!</v>
          </cell>
          <cell r="D123" t="e">
            <v>#DIV/0!</v>
          </cell>
          <cell r="E123" t="e">
            <v>#DIV/0!</v>
          </cell>
        </row>
        <row r="124">
          <cell r="A124">
            <v>39568</v>
          </cell>
          <cell r="B124" t="str">
            <v>#Calc</v>
          </cell>
          <cell r="C124" t="e">
            <v>#DIV/0!</v>
          </cell>
          <cell r="D124" t="e">
            <v>#DIV/0!</v>
          </cell>
          <cell r="E124" t="e">
            <v>#DIV/0!</v>
          </cell>
        </row>
        <row r="125">
          <cell r="A125">
            <v>39569</v>
          </cell>
          <cell r="B125" t="str">
            <v>#Calc</v>
          </cell>
          <cell r="C125" t="e">
            <v>#DIV/0!</v>
          </cell>
          <cell r="D125" t="e">
            <v>#DIV/0!</v>
          </cell>
          <cell r="E125" t="e">
            <v>#DIV/0!</v>
          </cell>
        </row>
        <row r="126">
          <cell r="A126">
            <v>39570</v>
          </cell>
          <cell r="B126" t="str">
            <v>#Calc</v>
          </cell>
          <cell r="C126" t="e">
            <v>#DIV/0!</v>
          </cell>
          <cell r="D126" t="e">
            <v>#DIV/0!</v>
          </cell>
          <cell r="E126" t="e">
            <v>#DIV/0!</v>
          </cell>
        </row>
        <row r="127">
          <cell r="A127">
            <v>39571</v>
          </cell>
          <cell r="B127" t="str">
            <v>#Calc</v>
          </cell>
          <cell r="C127" t="e">
            <v>#DIV/0!</v>
          </cell>
          <cell r="D127" t="e">
            <v>#DIV/0!</v>
          </cell>
          <cell r="E127" t="e">
            <v>#DIV/0!</v>
          </cell>
        </row>
        <row r="128">
          <cell r="A128">
            <v>39572</v>
          </cell>
          <cell r="B128" t="str">
            <v>#Calc</v>
          </cell>
          <cell r="C128" t="e">
            <v>#DIV/0!</v>
          </cell>
          <cell r="D128" t="e">
            <v>#DIV/0!</v>
          </cell>
          <cell r="E128" t="e">
            <v>#DIV/0!</v>
          </cell>
        </row>
        <row r="129">
          <cell r="A129">
            <v>39573</v>
          </cell>
          <cell r="B129" t="str">
            <v>#Calc</v>
          </cell>
          <cell r="C129" t="e">
            <v>#DIV/0!</v>
          </cell>
          <cell r="D129" t="e">
            <v>#DIV/0!</v>
          </cell>
          <cell r="E129" t="e">
            <v>#DIV/0!</v>
          </cell>
        </row>
        <row r="130">
          <cell r="A130">
            <v>39574</v>
          </cell>
          <cell r="B130" t="str">
            <v>#Calc</v>
          </cell>
          <cell r="C130" t="e">
            <v>#DIV/0!</v>
          </cell>
          <cell r="D130" t="e">
            <v>#DIV/0!</v>
          </cell>
          <cell r="E130" t="e">
            <v>#DIV/0!</v>
          </cell>
        </row>
        <row r="131">
          <cell r="A131">
            <v>39575</v>
          </cell>
          <cell r="B131" t="str">
            <v>#Calc</v>
          </cell>
          <cell r="C131" t="e">
            <v>#DIV/0!</v>
          </cell>
          <cell r="D131" t="e">
            <v>#DIV/0!</v>
          </cell>
          <cell r="E131" t="e">
            <v>#DIV/0!</v>
          </cell>
        </row>
        <row r="132">
          <cell r="A132">
            <v>39576</v>
          </cell>
          <cell r="B132" t="str">
            <v>#Calc</v>
          </cell>
          <cell r="C132" t="e">
            <v>#DIV/0!</v>
          </cell>
          <cell r="D132" t="e">
            <v>#DIV/0!</v>
          </cell>
          <cell r="E132" t="e">
            <v>#DIV/0!</v>
          </cell>
        </row>
        <row r="133">
          <cell r="A133">
            <v>39577</v>
          </cell>
          <cell r="B133" t="str">
            <v>#Calc</v>
          </cell>
          <cell r="C133" t="e">
            <v>#DIV/0!</v>
          </cell>
          <cell r="D133" t="e">
            <v>#DIV/0!</v>
          </cell>
          <cell r="E133" t="e">
            <v>#DIV/0!</v>
          </cell>
        </row>
        <row r="134">
          <cell r="A134">
            <v>39578</v>
          </cell>
          <cell r="B134" t="str">
            <v>#Calc</v>
          </cell>
          <cell r="C134" t="e">
            <v>#DIV/0!</v>
          </cell>
          <cell r="D134" t="e">
            <v>#DIV/0!</v>
          </cell>
          <cell r="E134" t="e">
            <v>#DIV/0!</v>
          </cell>
        </row>
        <row r="135">
          <cell r="A135">
            <v>39579</v>
          </cell>
          <cell r="B135" t="str">
            <v>#Calc</v>
          </cell>
          <cell r="C135" t="e">
            <v>#DIV/0!</v>
          </cell>
          <cell r="D135" t="e">
            <v>#DIV/0!</v>
          </cell>
          <cell r="E135" t="e">
            <v>#DIV/0!</v>
          </cell>
        </row>
        <row r="136">
          <cell r="A136">
            <v>39580</v>
          </cell>
          <cell r="B136" t="str">
            <v>#Calc</v>
          </cell>
          <cell r="C136" t="e">
            <v>#DIV/0!</v>
          </cell>
          <cell r="D136" t="e">
            <v>#DIV/0!</v>
          </cell>
          <cell r="E136" t="e">
            <v>#DIV/0!</v>
          </cell>
        </row>
        <row r="137">
          <cell r="A137">
            <v>39581</v>
          </cell>
          <cell r="B137" t="str">
            <v>#Calc</v>
          </cell>
          <cell r="C137" t="e">
            <v>#DIV/0!</v>
          </cell>
          <cell r="D137" t="e">
            <v>#DIV/0!</v>
          </cell>
          <cell r="E137" t="e">
            <v>#DIV/0!</v>
          </cell>
        </row>
        <row r="138">
          <cell r="A138">
            <v>39582</v>
          </cell>
          <cell r="B138" t="str">
            <v>#Calc</v>
          </cell>
          <cell r="C138" t="e">
            <v>#DIV/0!</v>
          </cell>
          <cell r="D138" t="e">
            <v>#DIV/0!</v>
          </cell>
          <cell r="E138" t="e">
            <v>#DIV/0!</v>
          </cell>
        </row>
        <row r="139">
          <cell r="A139">
            <v>39583</v>
          </cell>
          <cell r="B139" t="str">
            <v>#Calc</v>
          </cell>
          <cell r="C139" t="e">
            <v>#DIV/0!</v>
          </cell>
          <cell r="D139" t="e">
            <v>#DIV/0!</v>
          </cell>
          <cell r="E139" t="e">
            <v>#DIV/0!</v>
          </cell>
        </row>
        <row r="140">
          <cell r="A140">
            <v>39584</v>
          </cell>
          <cell r="B140" t="str">
            <v>#Calc</v>
          </cell>
          <cell r="C140" t="e">
            <v>#DIV/0!</v>
          </cell>
          <cell r="D140" t="e">
            <v>#DIV/0!</v>
          </cell>
          <cell r="E140" t="e">
            <v>#DIV/0!</v>
          </cell>
        </row>
        <row r="141">
          <cell r="A141">
            <v>39585</v>
          </cell>
          <cell r="B141" t="str">
            <v>#Calc</v>
          </cell>
          <cell r="C141" t="e">
            <v>#DIV/0!</v>
          </cell>
          <cell r="D141" t="e">
            <v>#DIV/0!</v>
          </cell>
          <cell r="E141" t="e">
            <v>#DIV/0!</v>
          </cell>
        </row>
        <row r="142">
          <cell r="A142">
            <v>39586</v>
          </cell>
          <cell r="B142" t="str">
            <v>#Calc</v>
          </cell>
          <cell r="C142" t="e">
            <v>#DIV/0!</v>
          </cell>
          <cell r="D142" t="e">
            <v>#DIV/0!</v>
          </cell>
          <cell r="E142" t="e">
            <v>#DIV/0!</v>
          </cell>
        </row>
        <row r="143">
          <cell r="A143">
            <v>39587</v>
          </cell>
          <cell r="B143" t="str">
            <v>#Calc</v>
          </cell>
          <cell r="C143" t="e">
            <v>#DIV/0!</v>
          </cell>
          <cell r="D143" t="e">
            <v>#DIV/0!</v>
          </cell>
          <cell r="E143" t="e">
            <v>#DIV/0!</v>
          </cell>
        </row>
        <row r="144">
          <cell r="A144">
            <v>39588</v>
          </cell>
          <cell r="B144" t="str">
            <v>#Calc</v>
          </cell>
          <cell r="C144" t="e">
            <v>#DIV/0!</v>
          </cell>
          <cell r="D144" t="e">
            <v>#DIV/0!</v>
          </cell>
          <cell r="E144" t="e">
            <v>#DIV/0!</v>
          </cell>
        </row>
        <row r="145">
          <cell r="A145">
            <v>39589</v>
          </cell>
          <cell r="B145" t="str">
            <v>#Calc</v>
          </cell>
          <cell r="C145" t="e">
            <v>#DIV/0!</v>
          </cell>
          <cell r="D145" t="e">
            <v>#DIV/0!</v>
          </cell>
          <cell r="E145" t="e">
            <v>#DIV/0!</v>
          </cell>
        </row>
        <row r="146">
          <cell r="A146">
            <v>39590</v>
          </cell>
          <cell r="B146" t="str">
            <v>#Calc</v>
          </cell>
          <cell r="C146" t="e">
            <v>#DIV/0!</v>
          </cell>
          <cell r="D146" t="e">
            <v>#DIV/0!</v>
          </cell>
          <cell r="E146" t="e">
            <v>#DIV/0!</v>
          </cell>
        </row>
        <row r="147">
          <cell r="A147">
            <v>39591</v>
          </cell>
          <cell r="B147" t="str">
            <v>#Calc</v>
          </cell>
          <cell r="C147" t="e">
            <v>#DIV/0!</v>
          </cell>
          <cell r="D147" t="e">
            <v>#DIV/0!</v>
          </cell>
          <cell r="E147" t="e">
            <v>#DIV/0!</v>
          </cell>
        </row>
        <row r="148">
          <cell r="A148">
            <v>39592</v>
          </cell>
          <cell r="B148" t="str">
            <v>#Calc</v>
          </cell>
          <cell r="C148" t="e">
            <v>#DIV/0!</v>
          </cell>
          <cell r="D148" t="e">
            <v>#DIV/0!</v>
          </cell>
          <cell r="E148" t="e">
            <v>#DIV/0!</v>
          </cell>
        </row>
        <row r="149">
          <cell r="A149">
            <v>39593</v>
          </cell>
          <cell r="B149" t="str">
            <v>#Calc</v>
          </cell>
          <cell r="C149" t="e">
            <v>#DIV/0!</v>
          </cell>
          <cell r="D149" t="e">
            <v>#DIV/0!</v>
          </cell>
          <cell r="E149" t="e">
            <v>#DIV/0!</v>
          </cell>
        </row>
        <row r="150">
          <cell r="A150">
            <v>39594</v>
          </cell>
          <cell r="B150" t="str">
            <v>#Calc</v>
          </cell>
          <cell r="C150" t="e">
            <v>#DIV/0!</v>
          </cell>
          <cell r="D150" t="e">
            <v>#DIV/0!</v>
          </cell>
          <cell r="E150" t="e">
            <v>#DIV/0!</v>
          </cell>
        </row>
        <row r="151">
          <cell r="A151">
            <v>39595</v>
          </cell>
          <cell r="B151" t="str">
            <v>#Calc</v>
          </cell>
          <cell r="C151" t="e">
            <v>#DIV/0!</v>
          </cell>
          <cell r="D151" t="e">
            <v>#DIV/0!</v>
          </cell>
          <cell r="E151" t="e">
            <v>#DIV/0!</v>
          </cell>
        </row>
        <row r="152">
          <cell r="A152">
            <v>39596</v>
          </cell>
          <cell r="B152" t="str">
            <v>#Calc</v>
          </cell>
          <cell r="C152" t="e">
            <v>#DIV/0!</v>
          </cell>
          <cell r="D152" t="e">
            <v>#DIV/0!</v>
          </cell>
          <cell r="E152" t="e">
            <v>#DIV/0!</v>
          </cell>
        </row>
        <row r="153">
          <cell r="A153">
            <v>39597</v>
          </cell>
          <cell r="B153" t="str">
            <v>#Calc</v>
          </cell>
          <cell r="C153" t="e">
            <v>#DIV/0!</v>
          </cell>
          <cell r="D153" t="e">
            <v>#DIV/0!</v>
          </cell>
          <cell r="E153" t="e">
            <v>#DIV/0!</v>
          </cell>
        </row>
        <row r="154">
          <cell r="A154">
            <v>39598</v>
          </cell>
          <cell r="B154" t="str">
            <v>#Calc</v>
          </cell>
          <cell r="C154" t="e">
            <v>#DIV/0!</v>
          </cell>
          <cell r="D154" t="e">
            <v>#DIV/0!</v>
          </cell>
          <cell r="E154" t="e">
            <v>#DIV/0!</v>
          </cell>
        </row>
        <row r="155">
          <cell r="A155">
            <v>39599</v>
          </cell>
          <cell r="B155" t="str">
            <v>#Calc</v>
          </cell>
          <cell r="C155" t="e">
            <v>#DIV/0!</v>
          </cell>
          <cell r="D155" t="e">
            <v>#DIV/0!</v>
          </cell>
          <cell r="E155" t="e">
            <v>#DIV/0!</v>
          </cell>
        </row>
        <row r="156">
          <cell r="A156">
            <v>39600</v>
          </cell>
          <cell r="B156" t="str">
            <v>#Calc</v>
          </cell>
          <cell r="C156" t="e">
            <v>#DIV/0!</v>
          </cell>
          <cell r="D156" t="e">
            <v>#DIV/0!</v>
          </cell>
          <cell r="E156" t="e">
            <v>#DIV/0!</v>
          </cell>
        </row>
        <row r="157">
          <cell r="A157">
            <v>39601</v>
          </cell>
          <cell r="B157" t="str">
            <v>#Calc</v>
          </cell>
          <cell r="C157" t="e">
            <v>#DIV/0!</v>
          </cell>
          <cell r="D157" t="e">
            <v>#DIV/0!</v>
          </cell>
          <cell r="E157" t="e">
            <v>#DIV/0!</v>
          </cell>
        </row>
        <row r="158">
          <cell r="A158">
            <v>39602</v>
          </cell>
          <cell r="B158" t="str">
            <v>#Calc</v>
          </cell>
          <cell r="C158" t="e">
            <v>#DIV/0!</v>
          </cell>
          <cell r="D158" t="e">
            <v>#DIV/0!</v>
          </cell>
          <cell r="E158" t="e">
            <v>#DIV/0!</v>
          </cell>
        </row>
        <row r="159">
          <cell r="A159">
            <v>39603</v>
          </cell>
          <cell r="B159" t="str">
            <v>#Calc</v>
          </cell>
          <cell r="C159" t="e">
            <v>#DIV/0!</v>
          </cell>
          <cell r="D159" t="e">
            <v>#DIV/0!</v>
          </cell>
          <cell r="E159" t="e">
            <v>#DIV/0!</v>
          </cell>
        </row>
        <row r="160">
          <cell r="A160">
            <v>39604</v>
          </cell>
          <cell r="B160" t="str">
            <v>#Calc</v>
          </cell>
          <cell r="C160" t="e">
            <v>#DIV/0!</v>
          </cell>
          <cell r="D160" t="e">
            <v>#DIV/0!</v>
          </cell>
          <cell r="E160" t="e">
            <v>#DIV/0!</v>
          </cell>
        </row>
        <row r="161">
          <cell r="A161">
            <v>39605</v>
          </cell>
          <cell r="B161" t="str">
            <v>#Calc</v>
          </cell>
          <cell r="C161" t="e">
            <v>#DIV/0!</v>
          </cell>
          <cell r="D161" t="e">
            <v>#DIV/0!</v>
          </cell>
          <cell r="E161" t="e">
            <v>#DIV/0!</v>
          </cell>
        </row>
        <row r="162">
          <cell r="A162">
            <v>39606</v>
          </cell>
          <cell r="B162" t="str">
            <v>#Calc</v>
          </cell>
          <cell r="C162" t="e">
            <v>#DIV/0!</v>
          </cell>
          <cell r="D162" t="e">
            <v>#DIV/0!</v>
          </cell>
          <cell r="E162" t="e">
            <v>#DIV/0!</v>
          </cell>
        </row>
        <row r="163">
          <cell r="A163">
            <v>39607</v>
          </cell>
          <cell r="B163" t="str">
            <v>#Calc</v>
          </cell>
          <cell r="C163" t="e">
            <v>#DIV/0!</v>
          </cell>
          <cell r="D163" t="e">
            <v>#DIV/0!</v>
          </cell>
          <cell r="E163" t="e">
            <v>#DIV/0!</v>
          </cell>
        </row>
        <row r="164">
          <cell r="A164">
            <v>39608</v>
          </cell>
          <cell r="B164" t="str">
            <v>#Calc</v>
          </cell>
          <cell r="C164" t="e">
            <v>#DIV/0!</v>
          </cell>
          <cell r="D164" t="e">
            <v>#DIV/0!</v>
          </cell>
          <cell r="E164" t="e">
            <v>#DIV/0!</v>
          </cell>
        </row>
        <row r="165">
          <cell r="A165">
            <v>39609</v>
          </cell>
          <cell r="B165" t="str">
            <v>#Calc</v>
          </cell>
          <cell r="C165" t="e">
            <v>#DIV/0!</v>
          </cell>
          <cell r="D165" t="e">
            <v>#DIV/0!</v>
          </cell>
          <cell r="E165" t="e">
            <v>#DIV/0!</v>
          </cell>
        </row>
        <row r="166">
          <cell r="A166">
            <v>39610</v>
          </cell>
          <cell r="B166" t="str">
            <v>#Calc</v>
          </cell>
          <cell r="C166" t="e">
            <v>#DIV/0!</v>
          </cell>
          <cell r="D166" t="e">
            <v>#DIV/0!</v>
          </cell>
          <cell r="E166" t="e">
            <v>#DIV/0!</v>
          </cell>
        </row>
        <row r="167">
          <cell r="A167">
            <v>39611</v>
          </cell>
          <cell r="B167" t="str">
            <v>#Calc</v>
          </cell>
          <cell r="C167" t="e">
            <v>#DIV/0!</v>
          </cell>
          <cell r="D167" t="e">
            <v>#DIV/0!</v>
          </cell>
          <cell r="E167" t="e">
            <v>#DIV/0!</v>
          </cell>
        </row>
        <row r="168">
          <cell r="A168">
            <v>39612</v>
          </cell>
          <cell r="B168" t="str">
            <v>#Calc</v>
          </cell>
          <cell r="C168" t="e">
            <v>#DIV/0!</v>
          </cell>
          <cell r="D168" t="e">
            <v>#DIV/0!</v>
          </cell>
          <cell r="E168" t="e">
            <v>#DIV/0!</v>
          </cell>
        </row>
        <row r="169">
          <cell r="A169">
            <v>39613</v>
          </cell>
          <cell r="B169" t="str">
            <v>#Calc</v>
          </cell>
          <cell r="C169" t="e">
            <v>#DIV/0!</v>
          </cell>
          <cell r="D169" t="e">
            <v>#DIV/0!</v>
          </cell>
          <cell r="E169" t="e">
            <v>#DIV/0!</v>
          </cell>
        </row>
        <row r="170">
          <cell r="A170">
            <v>39614</v>
          </cell>
          <cell r="B170" t="str">
            <v>#Calc</v>
          </cell>
          <cell r="C170" t="e">
            <v>#DIV/0!</v>
          </cell>
          <cell r="D170" t="e">
            <v>#DIV/0!</v>
          </cell>
          <cell r="E170" t="e">
            <v>#DIV/0!</v>
          </cell>
        </row>
        <row r="171">
          <cell r="A171">
            <v>39615</v>
          </cell>
          <cell r="B171" t="str">
            <v>#Calc</v>
          </cell>
          <cell r="C171" t="e">
            <v>#DIV/0!</v>
          </cell>
          <cell r="D171" t="e">
            <v>#DIV/0!</v>
          </cell>
          <cell r="E171" t="e">
            <v>#DIV/0!</v>
          </cell>
        </row>
        <row r="172">
          <cell r="A172">
            <v>39616</v>
          </cell>
          <cell r="B172" t="str">
            <v>#Calc</v>
          </cell>
          <cell r="C172" t="e">
            <v>#DIV/0!</v>
          </cell>
          <cell r="D172" t="e">
            <v>#DIV/0!</v>
          </cell>
          <cell r="E172" t="e">
            <v>#DIV/0!</v>
          </cell>
        </row>
        <row r="173">
          <cell r="A173">
            <v>39617</v>
          </cell>
          <cell r="B173" t="str">
            <v>#Calc</v>
          </cell>
          <cell r="C173" t="e">
            <v>#DIV/0!</v>
          </cell>
          <cell r="D173" t="e">
            <v>#DIV/0!</v>
          </cell>
          <cell r="E173" t="e">
            <v>#DIV/0!</v>
          </cell>
        </row>
        <row r="174">
          <cell r="A174">
            <v>39618</v>
          </cell>
          <cell r="B174" t="str">
            <v>#Calc</v>
          </cell>
          <cell r="C174" t="e">
            <v>#DIV/0!</v>
          </cell>
          <cell r="D174" t="e">
            <v>#DIV/0!</v>
          </cell>
          <cell r="E174" t="e">
            <v>#DIV/0!</v>
          </cell>
        </row>
        <row r="175">
          <cell r="A175">
            <v>39619</v>
          </cell>
          <cell r="B175" t="str">
            <v>#Calc</v>
          </cell>
          <cell r="C175" t="e">
            <v>#DIV/0!</v>
          </cell>
          <cell r="D175" t="e">
            <v>#DIV/0!</v>
          </cell>
          <cell r="E175" t="e">
            <v>#DIV/0!</v>
          </cell>
        </row>
        <row r="176">
          <cell r="A176">
            <v>39620</v>
          </cell>
          <cell r="B176" t="str">
            <v>#Calc</v>
          </cell>
          <cell r="C176" t="e">
            <v>#DIV/0!</v>
          </cell>
          <cell r="D176" t="e">
            <v>#DIV/0!</v>
          </cell>
          <cell r="E176" t="e">
            <v>#DIV/0!</v>
          </cell>
        </row>
        <row r="177">
          <cell r="A177">
            <v>39621</v>
          </cell>
          <cell r="B177" t="str">
            <v>#Calc</v>
          </cell>
          <cell r="C177" t="e">
            <v>#DIV/0!</v>
          </cell>
          <cell r="D177" t="e">
            <v>#DIV/0!</v>
          </cell>
          <cell r="E177" t="e">
            <v>#DIV/0!</v>
          </cell>
        </row>
        <row r="178">
          <cell r="A178">
            <v>39622</v>
          </cell>
          <cell r="B178" t="str">
            <v>#Calc</v>
          </cell>
          <cell r="C178" t="e">
            <v>#DIV/0!</v>
          </cell>
          <cell r="D178" t="e">
            <v>#DIV/0!</v>
          </cell>
          <cell r="E178" t="e">
            <v>#DIV/0!</v>
          </cell>
        </row>
        <row r="179">
          <cell r="A179">
            <v>39623</v>
          </cell>
          <cell r="B179" t="str">
            <v>#Calc</v>
          </cell>
          <cell r="C179" t="e">
            <v>#DIV/0!</v>
          </cell>
          <cell r="D179" t="e">
            <v>#DIV/0!</v>
          </cell>
          <cell r="E179" t="e">
            <v>#DIV/0!</v>
          </cell>
        </row>
        <row r="180">
          <cell r="A180">
            <v>39624</v>
          </cell>
          <cell r="B180" t="str">
            <v>#Calc</v>
          </cell>
          <cell r="C180" t="e">
            <v>#DIV/0!</v>
          </cell>
          <cell r="D180" t="e">
            <v>#DIV/0!</v>
          </cell>
          <cell r="E180" t="e">
            <v>#DIV/0!</v>
          </cell>
        </row>
        <row r="181">
          <cell r="A181">
            <v>39625</v>
          </cell>
          <cell r="B181" t="str">
            <v>#Calc</v>
          </cell>
          <cell r="C181" t="e">
            <v>#DIV/0!</v>
          </cell>
          <cell r="D181" t="e">
            <v>#DIV/0!</v>
          </cell>
          <cell r="E181" t="e">
            <v>#DIV/0!</v>
          </cell>
        </row>
        <row r="182">
          <cell r="A182">
            <v>39626</v>
          </cell>
          <cell r="B182" t="str">
            <v>#Calc</v>
          </cell>
          <cell r="C182" t="e">
            <v>#DIV/0!</v>
          </cell>
          <cell r="D182" t="e">
            <v>#DIV/0!</v>
          </cell>
          <cell r="E182" t="e">
            <v>#DIV/0!</v>
          </cell>
        </row>
        <row r="183">
          <cell r="A183">
            <v>39627</v>
          </cell>
          <cell r="B183" t="str">
            <v>#Calc</v>
          </cell>
          <cell r="C183" t="e">
            <v>#DIV/0!</v>
          </cell>
          <cell r="D183" t="e">
            <v>#DIV/0!</v>
          </cell>
          <cell r="E183" t="e">
            <v>#DIV/0!</v>
          </cell>
        </row>
        <row r="184">
          <cell r="A184">
            <v>39628</v>
          </cell>
          <cell r="B184" t="str">
            <v>#Calc</v>
          </cell>
          <cell r="C184" t="e">
            <v>#DIV/0!</v>
          </cell>
          <cell r="D184" t="e">
            <v>#DIV/0!</v>
          </cell>
          <cell r="E184" t="e">
            <v>#DIV/0!</v>
          </cell>
        </row>
        <row r="185">
          <cell r="A185">
            <v>39629</v>
          </cell>
          <cell r="B185" t="str">
            <v>#Calc</v>
          </cell>
          <cell r="C185" t="e">
            <v>#DIV/0!</v>
          </cell>
          <cell r="D185" t="e">
            <v>#DIV/0!</v>
          </cell>
          <cell r="E185" t="e">
            <v>#DIV/0!</v>
          </cell>
        </row>
        <row r="186">
          <cell r="A186">
            <v>39630</v>
          </cell>
          <cell r="B186" t="str">
            <v>#Calc</v>
          </cell>
          <cell r="C186" t="e">
            <v>#DIV/0!</v>
          </cell>
          <cell r="D186" t="e">
            <v>#DIV/0!</v>
          </cell>
          <cell r="E186" t="e">
            <v>#DIV/0!</v>
          </cell>
        </row>
        <row r="187">
          <cell r="A187">
            <v>39631</v>
          </cell>
          <cell r="B187" t="str">
            <v>#Calc</v>
          </cell>
          <cell r="C187" t="e">
            <v>#DIV/0!</v>
          </cell>
          <cell r="D187" t="e">
            <v>#DIV/0!</v>
          </cell>
          <cell r="E187" t="e">
            <v>#DIV/0!</v>
          </cell>
        </row>
        <row r="188">
          <cell r="A188">
            <v>39632</v>
          </cell>
          <cell r="B188" t="str">
            <v>#Calc</v>
          </cell>
          <cell r="C188" t="e">
            <v>#DIV/0!</v>
          </cell>
          <cell r="D188" t="e">
            <v>#DIV/0!</v>
          </cell>
          <cell r="E188" t="e">
            <v>#DIV/0!</v>
          </cell>
        </row>
        <row r="189">
          <cell r="A189">
            <v>39633</v>
          </cell>
          <cell r="B189" t="str">
            <v>#Calc</v>
          </cell>
          <cell r="C189" t="e">
            <v>#DIV/0!</v>
          </cell>
          <cell r="D189" t="e">
            <v>#DIV/0!</v>
          </cell>
          <cell r="E189" t="e">
            <v>#DIV/0!</v>
          </cell>
        </row>
        <row r="190">
          <cell r="A190">
            <v>39634</v>
          </cell>
          <cell r="B190" t="str">
            <v>#Calc</v>
          </cell>
          <cell r="C190" t="e">
            <v>#DIV/0!</v>
          </cell>
          <cell r="D190" t="e">
            <v>#DIV/0!</v>
          </cell>
          <cell r="E190" t="e">
            <v>#DIV/0!</v>
          </cell>
        </row>
        <row r="191">
          <cell r="A191">
            <v>39635</v>
          </cell>
          <cell r="B191" t="str">
            <v>#Calc</v>
          </cell>
          <cell r="C191" t="e">
            <v>#DIV/0!</v>
          </cell>
          <cell r="D191" t="e">
            <v>#DIV/0!</v>
          </cell>
          <cell r="E191" t="e">
            <v>#DIV/0!</v>
          </cell>
        </row>
        <row r="192">
          <cell r="A192">
            <v>39636</v>
          </cell>
          <cell r="B192" t="str">
            <v>#Calc</v>
          </cell>
          <cell r="C192" t="e">
            <v>#DIV/0!</v>
          </cell>
          <cell r="D192" t="e">
            <v>#DIV/0!</v>
          </cell>
          <cell r="E192" t="e">
            <v>#DIV/0!</v>
          </cell>
        </row>
        <row r="193">
          <cell r="A193">
            <v>39637</v>
          </cell>
          <cell r="B193" t="str">
            <v>#Calc</v>
          </cell>
          <cell r="C193" t="e">
            <v>#DIV/0!</v>
          </cell>
          <cell r="D193" t="e">
            <v>#DIV/0!</v>
          </cell>
          <cell r="E193" t="e">
            <v>#DIV/0!</v>
          </cell>
        </row>
        <row r="194">
          <cell r="A194">
            <v>39638</v>
          </cell>
          <cell r="B194" t="str">
            <v>#Calc</v>
          </cell>
          <cell r="C194" t="e">
            <v>#DIV/0!</v>
          </cell>
          <cell r="D194" t="e">
            <v>#DIV/0!</v>
          </cell>
          <cell r="E194" t="e">
            <v>#DIV/0!</v>
          </cell>
        </row>
        <row r="195">
          <cell r="A195">
            <v>39639</v>
          </cell>
          <cell r="B195" t="str">
            <v>#Calc</v>
          </cell>
          <cell r="C195" t="e">
            <v>#DIV/0!</v>
          </cell>
          <cell r="D195" t="e">
            <v>#DIV/0!</v>
          </cell>
          <cell r="E195" t="e">
            <v>#DIV/0!</v>
          </cell>
        </row>
        <row r="196">
          <cell r="A196">
            <v>39640</v>
          </cell>
          <cell r="B196" t="str">
            <v>#Calc</v>
          </cell>
          <cell r="C196" t="e">
            <v>#DIV/0!</v>
          </cell>
          <cell r="D196" t="e">
            <v>#DIV/0!</v>
          </cell>
          <cell r="E196" t="e">
            <v>#DIV/0!</v>
          </cell>
        </row>
        <row r="197">
          <cell r="A197">
            <v>39641</v>
          </cell>
          <cell r="B197" t="str">
            <v>#Calc</v>
          </cell>
          <cell r="C197" t="e">
            <v>#DIV/0!</v>
          </cell>
          <cell r="D197" t="e">
            <v>#DIV/0!</v>
          </cell>
          <cell r="E197" t="e">
            <v>#DIV/0!</v>
          </cell>
        </row>
        <row r="198">
          <cell r="A198">
            <v>39642</v>
          </cell>
          <cell r="B198" t="str">
            <v>#Calc</v>
          </cell>
          <cell r="C198" t="e">
            <v>#DIV/0!</v>
          </cell>
          <cell r="D198" t="e">
            <v>#DIV/0!</v>
          </cell>
          <cell r="E198" t="e">
            <v>#DIV/0!</v>
          </cell>
        </row>
        <row r="199">
          <cell r="A199">
            <v>39643</v>
          </cell>
          <cell r="B199" t="str">
            <v>#Calc</v>
          </cell>
          <cell r="C199" t="e">
            <v>#DIV/0!</v>
          </cell>
          <cell r="D199" t="e">
            <v>#DIV/0!</v>
          </cell>
          <cell r="E199" t="e">
            <v>#DIV/0!</v>
          </cell>
        </row>
        <row r="200">
          <cell r="A200">
            <v>39644</v>
          </cell>
          <cell r="B200" t="str">
            <v>#Calc</v>
          </cell>
          <cell r="C200" t="e">
            <v>#DIV/0!</v>
          </cell>
          <cell r="D200" t="e">
            <v>#DIV/0!</v>
          </cell>
          <cell r="E200" t="e">
            <v>#DIV/0!</v>
          </cell>
        </row>
        <row r="201">
          <cell r="A201">
            <v>39645</v>
          </cell>
          <cell r="B201" t="str">
            <v>#Calc</v>
          </cell>
          <cell r="C201" t="e">
            <v>#DIV/0!</v>
          </cell>
          <cell r="D201" t="e">
            <v>#DIV/0!</v>
          </cell>
          <cell r="E201" t="e">
            <v>#DIV/0!</v>
          </cell>
        </row>
        <row r="202">
          <cell r="A202">
            <v>39646</v>
          </cell>
          <cell r="B202" t="str">
            <v>#Calc</v>
          </cell>
          <cell r="C202" t="e">
            <v>#DIV/0!</v>
          </cell>
          <cell r="D202" t="e">
            <v>#DIV/0!</v>
          </cell>
          <cell r="E202" t="e">
            <v>#DIV/0!</v>
          </cell>
        </row>
        <row r="203">
          <cell r="A203">
            <v>39647</v>
          </cell>
          <cell r="B203" t="str">
            <v>#Calc</v>
          </cell>
          <cell r="C203" t="e">
            <v>#DIV/0!</v>
          </cell>
          <cell r="D203" t="e">
            <v>#DIV/0!</v>
          </cell>
          <cell r="E203" t="e">
            <v>#DIV/0!</v>
          </cell>
        </row>
        <row r="204">
          <cell r="A204">
            <v>39648</v>
          </cell>
          <cell r="B204" t="str">
            <v>#Calc</v>
          </cell>
          <cell r="C204" t="e">
            <v>#DIV/0!</v>
          </cell>
          <cell r="D204" t="e">
            <v>#DIV/0!</v>
          </cell>
          <cell r="E204" t="e">
            <v>#DIV/0!</v>
          </cell>
        </row>
        <row r="205">
          <cell r="A205">
            <v>39649</v>
          </cell>
          <cell r="B205" t="str">
            <v>#Calc</v>
          </cell>
          <cell r="C205" t="e">
            <v>#DIV/0!</v>
          </cell>
          <cell r="D205" t="e">
            <v>#DIV/0!</v>
          </cell>
          <cell r="E205" t="e">
            <v>#DIV/0!</v>
          </cell>
        </row>
        <row r="206">
          <cell r="A206">
            <v>39650</v>
          </cell>
          <cell r="B206" t="str">
            <v>#Calc</v>
          </cell>
          <cell r="C206" t="e">
            <v>#DIV/0!</v>
          </cell>
          <cell r="D206" t="e">
            <v>#DIV/0!</v>
          </cell>
          <cell r="E206" t="e">
            <v>#DIV/0!</v>
          </cell>
        </row>
        <row r="207">
          <cell r="A207">
            <v>39651</v>
          </cell>
          <cell r="B207" t="str">
            <v>#Calc</v>
          </cell>
          <cell r="C207" t="e">
            <v>#DIV/0!</v>
          </cell>
          <cell r="D207" t="e">
            <v>#DIV/0!</v>
          </cell>
          <cell r="E207" t="e">
            <v>#DIV/0!</v>
          </cell>
        </row>
        <row r="208">
          <cell r="A208">
            <v>39652</v>
          </cell>
          <cell r="B208" t="str">
            <v>#Calc</v>
          </cell>
          <cell r="C208" t="e">
            <v>#DIV/0!</v>
          </cell>
          <cell r="D208" t="e">
            <v>#DIV/0!</v>
          </cell>
          <cell r="E208" t="e">
            <v>#DIV/0!</v>
          </cell>
        </row>
        <row r="209">
          <cell r="A209">
            <v>39653</v>
          </cell>
          <cell r="B209" t="str">
            <v>#Calc</v>
          </cell>
          <cell r="C209" t="e">
            <v>#DIV/0!</v>
          </cell>
          <cell r="D209" t="e">
            <v>#DIV/0!</v>
          </cell>
          <cell r="E209" t="e">
            <v>#DIV/0!</v>
          </cell>
        </row>
        <row r="210">
          <cell r="A210">
            <v>39654</v>
          </cell>
          <cell r="B210" t="str">
            <v>#Calc</v>
          </cell>
          <cell r="C210" t="e">
            <v>#DIV/0!</v>
          </cell>
          <cell r="D210" t="e">
            <v>#DIV/0!</v>
          </cell>
          <cell r="E210" t="e">
            <v>#DIV/0!</v>
          </cell>
        </row>
        <row r="211">
          <cell r="A211">
            <v>39655</v>
          </cell>
          <cell r="B211" t="str">
            <v>#Calc</v>
          </cell>
          <cell r="C211" t="e">
            <v>#DIV/0!</v>
          </cell>
          <cell r="D211" t="e">
            <v>#DIV/0!</v>
          </cell>
          <cell r="E211" t="e">
            <v>#DIV/0!</v>
          </cell>
        </row>
        <row r="212">
          <cell r="A212">
            <v>39656</v>
          </cell>
          <cell r="B212" t="str">
            <v>#Calc</v>
          </cell>
          <cell r="C212" t="e">
            <v>#DIV/0!</v>
          </cell>
          <cell r="D212" t="e">
            <v>#DIV/0!</v>
          </cell>
          <cell r="E212" t="e">
            <v>#DIV/0!</v>
          </cell>
        </row>
        <row r="213">
          <cell r="A213">
            <v>39657</v>
          </cell>
          <cell r="B213" t="str">
            <v>#Calc</v>
          </cell>
          <cell r="C213" t="e">
            <v>#DIV/0!</v>
          </cell>
          <cell r="D213" t="e">
            <v>#DIV/0!</v>
          </cell>
          <cell r="E213" t="e">
            <v>#DIV/0!</v>
          </cell>
        </row>
        <row r="214">
          <cell r="A214">
            <v>39658</v>
          </cell>
          <cell r="B214" t="str">
            <v>#Calc</v>
          </cell>
          <cell r="C214" t="e">
            <v>#DIV/0!</v>
          </cell>
          <cell r="D214" t="e">
            <v>#DIV/0!</v>
          </cell>
          <cell r="E214" t="e">
            <v>#DIV/0!</v>
          </cell>
        </row>
        <row r="215">
          <cell r="A215">
            <v>39659</v>
          </cell>
          <cell r="B215" t="str">
            <v>#Calc</v>
          </cell>
          <cell r="C215" t="e">
            <v>#DIV/0!</v>
          </cell>
          <cell r="D215" t="e">
            <v>#DIV/0!</v>
          </cell>
          <cell r="E215" t="e">
            <v>#DIV/0!</v>
          </cell>
        </row>
        <row r="216">
          <cell r="A216">
            <v>39660</v>
          </cell>
          <cell r="B216" t="str">
            <v>#Calc</v>
          </cell>
          <cell r="C216" t="e">
            <v>#DIV/0!</v>
          </cell>
          <cell r="D216" t="e">
            <v>#DIV/0!</v>
          </cell>
          <cell r="E216" t="e">
            <v>#DIV/0!</v>
          </cell>
        </row>
        <row r="217">
          <cell r="A217">
            <v>39661</v>
          </cell>
          <cell r="B217" t="str">
            <v>#Calc</v>
          </cell>
          <cell r="C217" t="e">
            <v>#DIV/0!</v>
          </cell>
          <cell r="D217" t="e">
            <v>#DIV/0!</v>
          </cell>
          <cell r="E217" t="e">
            <v>#DIV/0!</v>
          </cell>
        </row>
        <row r="218">
          <cell r="A218">
            <v>39662</v>
          </cell>
          <cell r="B218" t="str">
            <v>#Calc</v>
          </cell>
          <cell r="C218" t="e">
            <v>#DIV/0!</v>
          </cell>
          <cell r="D218" t="e">
            <v>#DIV/0!</v>
          </cell>
          <cell r="E218" t="e">
            <v>#DIV/0!</v>
          </cell>
        </row>
        <row r="219">
          <cell r="A219">
            <v>39663</v>
          </cell>
          <cell r="B219" t="str">
            <v>#Calc</v>
          </cell>
          <cell r="C219" t="e">
            <v>#DIV/0!</v>
          </cell>
          <cell r="D219" t="e">
            <v>#DIV/0!</v>
          </cell>
          <cell r="E219" t="e">
            <v>#DIV/0!</v>
          </cell>
        </row>
        <row r="220">
          <cell r="A220">
            <v>39664</v>
          </cell>
          <cell r="B220" t="str">
            <v>#Calc</v>
          </cell>
          <cell r="C220" t="e">
            <v>#DIV/0!</v>
          </cell>
          <cell r="D220" t="e">
            <v>#DIV/0!</v>
          </cell>
          <cell r="E220" t="e">
            <v>#DIV/0!</v>
          </cell>
        </row>
        <row r="221">
          <cell r="A221">
            <v>39665</v>
          </cell>
          <cell r="B221" t="str">
            <v>#Calc</v>
          </cell>
          <cell r="C221" t="e">
            <v>#DIV/0!</v>
          </cell>
          <cell r="D221" t="e">
            <v>#DIV/0!</v>
          </cell>
          <cell r="E221" t="e">
            <v>#DIV/0!</v>
          </cell>
        </row>
        <row r="222">
          <cell r="A222">
            <v>39666</v>
          </cell>
          <cell r="B222" t="str">
            <v>#Calc</v>
          </cell>
          <cell r="C222" t="e">
            <v>#DIV/0!</v>
          </cell>
          <cell r="D222" t="e">
            <v>#DIV/0!</v>
          </cell>
          <cell r="E222" t="e">
            <v>#DIV/0!</v>
          </cell>
        </row>
        <row r="223">
          <cell r="A223">
            <v>39667</v>
          </cell>
          <cell r="B223" t="str">
            <v>#Calc</v>
          </cell>
          <cell r="C223" t="e">
            <v>#DIV/0!</v>
          </cell>
          <cell r="D223" t="e">
            <v>#DIV/0!</v>
          </cell>
          <cell r="E223" t="e">
            <v>#DIV/0!</v>
          </cell>
        </row>
        <row r="224">
          <cell r="A224">
            <v>39668</v>
          </cell>
          <cell r="B224" t="str">
            <v>#Calc</v>
          </cell>
          <cell r="C224" t="e">
            <v>#DIV/0!</v>
          </cell>
          <cell r="D224" t="e">
            <v>#DIV/0!</v>
          </cell>
          <cell r="E224" t="e">
            <v>#DIV/0!</v>
          </cell>
        </row>
        <row r="225">
          <cell r="A225">
            <v>39669</v>
          </cell>
          <cell r="B225" t="str">
            <v>#Calc</v>
          </cell>
          <cell r="C225" t="e">
            <v>#DIV/0!</v>
          </cell>
          <cell r="D225" t="e">
            <v>#DIV/0!</v>
          </cell>
          <cell r="E225" t="e">
            <v>#DIV/0!</v>
          </cell>
        </row>
        <row r="226">
          <cell r="A226">
            <v>39670</v>
          </cell>
          <cell r="B226" t="str">
            <v>#Calc</v>
          </cell>
          <cell r="C226" t="e">
            <v>#DIV/0!</v>
          </cell>
          <cell r="D226" t="e">
            <v>#DIV/0!</v>
          </cell>
          <cell r="E226" t="e">
            <v>#DIV/0!</v>
          </cell>
        </row>
        <row r="227">
          <cell r="A227">
            <v>39671</v>
          </cell>
          <cell r="B227" t="str">
            <v>#Calc</v>
          </cell>
          <cell r="C227" t="e">
            <v>#DIV/0!</v>
          </cell>
          <cell r="D227" t="e">
            <v>#DIV/0!</v>
          </cell>
          <cell r="E227" t="e">
            <v>#DIV/0!</v>
          </cell>
        </row>
        <row r="228">
          <cell r="A228">
            <v>39672</v>
          </cell>
          <cell r="B228" t="str">
            <v>#Calc</v>
          </cell>
          <cell r="C228" t="e">
            <v>#DIV/0!</v>
          </cell>
          <cell r="D228" t="e">
            <v>#DIV/0!</v>
          </cell>
          <cell r="E228" t="e">
            <v>#DIV/0!</v>
          </cell>
        </row>
        <row r="229">
          <cell r="A229">
            <v>39673</v>
          </cell>
          <cell r="B229" t="str">
            <v>#Calc</v>
          </cell>
          <cell r="C229" t="e">
            <v>#DIV/0!</v>
          </cell>
          <cell r="D229" t="e">
            <v>#DIV/0!</v>
          </cell>
          <cell r="E229" t="e">
            <v>#DIV/0!</v>
          </cell>
        </row>
        <row r="230">
          <cell r="A230">
            <v>39674</v>
          </cell>
          <cell r="B230" t="str">
            <v>#Calc</v>
          </cell>
          <cell r="C230" t="e">
            <v>#DIV/0!</v>
          </cell>
          <cell r="D230" t="e">
            <v>#DIV/0!</v>
          </cell>
          <cell r="E230" t="e">
            <v>#DIV/0!</v>
          </cell>
        </row>
        <row r="231">
          <cell r="A231">
            <v>39675</v>
          </cell>
          <cell r="B231" t="str">
            <v>#Calc</v>
          </cell>
          <cell r="C231" t="e">
            <v>#DIV/0!</v>
          </cell>
          <cell r="D231" t="e">
            <v>#DIV/0!</v>
          </cell>
          <cell r="E231" t="e">
            <v>#DIV/0!</v>
          </cell>
        </row>
        <row r="232">
          <cell r="A232">
            <v>39676</v>
          </cell>
          <cell r="B232" t="str">
            <v>#Calc</v>
          </cell>
          <cell r="C232" t="e">
            <v>#DIV/0!</v>
          </cell>
          <cell r="D232" t="e">
            <v>#DIV/0!</v>
          </cell>
          <cell r="E232" t="e">
            <v>#DIV/0!</v>
          </cell>
        </row>
        <row r="233">
          <cell r="A233">
            <v>39677</v>
          </cell>
          <cell r="B233" t="str">
            <v>#Calc</v>
          </cell>
          <cell r="C233" t="e">
            <v>#DIV/0!</v>
          </cell>
          <cell r="D233" t="e">
            <v>#DIV/0!</v>
          </cell>
          <cell r="E233" t="e">
            <v>#DIV/0!</v>
          </cell>
        </row>
        <row r="234">
          <cell r="A234">
            <v>39678</v>
          </cell>
          <cell r="B234" t="str">
            <v>#Calc</v>
          </cell>
          <cell r="C234" t="e">
            <v>#DIV/0!</v>
          </cell>
          <cell r="D234" t="e">
            <v>#DIV/0!</v>
          </cell>
          <cell r="E234" t="e">
            <v>#DIV/0!</v>
          </cell>
        </row>
        <row r="235">
          <cell r="A235">
            <v>39679</v>
          </cell>
          <cell r="B235" t="str">
            <v>#Calc</v>
          </cell>
          <cell r="C235" t="e">
            <v>#DIV/0!</v>
          </cell>
          <cell r="D235" t="e">
            <v>#DIV/0!</v>
          </cell>
          <cell r="E235" t="e">
            <v>#DIV/0!</v>
          </cell>
        </row>
        <row r="236">
          <cell r="A236">
            <v>39680</v>
          </cell>
          <cell r="B236" t="str">
            <v>#Calc</v>
          </cell>
          <cell r="C236" t="e">
            <v>#DIV/0!</v>
          </cell>
          <cell r="D236" t="e">
            <v>#DIV/0!</v>
          </cell>
          <cell r="E236" t="e">
            <v>#DIV/0!</v>
          </cell>
        </row>
        <row r="237">
          <cell r="A237">
            <v>39681</v>
          </cell>
          <cell r="B237" t="str">
            <v>#Calc</v>
          </cell>
          <cell r="C237" t="e">
            <v>#DIV/0!</v>
          </cell>
          <cell r="D237" t="e">
            <v>#DIV/0!</v>
          </cell>
          <cell r="E237" t="e">
            <v>#DIV/0!</v>
          </cell>
        </row>
        <row r="238">
          <cell r="A238">
            <v>39682</v>
          </cell>
          <cell r="B238" t="str">
            <v>#Calc</v>
          </cell>
          <cell r="C238" t="e">
            <v>#DIV/0!</v>
          </cell>
          <cell r="D238" t="e">
            <v>#DIV/0!</v>
          </cell>
          <cell r="E238" t="e">
            <v>#DIV/0!</v>
          </cell>
        </row>
        <row r="239">
          <cell r="A239">
            <v>39683</v>
          </cell>
          <cell r="B239" t="str">
            <v>#Calc</v>
          </cell>
          <cell r="C239" t="e">
            <v>#DIV/0!</v>
          </cell>
          <cell r="D239" t="e">
            <v>#DIV/0!</v>
          </cell>
          <cell r="E239" t="e">
            <v>#DIV/0!</v>
          </cell>
        </row>
        <row r="240">
          <cell r="A240">
            <v>39684</v>
          </cell>
          <cell r="B240" t="str">
            <v>#Calc</v>
          </cell>
          <cell r="C240" t="e">
            <v>#DIV/0!</v>
          </cell>
          <cell r="D240" t="e">
            <v>#DIV/0!</v>
          </cell>
          <cell r="E240" t="e">
            <v>#DIV/0!</v>
          </cell>
        </row>
        <row r="241">
          <cell r="A241">
            <v>39685</v>
          </cell>
          <cell r="B241" t="str">
            <v>#Calc</v>
          </cell>
          <cell r="C241" t="e">
            <v>#DIV/0!</v>
          </cell>
          <cell r="D241" t="e">
            <v>#DIV/0!</v>
          </cell>
          <cell r="E241" t="e">
            <v>#DIV/0!</v>
          </cell>
        </row>
        <row r="242">
          <cell r="A242">
            <v>39686</v>
          </cell>
          <cell r="B242" t="str">
            <v>#Calc</v>
          </cell>
          <cell r="C242" t="e">
            <v>#DIV/0!</v>
          </cell>
          <cell r="D242" t="e">
            <v>#DIV/0!</v>
          </cell>
          <cell r="E242" t="e">
            <v>#DIV/0!</v>
          </cell>
        </row>
        <row r="243">
          <cell r="A243">
            <v>39687</v>
          </cell>
          <cell r="B243" t="str">
            <v>#Calc</v>
          </cell>
          <cell r="C243" t="e">
            <v>#DIV/0!</v>
          </cell>
          <cell r="D243" t="e">
            <v>#DIV/0!</v>
          </cell>
          <cell r="E243" t="e">
            <v>#DIV/0!</v>
          </cell>
        </row>
        <row r="244">
          <cell r="A244">
            <v>39688</v>
          </cell>
          <cell r="B244" t="str">
            <v>#Calc</v>
          </cell>
          <cell r="C244" t="e">
            <v>#DIV/0!</v>
          </cell>
          <cell r="D244" t="e">
            <v>#DIV/0!</v>
          </cell>
          <cell r="E244" t="e">
            <v>#DIV/0!</v>
          </cell>
        </row>
        <row r="245">
          <cell r="A245">
            <v>39689</v>
          </cell>
          <cell r="B245" t="str">
            <v>#Calc</v>
          </cell>
          <cell r="C245" t="e">
            <v>#DIV/0!</v>
          </cell>
          <cell r="D245" t="e">
            <v>#DIV/0!</v>
          </cell>
          <cell r="E245" t="e">
            <v>#DIV/0!</v>
          </cell>
        </row>
        <row r="246">
          <cell r="A246">
            <v>39690</v>
          </cell>
          <cell r="B246" t="str">
            <v>#Calc</v>
          </cell>
          <cell r="C246" t="e">
            <v>#DIV/0!</v>
          </cell>
          <cell r="D246" t="e">
            <v>#DIV/0!</v>
          </cell>
          <cell r="E246" t="e">
            <v>#DIV/0!</v>
          </cell>
        </row>
        <row r="247">
          <cell r="A247">
            <v>39691</v>
          </cell>
          <cell r="B247" t="str">
            <v>#Calc</v>
          </cell>
          <cell r="C247" t="e">
            <v>#DIV/0!</v>
          </cell>
          <cell r="D247" t="e">
            <v>#DIV/0!</v>
          </cell>
          <cell r="E247" t="e">
            <v>#DIV/0!</v>
          </cell>
        </row>
        <row r="248">
          <cell r="A248">
            <v>39692</v>
          </cell>
          <cell r="B248" t="str">
            <v>#Calc</v>
          </cell>
          <cell r="C248" t="e">
            <v>#DIV/0!</v>
          </cell>
          <cell r="D248" t="e">
            <v>#DIV/0!</v>
          </cell>
          <cell r="E248" t="e">
            <v>#DIV/0!</v>
          </cell>
        </row>
        <row r="249">
          <cell r="A249">
            <v>39693</v>
          </cell>
          <cell r="B249" t="str">
            <v>#Calc</v>
          </cell>
          <cell r="C249" t="e">
            <v>#DIV/0!</v>
          </cell>
          <cell r="D249" t="e">
            <v>#DIV/0!</v>
          </cell>
          <cell r="E249" t="e">
            <v>#DIV/0!</v>
          </cell>
        </row>
        <row r="250">
          <cell r="A250">
            <v>39694</v>
          </cell>
          <cell r="B250" t="str">
            <v>#Calc</v>
          </cell>
          <cell r="C250" t="e">
            <v>#DIV/0!</v>
          </cell>
          <cell r="D250" t="e">
            <v>#DIV/0!</v>
          </cell>
          <cell r="E250" t="e">
            <v>#DIV/0!</v>
          </cell>
        </row>
        <row r="251">
          <cell r="A251">
            <v>39695</v>
          </cell>
          <cell r="B251" t="str">
            <v>#Calc</v>
          </cell>
          <cell r="C251" t="e">
            <v>#DIV/0!</v>
          </cell>
          <cell r="D251" t="e">
            <v>#DIV/0!</v>
          </cell>
          <cell r="E251" t="e">
            <v>#DIV/0!</v>
          </cell>
        </row>
        <row r="252">
          <cell r="A252">
            <v>39696</v>
          </cell>
          <cell r="B252" t="str">
            <v>#Calc</v>
          </cell>
          <cell r="C252" t="e">
            <v>#DIV/0!</v>
          </cell>
          <cell r="D252" t="e">
            <v>#DIV/0!</v>
          </cell>
          <cell r="E252" t="e">
            <v>#DIV/0!</v>
          </cell>
        </row>
        <row r="253">
          <cell r="A253">
            <v>39697</v>
          </cell>
          <cell r="B253" t="str">
            <v>#Calc</v>
          </cell>
          <cell r="C253" t="e">
            <v>#DIV/0!</v>
          </cell>
          <cell r="D253" t="e">
            <v>#DIV/0!</v>
          </cell>
          <cell r="E253" t="e">
            <v>#DIV/0!</v>
          </cell>
        </row>
        <row r="254">
          <cell r="A254">
            <v>39698</v>
          </cell>
          <cell r="B254" t="str">
            <v>#Calc</v>
          </cell>
          <cell r="C254" t="e">
            <v>#DIV/0!</v>
          </cell>
          <cell r="D254" t="e">
            <v>#DIV/0!</v>
          </cell>
          <cell r="E254" t="e">
            <v>#DIV/0!</v>
          </cell>
        </row>
        <row r="255">
          <cell r="A255">
            <v>39699</v>
          </cell>
          <cell r="B255" t="str">
            <v>#Calc</v>
          </cell>
          <cell r="C255" t="e">
            <v>#DIV/0!</v>
          </cell>
          <cell r="D255" t="e">
            <v>#DIV/0!</v>
          </cell>
          <cell r="E255" t="e">
            <v>#DIV/0!</v>
          </cell>
        </row>
        <row r="256">
          <cell r="A256">
            <v>39700</v>
          </cell>
          <cell r="B256" t="str">
            <v>#Calc</v>
          </cell>
          <cell r="C256" t="e">
            <v>#DIV/0!</v>
          </cell>
          <cell r="D256" t="e">
            <v>#DIV/0!</v>
          </cell>
          <cell r="E256" t="e">
            <v>#DIV/0!</v>
          </cell>
        </row>
        <row r="257">
          <cell r="A257">
            <v>39701</v>
          </cell>
          <cell r="B257" t="str">
            <v>#Calc</v>
          </cell>
          <cell r="C257" t="e">
            <v>#DIV/0!</v>
          </cell>
          <cell r="D257" t="e">
            <v>#DIV/0!</v>
          </cell>
          <cell r="E257" t="e">
            <v>#DIV/0!</v>
          </cell>
        </row>
        <row r="258">
          <cell r="A258">
            <v>39702</v>
          </cell>
          <cell r="B258" t="str">
            <v>#Calc</v>
          </cell>
          <cell r="C258" t="e">
            <v>#DIV/0!</v>
          </cell>
          <cell r="D258" t="e">
            <v>#DIV/0!</v>
          </cell>
          <cell r="E258" t="e">
            <v>#DIV/0!</v>
          </cell>
        </row>
        <row r="259">
          <cell r="A259">
            <v>39703</v>
          </cell>
          <cell r="B259" t="str">
            <v>#Calc</v>
          </cell>
          <cell r="C259" t="e">
            <v>#DIV/0!</v>
          </cell>
          <cell r="D259" t="e">
            <v>#DIV/0!</v>
          </cell>
          <cell r="E259" t="e">
            <v>#DIV/0!</v>
          </cell>
        </row>
        <row r="260">
          <cell r="A260">
            <v>39704</v>
          </cell>
          <cell r="B260" t="str">
            <v>#Calc</v>
          </cell>
          <cell r="C260" t="e">
            <v>#DIV/0!</v>
          </cell>
          <cell r="D260" t="e">
            <v>#DIV/0!</v>
          </cell>
          <cell r="E260" t="e">
            <v>#DIV/0!</v>
          </cell>
        </row>
        <row r="261">
          <cell r="A261">
            <v>39705</v>
          </cell>
          <cell r="B261" t="str">
            <v>#Calc</v>
          </cell>
          <cell r="C261" t="e">
            <v>#DIV/0!</v>
          </cell>
          <cell r="D261" t="e">
            <v>#DIV/0!</v>
          </cell>
          <cell r="E261" t="e">
            <v>#DIV/0!</v>
          </cell>
        </row>
        <row r="262">
          <cell r="A262">
            <v>39706</v>
          </cell>
          <cell r="B262" t="str">
            <v>#Calc</v>
          </cell>
          <cell r="C262" t="e">
            <v>#DIV/0!</v>
          </cell>
          <cell r="D262" t="e">
            <v>#DIV/0!</v>
          </cell>
          <cell r="E262" t="e">
            <v>#DIV/0!</v>
          </cell>
        </row>
        <row r="263">
          <cell r="A263">
            <v>39707</v>
          </cell>
          <cell r="B263" t="str">
            <v>#Calc</v>
          </cell>
          <cell r="C263" t="e">
            <v>#DIV/0!</v>
          </cell>
          <cell r="D263" t="e">
            <v>#DIV/0!</v>
          </cell>
          <cell r="E263" t="e">
            <v>#DIV/0!</v>
          </cell>
        </row>
        <row r="264">
          <cell r="A264">
            <v>39708</v>
          </cell>
          <cell r="B264" t="str">
            <v>#Calc</v>
          </cell>
          <cell r="C264" t="e">
            <v>#DIV/0!</v>
          </cell>
          <cell r="D264" t="e">
            <v>#DIV/0!</v>
          </cell>
          <cell r="E264" t="e">
            <v>#DIV/0!</v>
          </cell>
        </row>
        <row r="265">
          <cell r="A265">
            <v>39709</v>
          </cell>
          <cell r="B265" t="str">
            <v>#Calc</v>
          </cell>
          <cell r="C265" t="e">
            <v>#DIV/0!</v>
          </cell>
          <cell r="D265" t="e">
            <v>#DIV/0!</v>
          </cell>
          <cell r="E265" t="e">
            <v>#DIV/0!</v>
          </cell>
        </row>
        <row r="266">
          <cell r="A266">
            <v>39710</v>
          </cell>
          <cell r="B266" t="str">
            <v>#Calc</v>
          </cell>
          <cell r="C266" t="e">
            <v>#DIV/0!</v>
          </cell>
          <cell r="D266" t="e">
            <v>#DIV/0!</v>
          </cell>
          <cell r="E266" t="e">
            <v>#DIV/0!</v>
          </cell>
        </row>
        <row r="267">
          <cell r="A267">
            <v>39711</v>
          </cell>
          <cell r="B267" t="str">
            <v>#Calc</v>
          </cell>
          <cell r="C267" t="e">
            <v>#DIV/0!</v>
          </cell>
          <cell r="D267" t="e">
            <v>#DIV/0!</v>
          </cell>
          <cell r="E267" t="e">
            <v>#DIV/0!</v>
          </cell>
        </row>
        <row r="268">
          <cell r="A268">
            <v>39712</v>
          </cell>
          <cell r="B268" t="str">
            <v>#Calc</v>
          </cell>
          <cell r="C268" t="e">
            <v>#DIV/0!</v>
          </cell>
          <cell r="D268" t="e">
            <v>#DIV/0!</v>
          </cell>
          <cell r="E268" t="e">
            <v>#DIV/0!</v>
          </cell>
        </row>
        <row r="269">
          <cell r="A269">
            <v>39713</v>
          </cell>
          <cell r="B269" t="str">
            <v>#Calc</v>
          </cell>
          <cell r="C269" t="e">
            <v>#DIV/0!</v>
          </cell>
          <cell r="D269" t="e">
            <v>#DIV/0!</v>
          </cell>
          <cell r="E269" t="e">
            <v>#DIV/0!</v>
          </cell>
        </row>
        <row r="270">
          <cell r="A270">
            <v>39714</v>
          </cell>
          <cell r="B270" t="str">
            <v>#Calc</v>
          </cell>
          <cell r="C270" t="e">
            <v>#DIV/0!</v>
          </cell>
          <cell r="D270" t="e">
            <v>#DIV/0!</v>
          </cell>
          <cell r="E270" t="e">
            <v>#DIV/0!</v>
          </cell>
        </row>
        <row r="271">
          <cell r="A271">
            <v>39715</v>
          </cell>
          <cell r="B271" t="str">
            <v>#Calc</v>
          </cell>
          <cell r="C271" t="e">
            <v>#DIV/0!</v>
          </cell>
          <cell r="D271" t="e">
            <v>#DIV/0!</v>
          </cell>
          <cell r="E271" t="e">
            <v>#DIV/0!</v>
          </cell>
        </row>
        <row r="272">
          <cell r="A272">
            <v>39716</v>
          </cell>
          <cell r="B272" t="str">
            <v>#Calc</v>
          </cell>
          <cell r="C272" t="e">
            <v>#DIV/0!</v>
          </cell>
          <cell r="D272" t="e">
            <v>#DIV/0!</v>
          </cell>
          <cell r="E272" t="e">
            <v>#DIV/0!</v>
          </cell>
        </row>
        <row r="273">
          <cell r="A273">
            <v>39717</v>
          </cell>
          <cell r="B273" t="str">
            <v>#Calc</v>
          </cell>
          <cell r="C273" t="e">
            <v>#DIV/0!</v>
          </cell>
          <cell r="D273" t="e">
            <v>#DIV/0!</v>
          </cell>
          <cell r="E273" t="e">
            <v>#DIV/0!</v>
          </cell>
        </row>
        <row r="274">
          <cell r="A274">
            <v>39718</v>
          </cell>
          <cell r="B274" t="str">
            <v>#Calc</v>
          </cell>
          <cell r="C274" t="e">
            <v>#DIV/0!</v>
          </cell>
          <cell r="D274" t="e">
            <v>#DIV/0!</v>
          </cell>
          <cell r="E274" t="e">
            <v>#DIV/0!</v>
          </cell>
        </row>
        <row r="275">
          <cell r="A275">
            <v>39719</v>
          </cell>
          <cell r="B275" t="str">
            <v>#Calc</v>
          </cell>
          <cell r="C275" t="e">
            <v>#DIV/0!</v>
          </cell>
          <cell r="D275" t="e">
            <v>#DIV/0!</v>
          </cell>
          <cell r="E275" t="e">
            <v>#DIV/0!</v>
          </cell>
        </row>
        <row r="276">
          <cell r="A276">
            <v>39720</v>
          </cell>
          <cell r="B276" t="str">
            <v>#Calc</v>
          </cell>
          <cell r="C276" t="e">
            <v>#DIV/0!</v>
          </cell>
          <cell r="D276" t="e">
            <v>#DIV/0!</v>
          </cell>
          <cell r="E276" t="e">
            <v>#DIV/0!</v>
          </cell>
        </row>
        <row r="277">
          <cell r="A277">
            <v>39721</v>
          </cell>
          <cell r="B277" t="str">
            <v>#Calc</v>
          </cell>
          <cell r="C277" t="e">
            <v>#DIV/0!</v>
          </cell>
          <cell r="D277" t="e">
            <v>#DIV/0!</v>
          </cell>
          <cell r="E277" t="e">
            <v>#DIV/0!</v>
          </cell>
        </row>
        <row r="278">
          <cell r="A278">
            <v>39722</v>
          </cell>
          <cell r="B278" t="str">
            <v>#Calc</v>
          </cell>
          <cell r="C278" t="e">
            <v>#DIV/0!</v>
          </cell>
          <cell r="D278" t="e">
            <v>#DIV/0!</v>
          </cell>
          <cell r="E278" t="e">
            <v>#DIV/0!</v>
          </cell>
        </row>
        <row r="279">
          <cell r="A279">
            <v>39723</v>
          </cell>
          <cell r="B279" t="str">
            <v>#Calc</v>
          </cell>
          <cell r="C279" t="e">
            <v>#DIV/0!</v>
          </cell>
          <cell r="D279" t="e">
            <v>#DIV/0!</v>
          </cell>
          <cell r="E279" t="e">
            <v>#DIV/0!</v>
          </cell>
        </row>
        <row r="280">
          <cell r="A280">
            <v>39724</v>
          </cell>
          <cell r="B280" t="str">
            <v>#Calc</v>
          </cell>
          <cell r="C280" t="e">
            <v>#DIV/0!</v>
          </cell>
          <cell r="D280" t="e">
            <v>#DIV/0!</v>
          </cell>
          <cell r="E280" t="e">
            <v>#DIV/0!</v>
          </cell>
        </row>
        <row r="281">
          <cell r="A281">
            <v>39725</v>
          </cell>
          <cell r="B281" t="str">
            <v>#Calc</v>
          </cell>
          <cell r="C281" t="e">
            <v>#DIV/0!</v>
          </cell>
          <cell r="D281" t="e">
            <v>#DIV/0!</v>
          </cell>
          <cell r="E281" t="e">
            <v>#DIV/0!</v>
          </cell>
        </row>
        <row r="282">
          <cell r="A282">
            <v>39726</v>
          </cell>
          <cell r="B282" t="str">
            <v>#Calc</v>
          </cell>
          <cell r="C282" t="e">
            <v>#DIV/0!</v>
          </cell>
          <cell r="D282" t="e">
            <v>#DIV/0!</v>
          </cell>
          <cell r="E282" t="e">
            <v>#DIV/0!</v>
          </cell>
        </row>
        <row r="283">
          <cell r="A283">
            <v>39727</v>
          </cell>
          <cell r="B283" t="str">
            <v>#Calc</v>
          </cell>
          <cell r="C283" t="e">
            <v>#DIV/0!</v>
          </cell>
          <cell r="D283" t="e">
            <v>#DIV/0!</v>
          </cell>
          <cell r="E283" t="e">
            <v>#DIV/0!</v>
          </cell>
        </row>
        <row r="284">
          <cell r="A284">
            <v>39728</v>
          </cell>
          <cell r="B284" t="str">
            <v>#Calc</v>
          </cell>
          <cell r="C284" t="e">
            <v>#DIV/0!</v>
          </cell>
          <cell r="D284" t="e">
            <v>#DIV/0!</v>
          </cell>
          <cell r="E284" t="e">
            <v>#DIV/0!</v>
          </cell>
        </row>
        <row r="285">
          <cell r="A285">
            <v>39729</v>
          </cell>
          <cell r="B285" t="str">
            <v>#Calc</v>
          </cell>
          <cell r="C285" t="e">
            <v>#DIV/0!</v>
          </cell>
          <cell r="D285" t="e">
            <v>#DIV/0!</v>
          </cell>
          <cell r="E285" t="e">
            <v>#DIV/0!</v>
          </cell>
        </row>
        <row r="286">
          <cell r="A286">
            <v>39730</v>
          </cell>
          <cell r="B286" t="str">
            <v>#Calc</v>
          </cell>
          <cell r="C286" t="e">
            <v>#DIV/0!</v>
          </cell>
          <cell r="D286" t="e">
            <v>#DIV/0!</v>
          </cell>
          <cell r="E286" t="e">
            <v>#DIV/0!</v>
          </cell>
        </row>
        <row r="287">
          <cell r="A287">
            <v>39731</v>
          </cell>
          <cell r="B287" t="str">
            <v>#Calc</v>
          </cell>
          <cell r="C287" t="e">
            <v>#DIV/0!</v>
          </cell>
          <cell r="D287" t="e">
            <v>#DIV/0!</v>
          </cell>
          <cell r="E287" t="e">
            <v>#DIV/0!</v>
          </cell>
        </row>
        <row r="288">
          <cell r="A288">
            <v>39732</v>
          </cell>
          <cell r="B288" t="str">
            <v>#Calc</v>
          </cell>
          <cell r="C288" t="e">
            <v>#DIV/0!</v>
          </cell>
          <cell r="D288" t="e">
            <v>#DIV/0!</v>
          </cell>
          <cell r="E288" t="e">
            <v>#DIV/0!</v>
          </cell>
        </row>
        <row r="289">
          <cell r="A289">
            <v>39733</v>
          </cell>
          <cell r="B289" t="str">
            <v>#Calc</v>
          </cell>
          <cell r="C289" t="e">
            <v>#DIV/0!</v>
          </cell>
          <cell r="D289" t="e">
            <v>#DIV/0!</v>
          </cell>
          <cell r="E289" t="e">
            <v>#DIV/0!</v>
          </cell>
        </row>
        <row r="290">
          <cell r="A290">
            <v>39734</v>
          </cell>
          <cell r="B290" t="str">
            <v>#Calc</v>
          </cell>
          <cell r="C290" t="e">
            <v>#DIV/0!</v>
          </cell>
          <cell r="D290" t="e">
            <v>#DIV/0!</v>
          </cell>
          <cell r="E290" t="e">
            <v>#DIV/0!</v>
          </cell>
        </row>
        <row r="291">
          <cell r="A291">
            <v>39735</v>
          </cell>
          <cell r="B291" t="str">
            <v>#Calc</v>
          </cell>
          <cell r="C291" t="e">
            <v>#DIV/0!</v>
          </cell>
          <cell r="D291" t="e">
            <v>#DIV/0!</v>
          </cell>
          <cell r="E291" t="e">
            <v>#DIV/0!</v>
          </cell>
        </row>
        <row r="292">
          <cell r="A292">
            <v>39736</v>
          </cell>
          <cell r="B292" t="str">
            <v>#Calc</v>
          </cell>
          <cell r="C292" t="e">
            <v>#DIV/0!</v>
          </cell>
          <cell r="D292" t="e">
            <v>#DIV/0!</v>
          </cell>
          <cell r="E292" t="e">
            <v>#DIV/0!</v>
          </cell>
        </row>
        <row r="293">
          <cell r="A293">
            <v>39737</v>
          </cell>
          <cell r="B293" t="str">
            <v>#Calc</v>
          </cell>
          <cell r="C293" t="e">
            <v>#DIV/0!</v>
          </cell>
          <cell r="D293" t="e">
            <v>#DIV/0!</v>
          </cell>
          <cell r="E293" t="e">
            <v>#DIV/0!</v>
          </cell>
        </row>
        <row r="294">
          <cell r="A294">
            <v>39738</v>
          </cell>
          <cell r="B294" t="str">
            <v>#Calc</v>
          </cell>
          <cell r="C294" t="e">
            <v>#DIV/0!</v>
          </cell>
          <cell r="D294" t="e">
            <v>#DIV/0!</v>
          </cell>
          <cell r="E294" t="e">
            <v>#DIV/0!</v>
          </cell>
        </row>
        <row r="295">
          <cell r="A295">
            <v>39739</v>
          </cell>
          <cell r="B295" t="str">
            <v>#Calc</v>
          </cell>
          <cell r="C295" t="e">
            <v>#DIV/0!</v>
          </cell>
          <cell r="D295" t="e">
            <v>#DIV/0!</v>
          </cell>
          <cell r="E295" t="e">
            <v>#DIV/0!</v>
          </cell>
        </row>
        <row r="296">
          <cell r="A296">
            <v>39740</v>
          </cell>
          <cell r="B296" t="str">
            <v>#Calc</v>
          </cell>
          <cell r="C296" t="e">
            <v>#DIV/0!</v>
          </cell>
          <cell r="D296" t="e">
            <v>#DIV/0!</v>
          </cell>
          <cell r="E296" t="e">
            <v>#DIV/0!</v>
          </cell>
        </row>
        <row r="297">
          <cell r="A297">
            <v>39741</v>
          </cell>
          <cell r="B297" t="str">
            <v>#Calc</v>
          </cell>
          <cell r="C297" t="e">
            <v>#DIV/0!</v>
          </cell>
          <cell r="D297" t="e">
            <v>#DIV/0!</v>
          </cell>
          <cell r="E297" t="e">
            <v>#DIV/0!</v>
          </cell>
        </row>
        <row r="298">
          <cell r="A298">
            <v>39742</v>
          </cell>
          <cell r="B298" t="str">
            <v>#Calc</v>
          </cell>
          <cell r="C298" t="e">
            <v>#DIV/0!</v>
          </cell>
          <cell r="D298" t="e">
            <v>#DIV/0!</v>
          </cell>
          <cell r="E298" t="e">
            <v>#DIV/0!</v>
          </cell>
        </row>
        <row r="299">
          <cell r="A299">
            <v>39743</v>
          </cell>
          <cell r="B299" t="str">
            <v>#Calc</v>
          </cell>
          <cell r="C299" t="e">
            <v>#DIV/0!</v>
          </cell>
          <cell r="D299" t="e">
            <v>#DIV/0!</v>
          </cell>
          <cell r="E299" t="e">
            <v>#DIV/0!</v>
          </cell>
        </row>
        <row r="300">
          <cell r="A300">
            <v>39744</v>
          </cell>
          <cell r="B300" t="str">
            <v>#Calc</v>
          </cell>
          <cell r="C300" t="e">
            <v>#DIV/0!</v>
          </cell>
          <cell r="D300" t="e">
            <v>#DIV/0!</v>
          </cell>
          <cell r="E300" t="e">
            <v>#DIV/0!</v>
          </cell>
        </row>
        <row r="301">
          <cell r="A301">
            <v>39745</v>
          </cell>
          <cell r="B301" t="str">
            <v>#Calc</v>
          </cell>
          <cell r="C301" t="e">
            <v>#DIV/0!</v>
          </cell>
          <cell r="D301" t="e">
            <v>#DIV/0!</v>
          </cell>
          <cell r="E301" t="e">
            <v>#DIV/0!</v>
          </cell>
        </row>
        <row r="302">
          <cell r="A302">
            <v>39746</v>
          </cell>
          <cell r="B302" t="str">
            <v>#Calc</v>
          </cell>
          <cell r="C302" t="e">
            <v>#DIV/0!</v>
          </cell>
          <cell r="D302" t="e">
            <v>#DIV/0!</v>
          </cell>
          <cell r="E302" t="e">
            <v>#DIV/0!</v>
          </cell>
        </row>
        <row r="303">
          <cell r="A303">
            <v>39747</v>
          </cell>
          <cell r="B303" t="str">
            <v>#Calc</v>
          </cell>
          <cell r="C303" t="e">
            <v>#DIV/0!</v>
          </cell>
          <cell r="D303" t="e">
            <v>#DIV/0!</v>
          </cell>
          <cell r="E303" t="e">
            <v>#DIV/0!</v>
          </cell>
        </row>
        <row r="304">
          <cell r="A304">
            <v>39748</v>
          </cell>
          <cell r="B304" t="str">
            <v>#Calc</v>
          </cell>
          <cell r="C304" t="e">
            <v>#DIV/0!</v>
          </cell>
          <cell r="D304" t="e">
            <v>#DIV/0!</v>
          </cell>
          <cell r="E304" t="e">
            <v>#DIV/0!</v>
          </cell>
        </row>
        <row r="305">
          <cell r="A305">
            <v>39749</v>
          </cell>
          <cell r="B305" t="str">
            <v>#Calc</v>
          </cell>
          <cell r="C305" t="e">
            <v>#DIV/0!</v>
          </cell>
          <cell r="D305" t="e">
            <v>#DIV/0!</v>
          </cell>
          <cell r="E305" t="e">
            <v>#DIV/0!</v>
          </cell>
        </row>
        <row r="306">
          <cell r="A306">
            <v>39750</v>
          </cell>
          <cell r="B306" t="str">
            <v>#Calc</v>
          </cell>
          <cell r="C306" t="e">
            <v>#DIV/0!</v>
          </cell>
          <cell r="D306" t="e">
            <v>#DIV/0!</v>
          </cell>
          <cell r="E306" t="e">
            <v>#DIV/0!</v>
          </cell>
        </row>
        <row r="307">
          <cell r="A307">
            <v>39751</v>
          </cell>
          <cell r="B307" t="str">
            <v>#Calc</v>
          </cell>
          <cell r="C307" t="e">
            <v>#DIV/0!</v>
          </cell>
          <cell r="D307" t="e">
            <v>#DIV/0!</v>
          </cell>
          <cell r="E307" t="e">
            <v>#DIV/0!</v>
          </cell>
        </row>
        <row r="308">
          <cell r="A308">
            <v>39752</v>
          </cell>
          <cell r="B308" t="str">
            <v>#Calc</v>
          </cell>
          <cell r="C308" t="e">
            <v>#DIV/0!</v>
          </cell>
          <cell r="D308" t="e">
            <v>#DIV/0!</v>
          </cell>
          <cell r="E308" t="e">
            <v>#DIV/0!</v>
          </cell>
        </row>
        <row r="309">
          <cell r="A309">
            <v>39753</v>
          </cell>
          <cell r="B309" t="str">
            <v>#Calc</v>
          </cell>
          <cell r="C309" t="e">
            <v>#DIV/0!</v>
          </cell>
          <cell r="D309" t="e">
            <v>#DIV/0!</v>
          </cell>
          <cell r="E309" t="e">
            <v>#DIV/0!</v>
          </cell>
        </row>
        <row r="310">
          <cell r="A310">
            <v>39754</v>
          </cell>
          <cell r="B310" t="str">
            <v>#Calc</v>
          </cell>
          <cell r="C310" t="e">
            <v>#DIV/0!</v>
          </cell>
          <cell r="D310" t="e">
            <v>#DIV/0!</v>
          </cell>
          <cell r="E310" t="e">
            <v>#DIV/0!</v>
          </cell>
        </row>
        <row r="311">
          <cell r="A311">
            <v>39755</v>
          </cell>
          <cell r="B311" t="str">
            <v>#Calc</v>
          </cell>
          <cell r="C311" t="e">
            <v>#DIV/0!</v>
          </cell>
          <cell r="D311" t="e">
            <v>#DIV/0!</v>
          </cell>
          <cell r="E311" t="e">
            <v>#DIV/0!</v>
          </cell>
        </row>
        <row r="312">
          <cell r="A312">
            <v>39756</v>
          </cell>
          <cell r="B312" t="str">
            <v>#Calc</v>
          </cell>
          <cell r="C312" t="e">
            <v>#DIV/0!</v>
          </cell>
          <cell r="D312" t="e">
            <v>#DIV/0!</v>
          </cell>
          <cell r="E312" t="e">
            <v>#DIV/0!</v>
          </cell>
        </row>
        <row r="313">
          <cell r="A313">
            <v>39757</v>
          </cell>
          <cell r="B313" t="str">
            <v>#Calc</v>
          </cell>
          <cell r="C313" t="e">
            <v>#DIV/0!</v>
          </cell>
          <cell r="D313" t="e">
            <v>#DIV/0!</v>
          </cell>
          <cell r="E313" t="e">
            <v>#DIV/0!</v>
          </cell>
        </row>
        <row r="314">
          <cell r="A314">
            <v>39758</v>
          </cell>
          <cell r="B314" t="str">
            <v>#Calc</v>
          </cell>
          <cell r="C314" t="e">
            <v>#DIV/0!</v>
          </cell>
          <cell r="D314" t="e">
            <v>#DIV/0!</v>
          </cell>
          <cell r="E314" t="e">
            <v>#DIV/0!</v>
          </cell>
        </row>
        <row r="315">
          <cell r="A315">
            <v>39759</v>
          </cell>
          <cell r="B315" t="str">
            <v>#Calc</v>
          </cell>
          <cell r="C315" t="e">
            <v>#DIV/0!</v>
          </cell>
          <cell r="D315" t="e">
            <v>#DIV/0!</v>
          </cell>
          <cell r="E315" t="e">
            <v>#DIV/0!</v>
          </cell>
        </row>
        <row r="316">
          <cell r="A316">
            <v>39760</v>
          </cell>
          <cell r="B316" t="str">
            <v>#Calc</v>
          </cell>
          <cell r="C316" t="e">
            <v>#DIV/0!</v>
          </cell>
          <cell r="D316" t="e">
            <v>#DIV/0!</v>
          </cell>
          <cell r="E316" t="e">
            <v>#DIV/0!</v>
          </cell>
        </row>
        <row r="317">
          <cell r="A317">
            <v>39761</v>
          </cell>
          <cell r="B317" t="str">
            <v>#Calc</v>
          </cell>
          <cell r="C317" t="e">
            <v>#DIV/0!</v>
          </cell>
          <cell r="D317" t="e">
            <v>#DIV/0!</v>
          </cell>
          <cell r="E317" t="e">
            <v>#DIV/0!</v>
          </cell>
        </row>
        <row r="318">
          <cell r="A318">
            <v>39762</v>
          </cell>
          <cell r="B318" t="str">
            <v>#Calc</v>
          </cell>
          <cell r="C318" t="e">
            <v>#DIV/0!</v>
          </cell>
          <cell r="D318" t="e">
            <v>#DIV/0!</v>
          </cell>
          <cell r="E318" t="e">
            <v>#DIV/0!</v>
          </cell>
        </row>
        <row r="319">
          <cell r="A319">
            <v>39763</v>
          </cell>
          <cell r="B319" t="str">
            <v>#Calc</v>
          </cell>
          <cell r="C319" t="e">
            <v>#DIV/0!</v>
          </cell>
          <cell r="D319" t="e">
            <v>#DIV/0!</v>
          </cell>
          <cell r="E319" t="e">
            <v>#DIV/0!</v>
          </cell>
        </row>
        <row r="320">
          <cell r="A320">
            <v>39764</v>
          </cell>
          <cell r="B320" t="str">
            <v>#Calc</v>
          </cell>
          <cell r="C320" t="e">
            <v>#DIV/0!</v>
          </cell>
          <cell r="D320" t="e">
            <v>#DIV/0!</v>
          </cell>
          <cell r="E320" t="e">
            <v>#DIV/0!</v>
          </cell>
        </row>
        <row r="321">
          <cell r="A321">
            <v>39765</v>
          </cell>
          <cell r="B321" t="str">
            <v>#Calc</v>
          </cell>
          <cell r="C321" t="e">
            <v>#DIV/0!</v>
          </cell>
          <cell r="D321" t="e">
            <v>#DIV/0!</v>
          </cell>
          <cell r="E321" t="e">
            <v>#DIV/0!</v>
          </cell>
        </row>
        <row r="322">
          <cell r="A322">
            <v>39766</v>
          </cell>
          <cell r="B322" t="str">
            <v>#Calc</v>
          </cell>
          <cell r="C322" t="e">
            <v>#DIV/0!</v>
          </cell>
          <cell r="D322" t="e">
            <v>#DIV/0!</v>
          </cell>
          <cell r="E322" t="e">
            <v>#DIV/0!</v>
          </cell>
        </row>
        <row r="323">
          <cell r="A323">
            <v>39767</v>
          </cell>
          <cell r="B323" t="str">
            <v>#Calc</v>
          </cell>
          <cell r="C323" t="e">
            <v>#DIV/0!</v>
          </cell>
          <cell r="D323" t="e">
            <v>#DIV/0!</v>
          </cell>
          <cell r="E323" t="e">
            <v>#DIV/0!</v>
          </cell>
        </row>
        <row r="324">
          <cell r="A324">
            <v>39768</v>
          </cell>
          <cell r="B324" t="str">
            <v>#Calc</v>
          </cell>
          <cell r="C324" t="e">
            <v>#DIV/0!</v>
          </cell>
          <cell r="D324" t="e">
            <v>#DIV/0!</v>
          </cell>
          <cell r="E324" t="e">
            <v>#DIV/0!</v>
          </cell>
        </row>
        <row r="325">
          <cell r="A325">
            <v>39769</v>
          </cell>
          <cell r="B325" t="str">
            <v>#Calc</v>
          </cell>
          <cell r="C325" t="e">
            <v>#DIV/0!</v>
          </cell>
          <cell r="D325" t="e">
            <v>#DIV/0!</v>
          </cell>
          <cell r="E325" t="e">
            <v>#DIV/0!</v>
          </cell>
        </row>
        <row r="326">
          <cell r="A326">
            <v>39770</v>
          </cell>
          <cell r="B326" t="str">
            <v>#Calc</v>
          </cell>
          <cell r="C326" t="e">
            <v>#DIV/0!</v>
          </cell>
          <cell r="D326" t="e">
            <v>#DIV/0!</v>
          </cell>
          <cell r="E326" t="e">
            <v>#DIV/0!</v>
          </cell>
        </row>
        <row r="327">
          <cell r="A327">
            <v>39771</v>
          </cell>
          <cell r="B327" t="str">
            <v>#Calc</v>
          </cell>
          <cell r="C327" t="e">
            <v>#DIV/0!</v>
          </cell>
          <cell r="D327" t="e">
            <v>#DIV/0!</v>
          </cell>
          <cell r="E327" t="e">
            <v>#DIV/0!</v>
          </cell>
        </row>
        <row r="328">
          <cell r="A328">
            <v>39772</v>
          </cell>
          <cell r="B328" t="str">
            <v>#Calc</v>
          </cell>
          <cell r="C328" t="e">
            <v>#DIV/0!</v>
          </cell>
          <cell r="D328" t="e">
            <v>#DIV/0!</v>
          </cell>
          <cell r="E328" t="e">
            <v>#DIV/0!</v>
          </cell>
        </row>
        <row r="329">
          <cell r="A329">
            <v>39773</v>
          </cell>
          <cell r="B329" t="str">
            <v>#Calc</v>
          </cell>
          <cell r="C329" t="e">
            <v>#DIV/0!</v>
          </cell>
          <cell r="D329" t="e">
            <v>#DIV/0!</v>
          </cell>
          <cell r="E329" t="e">
            <v>#DIV/0!</v>
          </cell>
        </row>
        <row r="330">
          <cell r="A330">
            <v>39774</v>
          </cell>
          <cell r="B330" t="str">
            <v>#Calc</v>
          </cell>
          <cell r="C330" t="e">
            <v>#DIV/0!</v>
          </cell>
          <cell r="D330" t="e">
            <v>#DIV/0!</v>
          </cell>
          <cell r="E330" t="e">
            <v>#DIV/0!</v>
          </cell>
        </row>
        <row r="331">
          <cell r="A331">
            <v>39775</v>
          </cell>
          <cell r="B331" t="str">
            <v>#Calc</v>
          </cell>
          <cell r="C331" t="e">
            <v>#DIV/0!</v>
          </cell>
          <cell r="D331" t="e">
            <v>#DIV/0!</v>
          </cell>
          <cell r="E331" t="e">
            <v>#DIV/0!</v>
          </cell>
        </row>
        <row r="332">
          <cell r="A332">
            <v>39776</v>
          </cell>
          <cell r="B332" t="str">
            <v>#Calc</v>
          </cell>
          <cell r="C332" t="e">
            <v>#DIV/0!</v>
          </cell>
          <cell r="D332" t="e">
            <v>#DIV/0!</v>
          </cell>
          <cell r="E332" t="e">
            <v>#DIV/0!</v>
          </cell>
        </row>
        <row r="333">
          <cell r="A333">
            <v>39777</v>
          </cell>
          <cell r="B333" t="str">
            <v>#Calc</v>
          </cell>
          <cell r="C333" t="e">
            <v>#DIV/0!</v>
          </cell>
          <cell r="D333" t="e">
            <v>#DIV/0!</v>
          </cell>
          <cell r="E333" t="e">
            <v>#DIV/0!</v>
          </cell>
        </row>
        <row r="334">
          <cell r="A334">
            <v>39778</v>
          </cell>
          <cell r="B334" t="str">
            <v>#Calc</v>
          </cell>
          <cell r="C334" t="e">
            <v>#DIV/0!</v>
          </cell>
          <cell r="D334" t="e">
            <v>#DIV/0!</v>
          </cell>
          <cell r="E334" t="e">
            <v>#DIV/0!</v>
          </cell>
        </row>
        <row r="335">
          <cell r="A335">
            <v>39779</v>
          </cell>
          <cell r="B335" t="str">
            <v>#Calc</v>
          </cell>
          <cell r="C335" t="e">
            <v>#DIV/0!</v>
          </cell>
          <cell r="D335" t="e">
            <v>#DIV/0!</v>
          </cell>
          <cell r="E335" t="e">
            <v>#DIV/0!</v>
          </cell>
        </row>
        <row r="336">
          <cell r="A336">
            <v>39780</v>
          </cell>
          <cell r="B336" t="str">
            <v>#Calc</v>
          </cell>
          <cell r="C336" t="e">
            <v>#DIV/0!</v>
          </cell>
          <cell r="D336" t="e">
            <v>#DIV/0!</v>
          </cell>
          <cell r="E336" t="e">
            <v>#DIV/0!</v>
          </cell>
        </row>
        <row r="337">
          <cell r="A337">
            <v>39781</v>
          </cell>
          <cell r="B337" t="str">
            <v>#Calc</v>
          </cell>
          <cell r="C337" t="e">
            <v>#DIV/0!</v>
          </cell>
          <cell r="D337" t="e">
            <v>#DIV/0!</v>
          </cell>
          <cell r="E337" t="e">
            <v>#DIV/0!</v>
          </cell>
        </row>
        <row r="338">
          <cell r="A338">
            <v>39782</v>
          </cell>
          <cell r="B338" t="str">
            <v>#Calc</v>
          </cell>
          <cell r="C338" t="e">
            <v>#DIV/0!</v>
          </cell>
          <cell r="D338" t="e">
            <v>#DIV/0!</v>
          </cell>
          <cell r="E338" t="e">
            <v>#DIV/0!</v>
          </cell>
        </row>
        <row r="339">
          <cell r="A339">
            <v>39783</v>
          </cell>
          <cell r="B339" t="str">
            <v>#Calc</v>
          </cell>
          <cell r="C339" t="e">
            <v>#DIV/0!</v>
          </cell>
          <cell r="D339" t="e">
            <v>#DIV/0!</v>
          </cell>
          <cell r="E339" t="e">
            <v>#DIV/0!</v>
          </cell>
        </row>
        <row r="340">
          <cell r="A340">
            <v>39784</v>
          </cell>
          <cell r="B340" t="str">
            <v>#Calc</v>
          </cell>
          <cell r="C340" t="e">
            <v>#DIV/0!</v>
          </cell>
          <cell r="D340" t="e">
            <v>#DIV/0!</v>
          </cell>
          <cell r="E340" t="e">
            <v>#DIV/0!</v>
          </cell>
        </row>
        <row r="341">
          <cell r="A341">
            <v>39785</v>
          </cell>
          <cell r="B341" t="str">
            <v>#Calc</v>
          </cell>
          <cell r="C341" t="e">
            <v>#DIV/0!</v>
          </cell>
          <cell r="D341" t="e">
            <v>#DIV/0!</v>
          </cell>
          <cell r="E341" t="e">
            <v>#DIV/0!</v>
          </cell>
        </row>
        <row r="342">
          <cell r="A342">
            <v>39786</v>
          </cell>
          <cell r="B342" t="str">
            <v>#Calc</v>
          </cell>
          <cell r="C342" t="e">
            <v>#DIV/0!</v>
          </cell>
          <cell r="D342" t="e">
            <v>#DIV/0!</v>
          </cell>
          <cell r="E342" t="e">
            <v>#DIV/0!</v>
          </cell>
        </row>
        <row r="343">
          <cell r="A343">
            <v>39787</v>
          </cell>
          <cell r="B343" t="str">
            <v>#Calc</v>
          </cell>
          <cell r="C343" t="e">
            <v>#DIV/0!</v>
          </cell>
          <cell r="D343" t="e">
            <v>#DIV/0!</v>
          </cell>
          <cell r="E343" t="e">
            <v>#DIV/0!</v>
          </cell>
        </row>
        <row r="344">
          <cell r="A344">
            <v>39788</v>
          </cell>
          <cell r="B344" t="str">
            <v>#Calc</v>
          </cell>
          <cell r="C344" t="e">
            <v>#DIV/0!</v>
          </cell>
          <cell r="D344" t="e">
            <v>#DIV/0!</v>
          </cell>
          <cell r="E344" t="e">
            <v>#DIV/0!</v>
          </cell>
        </row>
        <row r="345">
          <cell r="A345">
            <v>39789</v>
          </cell>
          <cell r="B345" t="str">
            <v>#Calc</v>
          </cell>
          <cell r="C345" t="e">
            <v>#DIV/0!</v>
          </cell>
          <cell r="D345" t="e">
            <v>#DIV/0!</v>
          </cell>
          <cell r="E345" t="e">
            <v>#DIV/0!</v>
          </cell>
        </row>
        <row r="346">
          <cell r="A346">
            <v>39790</v>
          </cell>
          <cell r="B346" t="str">
            <v>#Calc</v>
          </cell>
          <cell r="C346" t="e">
            <v>#DIV/0!</v>
          </cell>
          <cell r="D346" t="e">
            <v>#DIV/0!</v>
          </cell>
          <cell r="E346" t="e">
            <v>#DIV/0!</v>
          </cell>
        </row>
        <row r="347">
          <cell r="A347">
            <v>39791</v>
          </cell>
          <cell r="B347" t="str">
            <v>#Calc</v>
          </cell>
          <cell r="C347" t="e">
            <v>#DIV/0!</v>
          </cell>
          <cell r="D347" t="e">
            <v>#DIV/0!</v>
          </cell>
          <cell r="E347" t="e">
            <v>#DIV/0!</v>
          </cell>
        </row>
        <row r="348">
          <cell r="A348">
            <v>39792</v>
          </cell>
          <cell r="B348" t="str">
            <v>#Calc</v>
          </cell>
          <cell r="C348" t="e">
            <v>#DIV/0!</v>
          </cell>
          <cell r="D348" t="e">
            <v>#DIV/0!</v>
          </cell>
          <cell r="E348" t="e">
            <v>#DIV/0!</v>
          </cell>
        </row>
        <row r="349">
          <cell r="A349">
            <v>39793</v>
          </cell>
          <cell r="B349" t="str">
            <v>#Calc</v>
          </cell>
          <cell r="C349" t="e">
            <v>#DIV/0!</v>
          </cell>
          <cell r="D349" t="e">
            <v>#DIV/0!</v>
          </cell>
          <cell r="E349" t="e">
            <v>#DIV/0!</v>
          </cell>
        </row>
        <row r="350">
          <cell r="A350">
            <v>39794</v>
          </cell>
          <cell r="B350" t="str">
            <v>#Calc</v>
          </cell>
          <cell r="C350" t="e">
            <v>#DIV/0!</v>
          </cell>
          <cell r="D350" t="e">
            <v>#DIV/0!</v>
          </cell>
          <cell r="E350" t="e">
            <v>#DIV/0!</v>
          </cell>
        </row>
        <row r="351">
          <cell r="A351">
            <v>39795</v>
          </cell>
          <cell r="B351" t="str">
            <v>#Calc</v>
          </cell>
          <cell r="C351" t="e">
            <v>#DIV/0!</v>
          </cell>
          <cell r="D351" t="e">
            <v>#DIV/0!</v>
          </cell>
          <cell r="E351" t="e">
            <v>#DIV/0!</v>
          </cell>
        </row>
        <row r="352">
          <cell r="A352">
            <v>39796</v>
          </cell>
          <cell r="B352" t="str">
            <v>#Calc</v>
          </cell>
          <cell r="C352" t="e">
            <v>#DIV/0!</v>
          </cell>
          <cell r="D352" t="e">
            <v>#DIV/0!</v>
          </cell>
          <cell r="E352" t="e">
            <v>#DIV/0!</v>
          </cell>
        </row>
        <row r="353">
          <cell r="A353">
            <v>39797</v>
          </cell>
          <cell r="B353" t="str">
            <v>#Calc</v>
          </cell>
          <cell r="C353" t="e">
            <v>#DIV/0!</v>
          </cell>
          <cell r="D353" t="e">
            <v>#DIV/0!</v>
          </cell>
          <cell r="E353" t="e">
            <v>#DIV/0!</v>
          </cell>
        </row>
        <row r="354">
          <cell r="A354">
            <v>39798</v>
          </cell>
          <cell r="B354" t="str">
            <v>#Calc</v>
          </cell>
          <cell r="C354" t="e">
            <v>#DIV/0!</v>
          </cell>
          <cell r="D354" t="e">
            <v>#DIV/0!</v>
          </cell>
          <cell r="E354" t="e">
            <v>#DIV/0!</v>
          </cell>
        </row>
        <row r="355">
          <cell r="A355">
            <v>39799</v>
          </cell>
          <cell r="B355" t="str">
            <v>#Calc</v>
          </cell>
          <cell r="C355" t="e">
            <v>#DIV/0!</v>
          </cell>
          <cell r="D355" t="e">
            <v>#DIV/0!</v>
          </cell>
          <cell r="E355" t="e">
            <v>#DIV/0!</v>
          </cell>
        </row>
        <row r="356">
          <cell r="A356">
            <v>39800</v>
          </cell>
          <cell r="B356" t="str">
            <v>#Calc</v>
          </cell>
          <cell r="C356" t="e">
            <v>#DIV/0!</v>
          </cell>
          <cell r="D356" t="e">
            <v>#DIV/0!</v>
          </cell>
          <cell r="E356" t="e">
            <v>#DIV/0!</v>
          </cell>
        </row>
        <row r="357">
          <cell r="A357">
            <v>39801</v>
          </cell>
          <cell r="B357" t="str">
            <v>#Calc</v>
          </cell>
          <cell r="C357" t="e">
            <v>#DIV/0!</v>
          </cell>
          <cell r="D357" t="e">
            <v>#DIV/0!</v>
          </cell>
          <cell r="E357" t="e">
            <v>#DIV/0!</v>
          </cell>
        </row>
        <row r="358">
          <cell r="A358">
            <v>39802</v>
          </cell>
          <cell r="B358" t="str">
            <v>#Calc</v>
          </cell>
          <cell r="C358" t="e">
            <v>#DIV/0!</v>
          </cell>
          <cell r="D358" t="e">
            <v>#DIV/0!</v>
          </cell>
          <cell r="E358" t="e">
            <v>#DIV/0!</v>
          </cell>
        </row>
        <row r="359">
          <cell r="A359">
            <v>39803</v>
          </cell>
          <cell r="B359" t="str">
            <v>#Calc</v>
          </cell>
          <cell r="C359" t="e">
            <v>#DIV/0!</v>
          </cell>
          <cell r="D359" t="e">
            <v>#DIV/0!</v>
          </cell>
          <cell r="E359" t="e">
            <v>#DIV/0!</v>
          </cell>
        </row>
        <row r="360">
          <cell r="A360">
            <v>39804</v>
          </cell>
          <cell r="B360" t="str">
            <v>#Calc</v>
          </cell>
          <cell r="C360" t="e">
            <v>#DIV/0!</v>
          </cell>
          <cell r="D360" t="e">
            <v>#DIV/0!</v>
          </cell>
          <cell r="E360" t="e">
            <v>#DIV/0!</v>
          </cell>
        </row>
        <row r="361">
          <cell r="A361">
            <v>39805</v>
          </cell>
          <cell r="B361" t="str">
            <v>#Calc</v>
          </cell>
          <cell r="C361" t="e">
            <v>#DIV/0!</v>
          </cell>
          <cell r="D361" t="e">
            <v>#DIV/0!</v>
          </cell>
          <cell r="E361" t="e">
            <v>#DIV/0!</v>
          </cell>
        </row>
        <row r="362">
          <cell r="A362">
            <v>39806</v>
          </cell>
          <cell r="B362" t="str">
            <v>#Calc</v>
          </cell>
          <cell r="C362" t="e">
            <v>#DIV/0!</v>
          </cell>
          <cell r="D362" t="e">
            <v>#DIV/0!</v>
          </cell>
          <cell r="E362" t="e">
            <v>#DIV/0!</v>
          </cell>
        </row>
        <row r="363">
          <cell r="A363">
            <v>39807</v>
          </cell>
          <cell r="B363" t="str">
            <v>#Calc</v>
          </cell>
          <cell r="C363" t="e">
            <v>#DIV/0!</v>
          </cell>
          <cell r="D363" t="e">
            <v>#DIV/0!</v>
          </cell>
          <cell r="E363" t="e">
            <v>#DIV/0!</v>
          </cell>
        </row>
        <row r="364">
          <cell r="A364">
            <v>39808</v>
          </cell>
          <cell r="B364" t="str">
            <v>#Calc</v>
          </cell>
          <cell r="C364" t="e">
            <v>#DIV/0!</v>
          </cell>
          <cell r="D364" t="e">
            <v>#DIV/0!</v>
          </cell>
          <cell r="E364" t="e">
            <v>#DIV/0!</v>
          </cell>
        </row>
        <row r="365">
          <cell r="A365">
            <v>39809</v>
          </cell>
          <cell r="B365" t="str">
            <v>#Calc</v>
          </cell>
          <cell r="C365" t="e">
            <v>#DIV/0!</v>
          </cell>
          <cell r="D365" t="e">
            <v>#DIV/0!</v>
          </cell>
          <cell r="E365" t="e">
            <v>#DIV/0!</v>
          </cell>
        </row>
        <row r="366">
          <cell r="A366">
            <v>39810</v>
          </cell>
          <cell r="B366" t="str">
            <v>#Calc</v>
          </cell>
          <cell r="C366" t="e">
            <v>#DIV/0!</v>
          </cell>
          <cell r="D366" t="e">
            <v>#DIV/0!</v>
          </cell>
          <cell r="E366" t="e">
            <v>#DIV/0!</v>
          </cell>
        </row>
        <row r="367">
          <cell r="A367">
            <v>39811</v>
          </cell>
          <cell r="B367" t="str">
            <v>#Calc</v>
          </cell>
          <cell r="C367" t="e">
            <v>#DIV/0!</v>
          </cell>
          <cell r="D367" t="e">
            <v>#DIV/0!</v>
          </cell>
          <cell r="E367" t="e">
            <v>#DIV/0!</v>
          </cell>
        </row>
        <row r="368">
          <cell r="A368">
            <v>39812</v>
          </cell>
          <cell r="B368" t="str">
            <v>#Calc</v>
          </cell>
          <cell r="C368" t="e">
            <v>#DIV/0!</v>
          </cell>
          <cell r="D368" t="e">
            <v>#DIV/0!</v>
          </cell>
          <cell r="E368" t="e">
            <v>#DIV/0!</v>
          </cell>
        </row>
        <row r="369">
          <cell r="A369">
            <v>39813</v>
          </cell>
          <cell r="B369" t="str">
            <v>#Calc</v>
          </cell>
          <cell r="C369" t="e">
            <v>#DIV/0!</v>
          </cell>
          <cell r="D369" t="e">
            <v>#DIV/0!</v>
          </cell>
          <cell r="E369" t="e">
            <v>#DIV/0!</v>
          </cell>
        </row>
        <row r="370">
          <cell r="A370">
            <v>39814</v>
          </cell>
          <cell r="B370" t="str">
            <v>#Calc</v>
          </cell>
          <cell r="C370" t="e">
            <v>#DIV/0!</v>
          </cell>
          <cell r="D370" t="e">
            <v>#DIV/0!</v>
          </cell>
          <cell r="E370" t="e">
            <v>#DIV/0!</v>
          </cell>
        </row>
        <row r="371">
          <cell r="A371">
            <v>39815</v>
          </cell>
          <cell r="B371" t="str">
            <v>#Calc</v>
          </cell>
          <cell r="C371" t="e">
            <v>#DIV/0!</v>
          </cell>
          <cell r="D371" t="e">
            <v>#DIV/0!</v>
          </cell>
          <cell r="E371" t="e">
            <v>#DIV/0!</v>
          </cell>
        </row>
        <row r="372">
          <cell r="A372">
            <v>39816</v>
          </cell>
          <cell r="B372" t="str">
            <v>#Calc</v>
          </cell>
          <cell r="C372" t="e">
            <v>#DIV/0!</v>
          </cell>
          <cell r="D372" t="e">
            <v>#DIV/0!</v>
          </cell>
          <cell r="E372" t="e">
            <v>#DIV/0!</v>
          </cell>
        </row>
        <row r="373">
          <cell r="A373">
            <v>39817</v>
          </cell>
          <cell r="B373" t="str">
            <v>#Calc</v>
          </cell>
          <cell r="C373" t="e">
            <v>#DIV/0!</v>
          </cell>
          <cell r="D373" t="e">
            <v>#DIV/0!</v>
          </cell>
          <cell r="E373" t="e">
            <v>#DIV/0!</v>
          </cell>
        </row>
        <row r="374">
          <cell r="A374">
            <v>39818</v>
          </cell>
          <cell r="B374" t="str">
            <v>#Calc</v>
          </cell>
          <cell r="C374" t="e">
            <v>#DIV/0!</v>
          </cell>
          <cell r="D374" t="e">
            <v>#DIV/0!</v>
          </cell>
          <cell r="E374" t="e">
            <v>#DIV/0!</v>
          </cell>
        </row>
        <row r="375">
          <cell r="A375">
            <v>39819</v>
          </cell>
          <cell r="B375" t="str">
            <v>#Calc</v>
          </cell>
          <cell r="C375" t="e">
            <v>#DIV/0!</v>
          </cell>
          <cell r="D375" t="e">
            <v>#DIV/0!</v>
          </cell>
          <cell r="E375" t="e">
            <v>#DIV/0!</v>
          </cell>
        </row>
        <row r="376">
          <cell r="A376">
            <v>39820</v>
          </cell>
          <cell r="B376" t="str">
            <v>#Calc</v>
          </cell>
          <cell r="C376" t="e">
            <v>#DIV/0!</v>
          </cell>
          <cell r="D376" t="e">
            <v>#DIV/0!</v>
          </cell>
          <cell r="E376" t="e">
            <v>#DIV/0!</v>
          </cell>
        </row>
        <row r="377">
          <cell r="A377">
            <v>39821</v>
          </cell>
          <cell r="B377" t="str">
            <v>#Calc</v>
          </cell>
          <cell r="C377" t="e">
            <v>#DIV/0!</v>
          </cell>
          <cell r="D377" t="e">
            <v>#DIV/0!</v>
          </cell>
          <cell r="E377" t="e">
            <v>#DIV/0!</v>
          </cell>
        </row>
        <row r="378">
          <cell r="A378">
            <v>39822</v>
          </cell>
          <cell r="B378" t="str">
            <v>#Calc</v>
          </cell>
          <cell r="C378" t="e">
            <v>#DIV/0!</v>
          </cell>
          <cell r="D378" t="e">
            <v>#DIV/0!</v>
          </cell>
          <cell r="E378" t="e">
            <v>#DIV/0!</v>
          </cell>
        </row>
        <row r="379">
          <cell r="A379">
            <v>39823</v>
          </cell>
          <cell r="B379" t="str">
            <v>#Calc</v>
          </cell>
          <cell r="C379" t="e">
            <v>#DIV/0!</v>
          </cell>
          <cell r="D379" t="e">
            <v>#DIV/0!</v>
          </cell>
          <cell r="E379" t="e">
            <v>#DIV/0!</v>
          </cell>
        </row>
        <row r="380">
          <cell r="A380">
            <v>39824</v>
          </cell>
          <cell r="B380" t="str">
            <v>#Calc</v>
          </cell>
          <cell r="C380" t="e">
            <v>#DIV/0!</v>
          </cell>
          <cell r="D380" t="e">
            <v>#DIV/0!</v>
          </cell>
          <cell r="E380" t="e">
            <v>#DIV/0!</v>
          </cell>
        </row>
        <row r="381">
          <cell r="A381">
            <v>39825</v>
          </cell>
          <cell r="B381" t="str">
            <v>#Calc</v>
          </cell>
          <cell r="C381" t="e">
            <v>#DIV/0!</v>
          </cell>
          <cell r="D381" t="e">
            <v>#DIV/0!</v>
          </cell>
          <cell r="E381" t="e">
            <v>#DIV/0!</v>
          </cell>
        </row>
        <row r="382">
          <cell r="A382">
            <v>39826</v>
          </cell>
          <cell r="B382" t="str">
            <v>#Calc</v>
          </cell>
          <cell r="C382" t="e">
            <v>#DIV/0!</v>
          </cell>
          <cell r="D382" t="e">
            <v>#DIV/0!</v>
          </cell>
          <cell r="E382" t="e">
            <v>#DIV/0!</v>
          </cell>
        </row>
        <row r="383">
          <cell r="A383">
            <v>39827</v>
          </cell>
          <cell r="B383" t="str">
            <v>#Calc</v>
          </cell>
          <cell r="C383" t="e">
            <v>#DIV/0!</v>
          </cell>
          <cell r="D383" t="e">
            <v>#DIV/0!</v>
          </cell>
          <cell r="E383" t="e">
            <v>#DIV/0!</v>
          </cell>
        </row>
        <row r="384">
          <cell r="A384">
            <v>39828</v>
          </cell>
          <cell r="B384" t="str">
            <v>#Calc</v>
          </cell>
          <cell r="C384" t="e">
            <v>#DIV/0!</v>
          </cell>
          <cell r="D384" t="e">
            <v>#DIV/0!</v>
          </cell>
          <cell r="E384" t="e">
            <v>#DIV/0!</v>
          </cell>
        </row>
        <row r="385">
          <cell r="A385">
            <v>39829</v>
          </cell>
          <cell r="B385" t="str">
            <v>#Calc</v>
          </cell>
          <cell r="C385" t="e">
            <v>#DIV/0!</v>
          </cell>
          <cell r="D385" t="e">
            <v>#DIV/0!</v>
          </cell>
          <cell r="E385" t="e">
            <v>#DIV/0!</v>
          </cell>
        </row>
        <row r="386">
          <cell r="A386">
            <v>39830</v>
          </cell>
          <cell r="B386" t="str">
            <v>#Calc</v>
          </cell>
          <cell r="C386" t="e">
            <v>#DIV/0!</v>
          </cell>
          <cell r="D386" t="e">
            <v>#DIV/0!</v>
          </cell>
          <cell r="E386" t="e">
            <v>#DIV/0!</v>
          </cell>
        </row>
        <row r="387">
          <cell r="A387">
            <v>39831</v>
          </cell>
          <cell r="B387" t="str">
            <v>#Calc</v>
          </cell>
          <cell r="C387" t="e">
            <v>#DIV/0!</v>
          </cell>
          <cell r="D387" t="e">
            <v>#DIV/0!</v>
          </cell>
          <cell r="E387" t="e">
            <v>#DIV/0!</v>
          </cell>
        </row>
        <row r="388">
          <cell r="A388">
            <v>39832</v>
          </cell>
          <cell r="B388" t="str">
            <v>#Calc</v>
          </cell>
          <cell r="C388" t="e">
            <v>#DIV/0!</v>
          </cell>
          <cell r="D388" t="e">
            <v>#DIV/0!</v>
          </cell>
          <cell r="E388" t="e">
            <v>#DIV/0!</v>
          </cell>
        </row>
        <row r="389">
          <cell r="A389">
            <v>39833</v>
          </cell>
          <cell r="B389" t="str">
            <v>#Calc</v>
          </cell>
          <cell r="C389" t="e">
            <v>#DIV/0!</v>
          </cell>
          <cell r="D389" t="e">
            <v>#DIV/0!</v>
          </cell>
          <cell r="E389" t="e">
            <v>#DIV/0!</v>
          </cell>
        </row>
        <row r="390">
          <cell r="A390">
            <v>39834</v>
          </cell>
          <cell r="B390" t="str">
            <v>#Calc</v>
          </cell>
          <cell r="C390" t="e">
            <v>#DIV/0!</v>
          </cell>
          <cell r="D390" t="e">
            <v>#DIV/0!</v>
          </cell>
          <cell r="E390" t="e">
            <v>#DIV/0!</v>
          </cell>
        </row>
        <row r="391">
          <cell r="A391">
            <v>39835</v>
          </cell>
          <cell r="B391" t="str">
            <v>#Calc</v>
          </cell>
          <cell r="C391" t="e">
            <v>#DIV/0!</v>
          </cell>
          <cell r="D391" t="e">
            <v>#DIV/0!</v>
          </cell>
          <cell r="E391" t="e">
            <v>#DIV/0!</v>
          </cell>
        </row>
        <row r="392">
          <cell r="A392">
            <v>39836</v>
          </cell>
          <cell r="B392" t="str">
            <v>#Calc</v>
          </cell>
          <cell r="C392" t="e">
            <v>#DIV/0!</v>
          </cell>
          <cell r="D392" t="e">
            <v>#DIV/0!</v>
          </cell>
          <cell r="E392" t="e">
            <v>#DIV/0!</v>
          </cell>
        </row>
        <row r="393">
          <cell r="A393">
            <v>39837</v>
          </cell>
          <cell r="B393" t="str">
            <v>#Calc</v>
          </cell>
          <cell r="C393" t="e">
            <v>#DIV/0!</v>
          </cell>
          <cell r="D393" t="e">
            <v>#DIV/0!</v>
          </cell>
          <cell r="E393" t="e">
            <v>#DIV/0!</v>
          </cell>
        </row>
        <row r="394">
          <cell r="A394">
            <v>39838</v>
          </cell>
          <cell r="B394" t="str">
            <v>#Calc</v>
          </cell>
          <cell r="C394" t="e">
            <v>#DIV/0!</v>
          </cell>
          <cell r="D394" t="e">
            <v>#DIV/0!</v>
          </cell>
          <cell r="E394" t="e">
            <v>#DIV/0!</v>
          </cell>
        </row>
        <row r="395">
          <cell r="A395">
            <v>39839</v>
          </cell>
          <cell r="B395" t="str">
            <v>#Calc</v>
          </cell>
          <cell r="C395" t="e">
            <v>#DIV/0!</v>
          </cell>
          <cell r="D395" t="e">
            <v>#DIV/0!</v>
          </cell>
          <cell r="E395" t="e">
            <v>#DIV/0!</v>
          </cell>
        </row>
        <row r="396">
          <cell r="A396">
            <v>39840</v>
          </cell>
          <cell r="B396" t="str">
            <v>#Calc</v>
          </cell>
          <cell r="C396" t="e">
            <v>#DIV/0!</v>
          </cell>
          <cell r="D396" t="e">
            <v>#DIV/0!</v>
          </cell>
          <cell r="E396" t="e">
            <v>#DIV/0!</v>
          </cell>
        </row>
        <row r="397">
          <cell r="A397">
            <v>39841</v>
          </cell>
          <cell r="B397" t="str">
            <v>#Calc</v>
          </cell>
          <cell r="C397" t="e">
            <v>#DIV/0!</v>
          </cell>
          <cell r="D397" t="e">
            <v>#DIV/0!</v>
          </cell>
          <cell r="E397" t="e">
            <v>#DIV/0!</v>
          </cell>
        </row>
        <row r="398">
          <cell r="A398">
            <v>39842</v>
          </cell>
          <cell r="B398" t="str">
            <v>#Calc</v>
          </cell>
          <cell r="C398" t="e">
            <v>#DIV/0!</v>
          </cell>
          <cell r="D398" t="e">
            <v>#DIV/0!</v>
          </cell>
          <cell r="E398" t="e">
            <v>#DIV/0!</v>
          </cell>
        </row>
        <row r="399">
          <cell r="A399">
            <v>39843</v>
          </cell>
          <cell r="B399" t="str">
            <v>#Calc</v>
          </cell>
          <cell r="C399" t="e">
            <v>#DIV/0!</v>
          </cell>
          <cell r="D399" t="e">
            <v>#DIV/0!</v>
          </cell>
          <cell r="E399" t="e">
            <v>#DIV/0!</v>
          </cell>
        </row>
        <row r="400">
          <cell r="A400">
            <v>39844</v>
          </cell>
          <cell r="B400" t="str">
            <v>#Calc</v>
          </cell>
          <cell r="C400" t="e">
            <v>#DIV/0!</v>
          </cell>
          <cell r="D400" t="e">
            <v>#DIV/0!</v>
          </cell>
          <cell r="E400" t="e">
            <v>#DIV/0!</v>
          </cell>
        </row>
        <row r="401">
          <cell r="A401">
            <v>39845</v>
          </cell>
          <cell r="B401" t="str">
            <v>#Calc</v>
          </cell>
          <cell r="C401" t="e">
            <v>#DIV/0!</v>
          </cell>
          <cell r="D401" t="e">
            <v>#DIV/0!</v>
          </cell>
          <cell r="E401" t="e">
            <v>#DIV/0!</v>
          </cell>
        </row>
        <row r="402">
          <cell r="A402">
            <v>39846</v>
          </cell>
          <cell r="B402" t="str">
            <v>#Calc</v>
          </cell>
          <cell r="C402" t="e">
            <v>#DIV/0!</v>
          </cell>
          <cell r="D402" t="e">
            <v>#DIV/0!</v>
          </cell>
          <cell r="E402" t="e">
            <v>#DIV/0!</v>
          </cell>
        </row>
        <row r="403">
          <cell r="A403">
            <v>39847</v>
          </cell>
          <cell r="B403" t="str">
            <v>#Calc</v>
          </cell>
          <cell r="C403" t="e">
            <v>#DIV/0!</v>
          </cell>
          <cell r="D403" t="e">
            <v>#DIV/0!</v>
          </cell>
          <cell r="E403" t="e">
            <v>#DIV/0!</v>
          </cell>
        </row>
        <row r="404">
          <cell r="A404">
            <v>39848</v>
          </cell>
          <cell r="B404" t="str">
            <v>#Calc</v>
          </cell>
          <cell r="C404" t="e">
            <v>#DIV/0!</v>
          </cell>
          <cell r="D404" t="e">
            <v>#DIV/0!</v>
          </cell>
          <cell r="E404" t="e">
            <v>#DIV/0!</v>
          </cell>
        </row>
        <row r="405">
          <cell r="A405">
            <v>39849</v>
          </cell>
          <cell r="B405" t="str">
            <v>#Calc</v>
          </cell>
          <cell r="C405" t="e">
            <v>#DIV/0!</v>
          </cell>
          <cell r="D405" t="e">
            <v>#DIV/0!</v>
          </cell>
          <cell r="E405" t="e">
            <v>#DIV/0!</v>
          </cell>
        </row>
        <row r="406">
          <cell r="A406">
            <v>39850</v>
          </cell>
          <cell r="B406" t="str">
            <v>#Calc</v>
          </cell>
          <cell r="C406" t="e">
            <v>#DIV/0!</v>
          </cell>
          <cell r="D406" t="e">
            <v>#DIV/0!</v>
          </cell>
          <cell r="E406" t="e">
            <v>#DIV/0!</v>
          </cell>
        </row>
        <row r="407">
          <cell r="A407">
            <v>39851</v>
          </cell>
          <cell r="B407" t="str">
            <v>#Calc</v>
          </cell>
          <cell r="C407" t="e">
            <v>#DIV/0!</v>
          </cell>
          <cell r="D407" t="e">
            <v>#DIV/0!</v>
          </cell>
          <cell r="E407" t="e">
            <v>#DIV/0!</v>
          </cell>
        </row>
        <row r="408">
          <cell r="A408">
            <v>39852</v>
          </cell>
          <cell r="B408" t="str">
            <v>#Calc</v>
          </cell>
          <cell r="C408" t="e">
            <v>#DIV/0!</v>
          </cell>
          <cell r="D408" t="e">
            <v>#DIV/0!</v>
          </cell>
          <cell r="E408" t="e">
            <v>#DIV/0!</v>
          </cell>
        </row>
        <row r="409">
          <cell r="A409">
            <v>39853</v>
          </cell>
          <cell r="B409" t="str">
            <v>#Calc</v>
          </cell>
          <cell r="C409" t="e">
            <v>#DIV/0!</v>
          </cell>
          <cell r="D409" t="e">
            <v>#DIV/0!</v>
          </cell>
          <cell r="E409" t="e">
            <v>#DIV/0!</v>
          </cell>
        </row>
        <row r="410">
          <cell r="A410">
            <v>39854</v>
          </cell>
          <cell r="B410" t="str">
            <v>#Calc</v>
          </cell>
          <cell r="C410" t="e">
            <v>#DIV/0!</v>
          </cell>
          <cell r="D410" t="e">
            <v>#DIV/0!</v>
          </cell>
          <cell r="E410" t="e">
            <v>#DIV/0!</v>
          </cell>
        </row>
        <row r="411">
          <cell r="A411">
            <v>39855</v>
          </cell>
          <cell r="B411" t="str">
            <v>#Calc</v>
          </cell>
          <cell r="C411" t="e">
            <v>#DIV/0!</v>
          </cell>
          <cell r="D411" t="e">
            <v>#DIV/0!</v>
          </cell>
          <cell r="E411" t="e">
            <v>#DIV/0!</v>
          </cell>
        </row>
        <row r="412">
          <cell r="A412">
            <v>39856</v>
          </cell>
          <cell r="B412" t="str">
            <v>#Calc</v>
          </cell>
          <cell r="C412" t="e">
            <v>#DIV/0!</v>
          </cell>
          <cell r="D412" t="e">
            <v>#DIV/0!</v>
          </cell>
          <cell r="E412" t="e">
            <v>#DIV/0!</v>
          </cell>
        </row>
        <row r="413">
          <cell r="A413">
            <v>39857</v>
          </cell>
          <cell r="B413" t="str">
            <v>#Calc</v>
          </cell>
          <cell r="C413" t="e">
            <v>#DIV/0!</v>
          </cell>
          <cell r="D413" t="e">
            <v>#DIV/0!</v>
          </cell>
          <cell r="E413" t="e">
            <v>#DIV/0!</v>
          </cell>
        </row>
        <row r="414">
          <cell r="A414">
            <v>39858</v>
          </cell>
          <cell r="B414" t="str">
            <v>#Calc</v>
          </cell>
          <cell r="C414" t="e">
            <v>#DIV/0!</v>
          </cell>
          <cell r="D414" t="e">
            <v>#DIV/0!</v>
          </cell>
          <cell r="E414" t="e">
            <v>#DIV/0!</v>
          </cell>
        </row>
        <row r="415">
          <cell r="A415">
            <v>39859</v>
          </cell>
          <cell r="B415" t="str">
            <v>#Calc</v>
          </cell>
          <cell r="C415" t="e">
            <v>#DIV/0!</v>
          </cell>
          <cell r="D415" t="e">
            <v>#DIV/0!</v>
          </cell>
          <cell r="E415" t="e">
            <v>#DIV/0!</v>
          </cell>
        </row>
        <row r="416">
          <cell r="A416">
            <v>39860</v>
          </cell>
          <cell r="B416" t="str">
            <v>#Calc</v>
          </cell>
          <cell r="C416" t="e">
            <v>#DIV/0!</v>
          </cell>
          <cell r="D416" t="e">
            <v>#DIV/0!</v>
          </cell>
          <cell r="E416" t="e">
            <v>#DIV/0!</v>
          </cell>
        </row>
        <row r="417">
          <cell r="A417">
            <v>39861</v>
          </cell>
          <cell r="B417" t="str">
            <v>#Calc</v>
          </cell>
          <cell r="C417" t="e">
            <v>#DIV/0!</v>
          </cell>
          <cell r="D417" t="e">
            <v>#DIV/0!</v>
          </cell>
          <cell r="E417" t="e">
            <v>#DIV/0!</v>
          </cell>
        </row>
        <row r="418">
          <cell r="A418">
            <v>39862</v>
          </cell>
          <cell r="B418" t="str">
            <v>#Calc</v>
          </cell>
          <cell r="C418" t="e">
            <v>#DIV/0!</v>
          </cell>
          <cell r="D418" t="e">
            <v>#DIV/0!</v>
          </cell>
          <cell r="E418" t="e">
            <v>#DIV/0!</v>
          </cell>
        </row>
        <row r="419">
          <cell r="A419">
            <v>39863</v>
          </cell>
          <cell r="B419" t="str">
            <v>#Calc</v>
          </cell>
          <cell r="C419" t="e">
            <v>#DIV/0!</v>
          </cell>
          <cell r="D419" t="e">
            <v>#DIV/0!</v>
          </cell>
          <cell r="E419" t="e">
            <v>#DIV/0!</v>
          </cell>
        </row>
        <row r="420">
          <cell r="A420">
            <v>39864</v>
          </cell>
          <cell r="B420" t="str">
            <v>#Calc</v>
          </cell>
          <cell r="C420" t="e">
            <v>#DIV/0!</v>
          </cell>
          <cell r="D420" t="e">
            <v>#DIV/0!</v>
          </cell>
          <cell r="E420" t="e">
            <v>#DIV/0!</v>
          </cell>
        </row>
        <row r="421">
          <cell r="A421">
            <v>39865</v>
          </cell>
          <cell r="B421" t="str">
            <v>#Calc</v>
          </cell>
          <cell r="C421" t="e">
            <v>#DIV/0!</v>
          </cell>
          <cell r="D421" t="e">
            <v>#DIV/0!</v>
          </cell>
          <cell r="E421" t="e">
            <v>#DIV/0!</v>
          </cell>
        </row>
        <row r="422">
          <cell r="A422">
            <v>39866</v>
          </cell>
          <cell r="B422" t="str">
            <v>#Calc</v>
          </cell>
          <cell r="C422" t="e">
            <v>#DIV/0!</v>
          </cell>
          <cell r="D422" t="e">
            <v>#DIV/0!</v>
          </cell>
          <cell r="E422" t="e">
            <v>#DIV/0!</v>
          </cell>
        </row>
        <row r="423">
          <cell r="A423">
            <v>39867</v>
          </cell>
          <cell r="B423" t="str">
            <v>#Calc</v>
          </cell>
          <cell r="C423" t="e">
            <v>#DIV/0!</v>
          </cell>
          <cell r="D423" t="e">
            <v>#DIV/0!</v>
          </cell>
          <cell r="E423" t="e">
            <v>#DIV/0!</v>
          </cell>
        </row>
        <row r="424">
          <cell r="A424">
            <v>39868</v>
          </cell>
          <cell r="B424" t="str">
            <v>#Calc</v>
          </cell>
          <cell r="C424" t="e">
            <v>#DIV/0!</v>
          </cell>
          <cell r="D424" t="e">
            <v>#DIV/0!</v>
          </cell>
          <cell r="E424" t="e">
            <v>#DIV/0!</v>
          </cell>
        </row>
        <row r="425">
          <cell r="A425">
            <v>39869</v>
          </cell>
          <cell r="B425" t="str">
            <v>#Calc</v>
          </cell>
          <cell r="C425" t="e">
            <v>#DIV/0!</v>
          </cell>
          <cell r="D425" t="e">
            <v>#DIV/0!</v>
          </cell>
          <cell r="E425" t="e">
            <v>#DIV/0!</v>
          </cell>
        </row>
        <row r="426">
          <cell r="A426">
            <v>39870</v>
          </cell>
          <cell r="B426" t="str">
            <v>#Calc</v>
          </cell>
          <cell r="C426" t="e">
            <v>#DIV/0!</v>
          </cell>
          <cell r="D426" t="e">
            <v>#DIV/0!</v>
          </cell>
          <cell r="E426" t="e">
            <v>#DIV/0!</v>
          </cell>
        </row>
        <row r="427">
          <cell r="A427">
            <v>39871</v>
          </cell>
          <cell r="B427" t="str">
            <v>#Calc</v>
          </cell>
          <cell r="C427" t="e">
            <v>#DIV/0!</v>
          </cell>
          <cell r="D427" t="e">
            <v>#DIV/0!</v>
          </cell>
          <cell r="E427" t="e">
            <v>#DIV/0!</v>
          </cell>
        </row>
        <row r="428">
          <cell r="A428">
            <v>39872</v>
          </cell>
          <cell r="B428" t="str">
            <v>#Calc</v>
          </cell>
          <cell r="C428" t="e">
            <v>#DIV/0!</v>
          </cell>
          <cell r="D428" t="e">
            <v>#DIV/0!</v>
          </cell>
          <cell r="E428" t="e">
            <v>#DIV/0!</v>
          </cell>
        </row>
        <row r="429">
          <cell r="A429">
            <v>39873</v>
          </cell>
          <cell r="B429" t="str">
            <v>#Calc</v>
          </cell>
          <cell r="C429" t="e">
            <v>#DIV/0!</v>
          </cell>
          <cell r="D429" t="e">
            <v>#DIV/0!</v>
          </cell>
          <cell r="E429" t="e">
            <v>#DIV/0!</v>
          </cell>
        </row>
        <row r="430">
          <cell r="A430">
            <v>39874</v>
          </cell>
          <cell r="B430" t="str">
            <v>#Calc</v>
          </cell>
          <cell r="C430" t="e">
            <v>#DIV/0!</v>
          </cell>
          <cell r="D430" t="e">
            <v>#DIV/0!</v>
          </cell>
          <cell r="E430" t="e">
            <v>#DIV/0!</v>
          </cell>
        </row>
        <row r="431">
          <cell r="A431">
            <v>39875</v>
          </cell>
          <cell r="B431" t="str">
            <v>#Calc</v>
          </cell>
          <cell r="C431" t="e">
            <v>#DIV/0!</v>
          </cell>
          <cell r="D431" t="e">
            <v>#DIV/0!</v>
          </cell>
          <cell r="E431" t="e">
            <v>#DIV/0!</v>
          </cell>
        </row>
        <row r="432">
          <cell r="A432">
            <v>39876</v>
          </cell>
          <cell r="B432" t="str">
            <v>#Calc</v>
          </cell>
          <cell r="C432" t="e">
            <v>#DIV/0!</v>
          </cell>
          <cell r="D432" t="e">
            <v>#DIV/0!</v>
          </cell>
          <cell r="E432" t="e">
            <v>#DIV/0!</v>
          </cell>
        </row>
        <row r="433">
          <cell r="A433">
            <v>39877</v>
          </cell>
          <cell r="B433" t="str">
            <v>#Calc</v>
          </cell>
          <cell r="C433" t="e">
            <v>#DIV/0!</v>
          </cell>
          <cell r="D433" t="e">
            <v>#DIV/0!</v>
          </cell>
          <cell r="E433" t="e">
            <v>#DIV/0!</v>
          </cell>
        </row>
        <row r="434">
          <cell r="A434">
            <v>39878</v>
          </cell>
          <cell r="B434" t="str">
            <v>#Calc</v>
          </cell>
          <cell r="C434" t="e">
            <v>#DIV/0!</v>
          </cell>
          <cell r="D434" t="e">
            <v>#DIV/0!</v>
          </cell>
          <cell r="E434" t="e">
            <v>#DIV/0!</v>
          </cell>
        </row>
        <row r="435">
          <cell r="A435">
            <v>39879</v>
          </cell>
          <cell r="B435" t="str">
            <v>#Calc</v>
          </cell>
          <cell r="C435" t="e">
            <v>#DIV/0!</v>
          </cell>
          <cell r="D435" t="e">
            <v>#DIV/0!</v>
          </cell>
          <cell r="E435" t="e">
            <v>#DIV/0!</v>
          </cell>
        </row>
        <row r="436">
          <cell r="A436">
            <v>39880</v>
          </cell>
          <cell r="B436" t="str">
            <v>#Calc</v>
          </cell>
          <cell r="C436" t="e">
            <v>#DIV/0!</v>
          </cell>
          <cell r="D436" t="e">
            <v>#DIV/0!</v>
          </cell>
          <cell r="E436" t="e">
            <v>#DIV/0!</v>
          </cell>
        </row>
        <row r="437">
          <cell r="A437">
            <v>39881</v>
          </cell>
          <cell r="B437" t="str">
            <v>#Calc</v>
          </cell>
          <cell r="C437" t="e">
            <v>#DIV/0!</v>
          </cell>
          <cell r="D437" t="e">
            <v>#DIV/0!</v>
          </cell>
          <cell r="E437" t="e">
            <v>#DIV/0!</v>
          </cell>
        </row>
        <row r="438">
          <cell r="A438">
            <v>39882</v>
          </cell>
          <cell r="B438" t="str">
            <v>#Calc</v>
          </cell>
          <cell r="C438" t="e">
            <v>#DIV/0!</v>
          </cell>
          <cell r="D438" t="e">
            <v>#DIV/0!</v>
          </cell>
          <cell r="E438" t="e">
            <v>#DIV/0!</v>
          </cell>
        </row>
        <row r="439">
          <cell r="A439">
            <v>39883</v>
          </cell>
          <cell r="B439" t="str">
            <v>#Calc</v>
          </cell>
          <cell r="C439" t="e">
            <v>#DIV/0!</v>
          </cell>
          <cell r="D439" t="e">
            <v>#DIV/0!</v>
          </cell>
          <cell r="E439" t="e">
            <v>#DIV/0!</v>
          </cell>
        </row>
        <row r="440">
          <cell r="A440">
            <v>39884</v>
          </cell>
          <cell r="B440" t="str">
            <v>#Calc</v>
          </cell>
          <cell r="C440" t="e">
            <v>#DIV/0!</v>
          </cell>
          <cell r="D440" t="e">
            <v>#DIV/0!</v>
          </cell>
          <cell r="E440" t="e">
            <v>#DIV/0!</v>
          </cell>
        </row>
        <row r="441">
          <cell r="A441">
            <v>39885</v>
          </cell>
          <cell r="B441" t="str">
            <v>#Calc</v>
          </cell>
          <cell r="C441" t="e">
            <v>#DIV/0!</v>
          </cell>
          <cell r="D441" t="e">
            <v>#DIV/0!</v>
          </cell>
          <cell r="E441" t="e">
            <v>#DIV/0!</v>
          </cell>
        </row>
        <row r="442">
          <cell r="A442">
            <v>39886</v>
          </cell>
          <cell r="B442" t="str">
            <v>#Calc</v>
          </cell>
          <cell r="C442" t="e">
            <v>#DIV/0!</v>
          </cell>
          <cell r="D442" t="e">
            <v>#DIV/0!</v>
          </cell>
          <cell r="E442" t="e">
            <v>#DIV/0!</v>
          </cell>
        </row>
        <row r="443">
          <cell r="A443">
            <v>39887</v>
          </cell>
          <cell r="B443" t="str">
            <v>#Calc</v>
          </cell>
          <cell r="C443" t="e">
            <v>#DIV/0!</v>
          </cell>
          <cell r="D443" t="e">
            <v>#DIV/0!</v>
          </cell>
          <cell r="E443" t="e">
            <v>#DIV/0!</v>
          </cell>
        </row>
        <row r="444">
          <cell r="A444">
            <v>39888</v>
          </cell>
          <cell r="B444" t="str">
            <v>#Calc</v>
          </cell>
          <cell r="C444" t="e">
            <v>#DIV/0!</v>
          </cell>
          <cell r="D444" t="e">
            <v>#DIV/0!</v>
          </cell>
          <cell r="E444" t="e">
            <v>#DIV/0!</v>
          </cell>
        </row>
        <row r="445">
          <cell r="A445">
            <v>39889</v>
          </cell>
          <cell r="B445" t="str">
            <v>#Calc</v>
          </cell>
          <cell r="C445" t="e">
            <v>#DIV/0!</v>
          </cell>
          <cell r="D445" t="e">
            <v>#DIV/0!</v>
          </cell>
          <cell r="E445" t="e">
            <v>#DIV/0!</v>
          </cell>
        </row>
        <row r="446">
          <cell r="A446">
            <v>39890</v>
          </cell>
          <cell r="B446" t="str">
            <v>#Calc</v>
          </cell>
          <cell r="C446" t="e">
            <v>#DIV/0!</v>
          </cell>
          <cell r="D446" t="e">
            <v>#DIV/0!</v>
          </cell>
          <cell r="E446" t="e">
            <v>#DIV/0!</v>
          </cell>
        </row>
        <row r="447">
          <cell r="A447">
            <v>39891</v>
          </cell>
          <cell r="B447" t="str">
            <v>#Calc</v>
          </cell>
          <cell r="C447" t="e">
            <v>#DIV/0!</v>
          </cell>
          <cell r="D447" t="e">
            <v>#DIV/0!</v>
          </cell>
          <cell r="E447" t="e">
            <v>#DIV/0!</v>
          </cell>
        </row>
        <row r="448">
          <cell r="A448">
            <v>39892</v>
          </cell>
          <cell r="B448" t="str">
            <v>#Calc</v>
          </cell>
          <cell r="C448" t="e">
            <v>#DIV/0!</v>
          </cell>
          <cell r="D448" t="e">
            <v>#DIV/0!</v>
          </cell>
          <cell r="E448" t="e">
            <v>#DIV/0!</v>
          </cell>
        </row>
        <row r="449">
          <cell r="A449">
            <v>39893</v>
          </cell>
          <cell r="B449" t="str">
            <v>#Calc</v>
          </cell>
          <cell r="C449" t="e">
            <v>#DIV/0!</v>
          </cell>
          <cell r="D449" t="e">
            <v>#DIV/0!</v>
          </cell>
          <cell r="E449" t="e">
            <v>#DIV/0!</v>
          </cell>
        </row>
        <row r="450">
          <cell r="A450">
            <v>39894</v>
          </cell>
          <cell r="B450" t="str">
            <v>#Calc</v>
          </cell>
          <cell r="C450" t="e">
            <v>#DIV/0!</v>
          </cell>
          <cell r="D450" t="e">
            <v>#DIV/0!</v>
          </cell>
          <cell r="E450" t="e">
            <v>#DIV/0!</v>
          </cell>
        </row>
        <row r="451">
          <cell r="A451">
            <v>39895</v>
          </cell>
          <cell r="B451" t="str">
            <v>#Calc</v>
          </cell>
          <cell r="C451" t="e">
            <v>#DIV/0!</v>
          </cell>
          <cell r="D451" t="e">
            <v>#DIV/0!</v>
          </cell>
          <cell r="E451" t="e">
            <v>#DIV/0!</v>
          </cell>
        </row>
        <row r="452">
          <cell r="A452">
            <v>39896</v>
          </cell>
          <cell r="B452" t="str">
            <v>#Calc</v>
          </cell>
          <cell r="C452" t="e">
            <v>#DIV/0!</v>
          </cell>
          <cell r="D452" t="e">
            <v>#DIV/0!</v>
          </cell>
          <cell r="E452" t="e">
            <v>#DIV/0!</v>
          </cell>
        </row>
        <row r="453">
          <cell r="A453">
            <v>39897</v>
          </cell>
          <cell r="B453" t="str">
            <v>#Calc</v>
          </cell>
          <cell r="C453" t="e">
            <v>#DIV/0!</v>
          </cell>
          <cell r="D453" t="e">
            <v>#DIV/0!</v>
          </cell>
          <cell r="E453" t="e">
            <v>#DIV/0!</v>
          </cell>
        </row>
        <row r="454">
          <cell r="A454">
            <v>39898</v>
          </cell>
          <cell r="B454" t="str">
            <v>#Calc</v>
          </cell>
          <cell r="C454" t="e">
            <v>#DIV/0!</v>
          </cell>
          <cell r="D454" t="e">
            <v>#DIV/0!</v>
          </cell>
          <cell r="E454" t="e">
            <v>#DIV/0!</v>
          </cell>
        </row>
        <row r="455">
          <cell r="A455">
            <v>39899</v>
          </cell>
          <cell r="B455" t="str">
            <v>#Calc</v>
          </cell>
          <cell r="C455" t="e">
            <v>#DIV/0!</v>
          </cell>
          <cell r="D455" t="e">
            <v>#DIV/0!</v>
          </cell>
          <cell r="E455" t="e">
            <v>#DIV/0!</v>
          </cell>
        </row>
        <row r="456">
          <cell r="A456">
            <v>39900</v>
          </cell>
          <cell r="B456" t="str">
            <v>#Calc</v>
          </cell>
          <cell r="C456" t="e">
            <v>#DIV/0!</v>
          </cell>
          <cell r="D456" t="e">
            <v>#DIV/0!</v>
          </cell>
          <cell r="E456" t="e">
            <v>#DIV/0!</v>
          </cell>
        </row>
        <row r="457">
          <cell r="A457">
            <v>39901</v>
          </cell>
          <cell r="B457" t="str">
            <v>#Calc</v>
          </cell>
          <cell r="C457" t="e">
            <v>#DIV/0!</v>
          </cell>
          <cell r="D457" t="e">
            <v>#DIV/0!</v>
          </cell>
          <cell r="E457" t="e">
            <v>#DIV/0!</v>
          </cell>
        </row>
        <row r="458">
          <cell r="A458">
            <v>39902</v>
          </cell>
          <cell r="B458" t="str">
            <v>#Calc</v>
          </cell>
          <cell r="C458" t="e">
            <v>#DIV/0!</v>
          </cell>
          <cell r="D458" t="e">
            <v>#DIV/0!</v>
          </cell>
          <cell r="E458" t="e">
            <v>#DIV/0!</v>
          </cell>
        </row>
        <row r="459">
          <cell r="A459">
            <v>39903</v>
          </cell>
          <cell r="B459" t="str">
            <v>#Calc</v>
          </cell>
          <cell r="C459" t="e">
            <v>#DIV/0!</v>
          </cell>
          <cell r="D459" t="e">
            <v>#DIV/0!</v>
          </cell>
          <cell r="E459" t="e">
            <v>#DIV/0!</v>
          </cell>
        </row>
        <row r="460">
          <cell r="A460">
            <v>39904</v>
          </cell>
          <cell r="B460" t="str">
            <v>#Calc</v>
          </cell>
          <cell r="C460" t="e">
            <v>#DIV/0!</v>
          </cell>
          <cell r="D460" t="e">
            <v>#DIV/0!</v>
          </cell>
          <cell r="E460" t="e">
            <v>#DIV/0!</v>
          </cell>
        </row>
        <row r="461">
          <cell r="A461">
            <v>39905</v>
          </cell>
          <cell r="B461" t="str">
            <v>#Calc</v>
          </cell>
          <cell r="C461" t="e">
            <v>#DIV/0!</v>
          </cell>
          <cell r="D461" t="e">
            <v>#DIV/0!</v>
          </cell>
          <cell r="E461" t="e">
            <v>#DIV/0!</v>
          </cell>
        </row>
        <row r="462">
          <cell r="A462">
            <v>39906</v>
          </cell>
          <cell r="B462" t="str">
            <v>#Calc</v>
          </cell>
          <cell r="C462" t="e">
            <v>#DIV/0!</v>
          </cell>
          <cell r="D462" t="e">
            <v>#DIV/0!</v>
          </cell>
          <cell r="E462" t="e">
            <v>#DIV/0!</v>
          </cell>
        </row>
        <row r="463">
          <cell r="A463">
            <v>39907</v>
          </cell>
          <cell r="B463" t="str">
            <v>#Calc</v>
          </cell>
          <cell r="C463" t="e">
            <v>#DIV/0!</v>
          </cell>
          <cell r="D463" t="e">
            <v>#DIV/0!</v>
          </cell>
          <cell r="E463" t="e">
            <v>#DIV/0!</v>
          </cell>
        </row>
        <row r="464">
          <cell r="A464">
            <v>39908</v>
          </cell>
          <cell r="B464" t="str">
            <v>#Calc</v>
          </cell>
          <cell r="C464" t="e">
            <v>#DIV/0!</v>
          </cell>
          <cell r="D464" t="e">
            <v>#DIV/0!</v>
          </cell>
          <cell r="E464" t="e">
            <v>#DIV/0!</v>
          </cell>
        </row>
        <row r="465">
          <cell r="A465">
            <v>39909</v>
          </cell>
          <cell r="B465" t="str">
            <v>#Calc</v>
          </cell>
          <cell r="C465" t="e">
            <v>#DIV/0!</v>
          </cell>
          <cell r="D465" t="e">
            <v>#DIV/0!</v>
          </cell>
          <cell r="E465" t="e">
            <v>#DIV/0!</v>
          </cell>
        </row>
        <row r="466">
          <cell r="A466">
            <v>39910</v>
          </cell>
          <cell r="B466" t="str">
            <v>#Calc</v>
          </cell>
          <cell r="C466" t="e">
            <v>#DIV/0!</v>
          </cell>
          <cell r="D466" t="e">
            <v>#DIV/0!</v>
          </cell>
          <cell r="E466" t="e">
            <v>#DIV/0!</v>
          </cell>
        </row>
        <row r="467">
          <cell r="A467">
            <v>39911</v>
          </cell>
          <cell r="B467" t="str">
            <v>#Calc</v>
          </cell>
          <cell r="C467" t="e">
            <v>#DIV/0!</v>
          </cell>
          <cell r="D467" t="e">
            <v>#DIV/0!</v>
          </cell>
          <cell r="E467" t="e">
            <v>#DIV/0!</v>
          </cell>
        </row>
        <row r="468">
          <cell r="A468">
            <v>39912</v>
          </cell>
          <cell r="B468" t="str">
            <v>#Calc</v>
          </cell>
          <cell r="C468" t="e">
            <v>#DIV/0!</v>
          </cell>
          <cell r="D468" t="e">
            <v>#DIV/0!</v>
          </cell>
          <cell r="E468" t="e">
            <v>#DIV/0!</v>
          </cell>
        </row>
        <row r="469">
          <cell r="A469">
            <v>39913</v>
          </cell>
          <cell r="B469" t="str">
            <v>#Calc</v>
          </cell>
          <cell r="C469" t="e">
            <v>#DIV/0!</v>
          </cell>
          <cell r="D469" t="e">
            <v>#DIV/0!</v>
          </cell>
          <cell r="E469" t="e">
            <v>#DIV/0!</v>
          </cell>
        </row>
        <row r="470">
          <cell r="A470">
            <v>39914</v>
          </cell>
          <cell r="B470" t="str">
            <v>#Calc</v>
          </cell>
          <cell r="C470" t="e">
            <v>#DIV/0!</v>
          </cell>
          <cell r="D470" t="e">
            <v>#DIV/0!</v>
          </cell>
          <cell r="E470" t="e">
            <v>#DIV/0!</v>
          </cell>
        </row>
        <row r="471">
          <cell r="A471">
            <v>39915</v>
          </cell>
          <cell r="B471" t="str">
            <v>#Calc</v>
          </cell>
          <cell r="C471" t="e">
            <v>#DIV/0!</v>
          </cell>
          <cell r="D471" t="e">
            <v>#DIV/0!</v>
          </cell>
          <cell r="E471" t="e">
            <v>#DIV/0!</v>
          </cell>
        </row>
        <row r="472">
          <cell r="A472">
            <v>39916</v>
          </cell>
          <cell r="B472" t="str">
            <v>#Calc</v>
          </cell>
          <cell r="C472" t="e">
            <v>#DIV/0!</v>
          </cell>
          <cell r="D472" t="e">
            <v>#DIV/0!</v>
          </cell>
          <cell r="E472" t="e">
            <v>#DIV/0!</v>
          </cell>
        </row>
        <row r="473">
          <cell r="A473">
            <v>39917</v>
          </cell>
          <cell r="B473" t="str">
            <v>#Calc</v>
          </cell>
          <cell r="C473" t="e">
            <v>#DIV/0!</v>
          </cell>
          <cell r="D473" t="e">
            <v>#DIV/0!</v>
          </cell>
          <cell r="E473" t="e">
            <v>#DIV/0!</v>
          </cell>
        </row>
        <row r="474">
          <cell r="A474">
            <v>39918</v>
          </cell>
          <cell r="B474" t="str">
            <v>#Calc</v>
          </cell>
          <cell r="C474" t="e">
            <v>#DIV/0!</v>
          </cell>
          <cell r="D474" t="e">
            <v>#DIV/0!</v>
          </cell>
          <cell r="E474" t="e">
            <v>#DIV/0!</v>
          </cell>
        </row>
        <row r="475">
          <cell r="A475">
            <v>39919</v>
          </cell>
          <cell r="B475" t="str">
            <v>#Calc</v>
          </cell>
          <cell r="C475" t="e">
            <v>#DIV/0!</v>
          </cell>
          <cell r="D475" t="e">
            <v>#DIV/0!</v>
          </cell>
          <cell r="E475" t="e">
            <v>#DIV/0!</v>
          </cell>
        </row>
        <row r="476">
          <cell r="A476">
            <v>39920</v>
          </cell>
          <cell r="B476" t="str">
            <v>#Calc</v>
          </cell>
          <cell r="C476" t="e">
            <v>#DIV/0!</v>
          </cell>
          <cell r="D476" t="e">
            <v>#DIV/0!</v>
          </cell>
          <cell r="E476" t="e">
            <v>#DIV/0!</v>
          </cell>
        </row>
        <row r="477">
          <cell r="A477">
            <v>39921</v>
          </cell>
          <cell r="B477" t="str">
            <v>#Calc</v>
          </cell>
          <cell r="C477" t="e">
            <v>#DIV/0!</v>
          </cell>
          <cell r="D477" t="e">
            <v>#DIV/0!</v>
          </cell>
          <cell r="E477" t="e">
            <v>#DIV/0!</v>
          </cell>
        </row>
        <row r="478">
          <cell r="A478">
            <v>39922</v>
          </cell>
          <cell r="B478" t="str">
            <v>#Calc</v>
          </cell>
          <cell r="C478" t="e">
            <v>#DIV/0!</v>
          </cell>
          <cell r="D478" t="e">
            <v>#DIV/0!</v>
          </cell>
          <cell r="E478" t="e">
            <v>#DIV/0!</v>
          </cell>
        </row>
        <row r="479">
          <cell r="A479">
            <v>39923</v>
          </cell>
          <cell r="B479" t="str">
            <v>#Calc</v>
          </cell>
          <cell r="C479" t="e">
            <v>#DIV/0!</v>
          </cell>
          <cell r="D479" t="e">
            <v>#DIV/0!</v>
          </cell>
          <cell r="E479" t="e">
            <v>#DIV/0!</v>
          </cell>
        </row>
        <row r="480">
          <cell r="A480">
            <v>39924</v>
          </cell>
          <cell r="B480" t="str">
            <v>#Calc</v>
          </cell>
          <cell r="C480" t="e">
            <v>#DIV/0!</v>
          </cell>
          <cell r="D480" t="e">
            <v>#DIV/0!</v>
          </cell>
          <cell r="E480" t="e">
            <v>#DIV/0!</v>
          </cell>
        </row>
        <row r="481">
          <cell r="A481">
            <v>39925</v>
          </cell>
          <cell r="B481" t="str">
            <v>#Calc</v>
          </cell>
          <cell r="C481" t="e">
            <v>#DIV/0!</v>
          </cell>
          <cell r="D481" t="e">
            <v>#DIV/0!</v>
          </cell>
          <cell r="E481" t="e">
            <v>#DIV/0!</v>
          </cell>
        </row>
        <row r="482">
          <cell r="A482">
            <v>39926</v>
          </cell>
          <cell r="B482" t="str">
            <v>#Calc</v>
          </cell>
          <cell r="C482" t="e">
            <v>#DIV/0!</v>
          </cell>
          <cell r="D482" t="e">
            <v>#DIV/0!</v>
          </cell>
          <cell r="E482" t="e">
            <v>#DIV/0!</v>
          </cell>
        </row>
        <row r="483">
          <cell r="A483">
            <v>39927</v>
          </cell>
          <cell r="B483" t="str">
            <v>#Calc</v>
          </cell>
          <cell r="C483" t="e">
            <v>#DIV/0!</v>
          </cell>
          <cell r="D483" t="e">
            <v>#DIV/0!</v>
          </cell>
          <cell r="E483" t="e">
            <v>#DIV/0!</v>
          </cell>
        </row>
        <row r="484">
          <cell r="A484">
            <v>39928</v>
          </cell>
          <cell r="B484" t="str">
            <v>#Calc</v>
          </cell>
          <cell r="C484" t="e">
            <v>#DIV/0!</v>
          </cell>
          <cell r="D484" t="e">
            <v>#DIV/0!</v>
          </cell>
          <cell r="E484" t="e">
            <v>#DIV/0!</v>
          </cell>
        </row>
        <row r="485">
          <cell r="A485">
            <v>39929</v>
          </cell>
          <cell r="B485" t="str">
            <v>#Calc</v>
          </cell>
          <cell r="C485" t="e">
            <v>#DIV/0!</v>
          </cell>
          <cell r="D485" t="e">
            <v>#DIV/0!</v>
          </cell>
          <cell r="E485" t="e">
            <v>#DIV/0!</v>
          </cell>
        </row>
        <row r="486">
          <cell r="A486">
            <v>39930</v>
          </cell>
          <cell r="B486" t="str">
            <v>#Calc</v>
          </cell>
          <cell r="C486" t="e">
            <v>#DIV/0!</v>
          </cell>
          <cell r="D486" t="e">
            <v>#DIV/0!</v>
          </cell>
          <cell r="E486" t="e">
            <v>#DIV/0!</v>
          </cell>
        </row>
        <row r="487">
          <cell r="A487">
            <v>39931</v>
          </cell>
          <cell r="B487" t="str">
            <v>#Calc</v>
          </cell>
          <cell r="C487" t="e">
            <v>#DIV/0!</v>
          </cell>
          <cell r="D487" t="e">
            <v>#DIV/0!</v>
          </cell>
          <cell r="E487" t="e">
            <v>#DIV/0!</v>
          </cell>
        </row>
        <row r="488">
          <cell r="A488">
            <v>39932</v>
          </cell>
          <cell r="B488" t="str">
            <v>#Calc</v>
          </cell>
          <cell r="C488" t="e">
            <v>#DIV/0!</v>
          </cell>
          <cell r="D488" t="e">
            <v>#DIV/0!</v>
          </cell>
          <cell r="E488" t="e">
            <v>#DIV/0!</v>
          </cell>
        </row>
        <row r="489">
          <cell r="A489">
            <v>39933</v>
          </cell>
          <cell r="B489" t="str">
            <v>#Calc</v>
          </cell>
          <cell r="C489" t="e">
            <v>#DIV/0!</v>
          </cell>
          <cell r="D489" t="e">
            <v>#DIV/0!</v>
          </cell>
          <cell r="E489" t="e">
            <v>#DIV/0!</v>
          </cell>
        </row>
        <row r="490">
          <cell r="A490">
            <v>39934</v>
          </cell>
          <cell r="B490" t="str">
            <v>#Calc</v>
          </cell>
          <cell r="C490" t="e">
            <v>#DIV/0!</v>
          </cell>
          <cell r="D490" t="e">
            <v>#DIV/0!</v>
          </cell>
          <cell r="E490" t="e">
            <v>#DIV/0!</v>
          </cell>
        </row>
        <row r="491">
          <cell r="A491">
            <v>39935</v>
          </cell>
          <cell r="B491" t="str">
            <v>#Calc</v>
          </cell>
          <cell r="C491" t="e">
            <v>#DIV/0!</v>
          </cell>
          <cell r="D491" t="e">
            <v>#DIV/0!</v>
          </cell>
          <cell r="E491" t="e">
            <v>#DIV/0!</v>
          </cell>
        </row>
        <row r="492">
          <cell r="A492">
            <v>39936</v>
          </cell>
          <cell r="B492" t="str">
            <v>#Calc</v>
          </cell>
          <cell r="C492" t="e">
            <v>#DIV/0!</v>
          </cell>
          <cell r="D492" t="e">
            <v>#DIV/0!</v>
          </cell>
          <cell r="E492" t="e">
            <v>#DIV/0!</v>
          </cell>
        </row>
        <row r="493">
          <cell r="A493">
            <v>39937</v>
          </cell>
          <cell r="B493" t="str">
            <v>#Calc</v>
          </cell>
          <cell r="C493" t="e">
            <v>#DIV/0!</v>
          </cell>
          <cell r="D493" t="e">
            <v>#DIV/0!</v>
          </cell>
          <cell r="E493" t="e">
            <v>#DIV/0!</v>
          </cell>
        </row>
        <row r="494">
          <cell r="A494">
            <v>39938</v>
          </cell>
          <cell r="B494" t="str">
            <v>#Calc</v>
          </cell>
          <cell r="C494" t="e">
            <v>#DIV/0!</v>
          </cell>
          <cell r="D494" t="e">
            <v>#DIV/0!</v>
          </cell>
          <cell r="E494" t="e">
            <v>#DIV/0!</v>
          </cell>
        </row>
        <row r="495">
          <cell r="A495">
            <v>39939</v>
          </cell>
          <cell r="B495" t="str">
            <v>#Calc</v>
          </cell>
          <cell r="C495" t="e">
            <v>#DIV/0!</v>
          </cell>
          <cell r="D495" t="e">
            <v>#DIV/0!</v>
          </cell>
          <cell r="E495" t="e">
            <v>#DIV/0!</v>
          </cell>
        </row>
        <row r="496">
          <cell r="A496">
            <v>39940</v>
          </cell>
          <cell r="B496" t="str">
            <v>#Calc</v>
          </cell>
          <cell r="C496" t="e">
            <v>#DIV/0!</v>
          </cell>
          <cell r="D496" t="e">
            <v>#DIV/0!</v>
          </cell>
          <cell r="E496" t="e">
            <v>#DIV/0!</v>
          </cell>
        </row>
        <row r="497">
          <cell r="A497">
            <v>39941</v>
          </cell>
          <cell r="B497" t="str">
            <v>#Calc</v>
          </cell>
          <cell r="C497" t="e">
            <v>#DIV/0!</v>
          </cell>
          <cell r="D497" t="e">
            <v>#DIV/0!</v>
          </cell>
          <cell r="E497" t="e">
            <v>#DIV/0!</v>
          </cell>
        </row>
        <row r="498">
          <cell r="A498">
            <v>39942</v>
          </cell>
          <cell r="B498" t="str">
            <v>#Calc</v>
          </cell>
          <cell r="C498" t="e">
            <v>#DIV/0!</v>
          </cell>
          <cell r="D498" t="e">
            <v>#DIV/0!</v>
          </cell>
          <cell r="E498" t="e">
            <v>#DIV/0!</v>
          </cell>
        </row>
        <row r="499">
          <cell r="A499">
            <v>39943</v>
          </cell>
          <cell r="B499" t="str">
            <v>#Calc</v>
          </cell>
          <cell r="C499" t="e">
            <v>#DIV/0!</v>
          </cell>
          <cell r="D499" t="e">
            <v>#DIV/0!</v>
          </cell>
          <cell r="E499" t="e">
            <v>#DIV/0!</v>
          </cell>
        </row>
        <row r="500">
          <cell r="A500">
            <v>39944</v>
          </cell>
          <cell r="B500" t="str">
            <v>#Calc</v>
          </cell>
          <cell r="C500" t="e">
            <v>#DIV/0!</v>
          </cell>
          <cell r="D500" t="e">
            <v>#DIV/0!</v>
          </cell>
          <cell r="E500" t="e">
            <v>#DIV/0!</v>
          </cell>
        </row>
        <row r="501">
          <cell r="A501">
            <v>39945</v>
          </cell>
          <cell r="B501" t="str">
            <v>#Calc</v>
          </cell>
          <cell r="C501" t="e">
            <v>#DIV/0!</v>
          </cell>
          <cell r="D501" t="e">
            <v>#DIV/0!</v>
          </cell>
          <cell r="E501" t="e">
            <v>#DIV/0!</v>
          </cell>
        </row>
        <row r="502">
          <cell r="A502">
            <v>39946</v>
          </cell>
          <cell r="B502" t="str">
            <v>#Calc</v>
          </cell>
          <cell r="C502" t="e">
            <v>#DIV/0!</v>
          </cell>
          <cell r="D502" t="e">
            <v>#DIV/0!</v>
          </cell>
          <cell r="E502" t="e">
            <v>#DIV/0!</v>
          </cell>
        </row>
        <row r="503">
          <cell r="A503">
            <v>39947</v>
          </cell>
          <cell r="B503" t="str">
            <v>#Calc</v>
          </cell>
          <cell r="C503" t="e">
            <v>#DIV/0!</v>
          </cell>
          <cell r="D503" t="e">
            <v>#DIV/0!</v>
          </cell>
          <cell r="E503" t="e">
            <v>#DIV/0!</v>
          </cell>
        </row>
        <row r="504">
          <cell r="A504">
            <v>39948</v>
          </cell>
          <cell r="B504" t="str">
            <v>#Calc</v>
          </cell>
          <cell r="C504" t="e">
            <v>#DIV/0!</v>
          </cell>
          <cell r="D504" t="e">
            <v>#DIV/0!</v>
          </cell>
          <cell r="E504" t="e">
            <v>#DIV/0!</v>
          </cell>
        </row>
        <row r="505">
          <cell r="A505">
            <v>39949</v>
          </cell>
          <cell r="B505" t="str">
            <v>#Calc</v>
          </cell>
          <cell r="C505" t="e">
            <v>#DIV/0!</v>
          </cell>
          <cell r="D505" t="e">
            <v>#DIV/0!</v>
          </cell>
          <cell r="E505" t="e">
            <v>#DIV/0!</v>
          </cell>
        </row>
        <row r="506">
          <cell r="A506">
            <v>39950</v>
          </cell>
          <cell r="B506" t="str">
            <v>#Calc</v>
          </cell>
          <cell r="C506" t="e">
            <v>#DIV/0!</v>
          </cell>
          <cell r="D506" t="e">
            <v>#DIV/0!</v>
          </cell>
          <cell r="E506" t="e">
            <v>#DIV/0!</v>
          </cell>
        </row>
        <row r="507">
          <cell r="A507">
            <v>39951</v>
          </cell>
          <cell r="B507" t="str">
            <v>#Calc</v>
          </cell>
          <cell r="C507" t="e">
            <v>#DIV/0!</v>
          </cell>
          <cell r="D507" t="e">
            <v>#DIV/0!</v>
          </cell>
          <cell r="E507" t="e">
            <v>#DIV/0!</v>
          </cell>
        </row>
        <row r="508">
          <cell r="A508">
            <v>39952</v>
          </cell>
          <cell r="B508" t="str">
            <v>#Calc</v>
          </cell>
          <cell r="C508" t="e">
            <v>#DIV/0!</v>
          </cell>
          <cell r="D508" t="e">
            <v>#DIV/0!</v>
          </cell>
          <cell r="E508" t="e">
            <v>#DIV/0!</v>
          </cell>
        </row>
        <row r="509">
          <cell r="A509">
            <v>39953</v>
          </cell>
          <cell r="B509" t="str">
            <v>#Calc</v>
          </cell>
          <cell r="C509" t="e">
            <v>#DIV/0!</v>
          </cell>
          <cell r="D509" t="e">
            <v>#DIV/0!</v>
          </cell>
          <cell r="E509" t="e">
            <v>#DIV/0!</v>
          </cell>
        </row>
        <row r="510">
          <cell r="A510">
            <v>39954</v>
          </cell>
          <cell r="B510" t="str">
            <v>#Calc</v>
          </cell>
          <cell r="C510" t="e">
            <v>#DIV/0!</v>
          </cell>
          <cell r="D510" t="e">
            <v>#DIV/0!</v>
          </cell>
          <cell r="E510" t="e">
            <v>#DIV/0!</v>
          </cell>
        </row>
        <row r="511">
          <cell r="A511">
            <v>39955</v>
          </cell>
          <cell r="B511" t="str">
            <v>#Calc</v>
          </cell>
          <cell r="C511" t="e">
            <v>#DIV/0!</v>
          </cell>
          <cell r="D511" t="e">
            <v>#DIV/0!</v>
          </cell>
          <cell r="E511" t="e">
            <v>#DIV/0!</v>
          </cell>
        </row>
        <row r="512">
          <cell r="A512">
            <v>39956</v>
          </cell>
          <cell r="B512" t="str">
            <v>#Calc</v>
          </cell>
          <cell r="C512" t="e">
            <v>#DIV/0!</v>
          </cell>
          <cell r="D512" t="e">
            <v>#DIV/0!</v>
          </cell>
          <cell r="E512" t="e">
            <v>#DIV/0!</v>
          </cell>
        </row>
        <row r="513">
          <cell r="A513">
            <v>39957</v>
          </cell>
          <cell r="B513" t="str">
            <v>#Calc</v>
          </cell>
          <cell r="C513" t="e">
            <v>#DIV/0!</v>
          </cell>
          <cell r="D513" t="e">
            <v>#DIV/0!</v>
          </cell>
          <cell r="E513" t="e">
            <v>#DIV/0!</v>
          </cell>
        </row>
        <row r="514">
          <cell r="A514">
            <v>39958</v>
          </cell>
          <cell r="B514" t="str">
            <v>#Calc</v>
          </cell>
          <cell r="C514" t="e">
            <v>#DIV/0!</v>
          </cell>
          <cell r="D514" t="e">
            <v>#DIV/0!</v>
          </cell>
          <cell r="E514" t="e">
            <v>#DIV/0!</v>
          </cell>
        </row>
        <row r="515">
          <cell r="A515">
            <v>39959</v>
          </cell>
          <cell r="B515" t="str">
            <v>#Calc</v>
          </cell>
          <cell r="C515" t="e">
            <v>#DIV/0!</v>
          </cell>
          <cell r="D515" t="e">
            <v>#DIV/0!</v>
          </cell>
          <cell r="E515" t="e">
            <v>#DIV/0!</v>
          </cell>
        </row>
        <row r="516">
          <cell r="A516">
            <v>39960</v>
          </cell>
          <cell r="B516" t="str">
            <v>#Calc</v>
          </cell>
          <cell r="C516" t="e">
            <v>#DIV/0!</v>
          </cell>
          <cell r="D516" t="e">
            <v>#DIV/0!</v>
          </cell>
          <cell r="E516" t="e">
            <v>#DIV/0!</v>
          </cell>
        </row>
        <row r="517">
          <cell r="A517">
            <v>39961</v>
          </cell>
          <cell r="B517" t="str">
            <v>#Calc</v>
          </cell>
          <cell r="C517" t="e">
            <v>#DIV/0!</v>
          </cell>
          <cell r="D517" t="e">
            <v>#DIV/0!</v>
          </cell>
          <cell r="E517" t="e">
            <v>#DIV/0!</v>
          </cell>
        </row>
        <row r="518">
          <cell r="A518">
            <v>39962</v>
          </cell>
          <cell r="B518" t="str">
            <v>#Calc</v>
          </cell>
          <cell r="C518" t="e">
            <v>#DIV/0!</v>
          </cell>
          <cell r="D518" t="e">
            <v>#DIV/0!</v>
          </cell>
          <cell r="E518" t="e">
            <v>#DIV/0!</v>
          </cell>
        </row>
        <row r="519">
          <cell r="A519">
            <v>39963</v>
          </cell>
          <cell r="B519" t="str">
            <v>#Calc</v>
          </cell>
          <cell r="C519" t="e">
            <v>#DIV/0!</v>
          </cell>
          <cell r="D519" t="e">
            <v>#DIV/0!</v>
          </cell>
          <cell r="E519" t="e">
            <v>#DIV/0!</v>
          </cell>
        </row>
        <row r="520">
          <cell r="A520">
            <v>39964</v>
          </cell>
          <cell r="B520" t="str">
            <v>#Calc</v>
          </cell>
          <cell r="C520" t="e">
            <v>#DIV/0!</v>
          </cell>
          <cell r="D520" t="e">
            <v>#DIV/0!</v>
          </cell>
          <cell r="E520" t="e">
            <v>#DIV/0!</v>
          </cell>
        </row>
        <row r="521">
          <cell r="A521">
            <v>39965</v>
          </cell>
          <cell r="B521" t="str">
            <v>#Calc</v>
          </cell>
          <cell r="C521" t="e">
            <v>#DIV/0!</v>
          </cell>
          <cell r="D521" t="e">
            <v>#DIV/0!</v>
          </cell>
          <cell r="E521" t="e">
            <v>#DIV/0!</v>
          </cell>
        </row>
        <row r="522">
          <cell r="A522">
            <v>39966</v>
          </cell>
          <cell r="B522" t="str">
            <v>#Calc</v>
          </cell>
          <cell r="C522" t="e">
            <v>#DIV/0!</v>
          </cell>
          <cell r="D522" t="e">
            <v>#DIV/0!</v>
          </cell>
          <cell r="E522" t="e">
            <v>#DIV/0!</v>
          </cell>
        </row>
        <row r="523">
          <cell r="A523">
            <v>39967</v>
          </cell>
          <cell r="B523" t="str">
            <v>#Calc</v>
          </cell>
          <cell r="C523" t="e">
            <v>#DIV/0!</v>
          </cell>
          <cell r="D523" t="e">
            <v>#DIV/0!</v>
          </cell>
          <cell r="E523" t="e">
            <v>#DIV/0!</v>
          </cell>
        </row>
        <row r="524">
          <cell r="A524">
            <v>39968</v>
          </cell>
          <cell r="B524" t="str">
            <v>#Calc</v>
          </cell>
          <cell r="C524" t="e">
            <v>#DIV/0!</v>
          </cell>
          <cell r="D524" t="e">
            <v>#DIV/0!</v>
          </cell>
          <cell r="E524" t="e">
            <v>#DIV/0!</v>
          </cell>
        </row>
        <row r="525">
          <cell r="A525">
            <v>39969</v>
          </cell>
          <cell r="B525" t="str">
            <v>#Calc</v>
          </cell>
          <cell r="C525" t="e">
            <v>#DIV/0!</v>
          </cell>
          <cell r="D525" t="e">
            <v>#DIV/0!</v>
          </cell>
          <cell r="E525" t="e">
            <v>#DIV/0!</v>
          </cell>
        </row>
        <row r="526">
          <cell r="A526">
            <v>39970</v>
          </cell>
          <cell r="B526" t="str">
            <v>#Calc</v>
          </cell>
          <cell r="C526" t="e">
            <v>#DIV/0!</v>
          </cell>
          <cell r="D526" t="e">
            <v>#DIV/0!</v>
          </cell>
          <cell r="E526" t="e">
            <v>#DIV/0!</v>
          </cell>
        </row>
        <row r="527">
          <cell r="A527">
            <v>39971</v>
          </cell>
          <cell r="B527" t="str">
            <v>#Calc</v>
          </cell>
          <cell r="C527" t="e">
            <v>#DIV/0!</v>
          </cell>
          <cell r="D527" t="e">
            <v>#DIV/0!</v>
          </cell>
          <cell r="E527" t="e">
            <v>#DIV/0!</v>
          </cell>
        </row>
        <row r="528">
          <cell r="A528">
            <v>39972</v>
          </cell>
          <cell r="B528" t="str">
            <v>#Calc</v>
          </cell>
          <cell r="C528" t="e">
            <v>#DIV/0!</v>
          </cell>
          <cell r="D528" t="e">
            <v>#DIV/0!</v>
          </cell>
          <cell r="E528" t="e">
            <v>#DIV/0!</v>
          </cell>
        </row>
        <row r="529">
          <cell r="A529">
            <v>39973</v>
          </cell>
          <cell r="B529" t="str">
            <v>#Calc</v>
          </cell>
          <cell r="C529" t="e">
            <v>#DIV/0!</v>
          </cell>
          <cell r="D529" t="e">
            <v>#DIV/0!</v>
          </cell>
          <cell r="E529" t="e">
            <v>#DIV/0!</v>
          </cell>
        </row>
        <row r="530">
          <cell r="A530">
            <v>39974</v>
          </cell>
          <cell r="B530" t="str">
            <v>#Calc</v>
          </cell>
          <cell r="C530" t="e">
            <v>#DIV/0!</v>
          </cell>
          <cell r="D530" t="e">
            <v>#DIV/0!</v>
          </cell>
          <cell r="E530" t="e">
            <v>#DIV/0!</v>
          </cell>
        </row>
        <row r="531">
          <cell r="A531">
            <v>39975</v>
          </cell>
          <cell r="B531" t="str">
            <v>#Calc</v>
          </cell>
          <cell r="C531" t="e">
            <v>#DIV/0!</v>
          </cell>
          <cell r="D531" t="e">
            <v>#DIV/0!</v>
          </cell>
          <cell r="E531" t="e">
            <v>#DIV/0!</v>
          </cell>
        </row>
        <row r="532">
          <cell r="A532">
            <v>39976</v>
          </cell>
          <cell r="B532" t="str">
            <v>#Calc</v>
          </cell>
          <cell r="C532" t="e">
            <v>#DIV/0!</v>
          </cell>
          <cell r="D532" t="e">
            <v>#DIV/0!</v>
          </cell>
          <cell r="E532" t="e">
            <v>#DIV/0!</v>
          </cell>
        </row>
        <row r="533">
          <cell r="A533">
            <v>39977</v>
          </cell>
          <cell r="B533" t="str">
            <v>#Calc</v>
          </cell>
          <cell r="C533" t="e">
            <v>#DIV/0!</v>
          </cell>
          <cell r="D533" t="e">
            <v>#DIV/0!</v>
          </cell>
          <cell r="E533" t="e">
            <v>#DIV/0!</v>
          </cell>
        </row>
        <row r="534">
          <cell r="A534">
            <v>39978</v>
          </cell>
          <cell r="B534" t="str">
            <v>#Calc</v>
          </cell>
          <cell r="C534" t="e">
            <v>#DIV/0!</v>
          </cell>
          <cell r="D534" t="e">
            <v>#DIV/0!</v>
          </cell>
          <cell r="E534" t="e">
            <v>#DIV/0!</v>
          </cell>
        </row>
        <row r="535">
          <cell r="A535">
            <v>39979</v>
          </cell>
          <cell r="B535" t="str">
            <v>#Calc</v>
          </cell>
          <cell r="C535" t="e">
            <v>#DIV/0!</v>
          </cell>
          <cell r="D535" t="e">
            <v>#DIV/0!</v>
          </cell>
          <cell r="E535" t="e">
            <v>#DIV/0!</v>
          </cell>
        </row>
        <row r="536">
          <cell r="A536">
            <v>39980</v>
          </cell>
          <cell r="B536" t="str">
            <v>#Calc</v>
          </cell>
          <cell r="C536" t="e">
            <v>#DIV/0!</v>
          </cell>
          <cell r="D536" t="e">
            <v>#DIV/0!</v>
          </cell>
          <cell r="E536" t="e">
            <v>#DIV/0!</v>
          </cell>
        </row>
        <row r="537">
          <cell r="A537">
            <v>39981</v>
          </cell>
          <cell r="B537" t="str">
            <v>#Calc</v>
          </cell>
          <cell r="C537" t="e">
            <v>#DIV/0!</v>
          </cell>
          <cell r="D537" t="e">
            <v>#DIV/0!</v>
          </cell>
          <cell r="E537" t="e">
            <v>#DIV/0!</v>
          </cell>
        </row>
        <row r="538">
          <cell r="A538">
            <v>39982</v>
          </cell>
          <cell r="B538" t="str">
            <v>#Calc</v>
          </cell>
          <cell r="C538" t="e">
            <v>#DIV/0!</v>
          </cell>
          <cell r="D538" t="e">
            <v>#DIV/0!</v>
          </cell>
          <cell r="E538" t="e">
            <v>#DIV/0!</v>
          </cell>
        </row>
        <row r="539">
          <cell r="A539">
            <v>39983</v>
          </cell>
          <cell r="B539" t="str">
            <v>#Calc</v>
          </cell>
          <cell r="C539" t="e">
            <v>#DIV/0!</v>
          </cell>
          <cell r="D539" t="e">
            <v>#DIV/0!</v>
          </cell>
          <cell r="E539" t="e">
            <v>#DIV/0!</v>
          </cell>
        </row>
        <row r="540">
          <cell r="A540">
            <v>39984</v>
          </cell>
          <cell r="B540" t="str">
            <v>#Calc</v>
          </cell>
          <cell r="C540" t="e">
            <v>#DIV/0!</v>
          </cell>
          <cell r="D540" t="e">
            <v>#DIV/0!</v>
          </cell>
          <cell r="E540" t="e">
            <v>#DIV/0!</v>
          </cell>
        </row>
        <row r="541">
          <cell r="A541">
            <v>39985</v>
          </cell>
          <cell r="B541" t="str">
            <v>#Calc</v>
          </cell>
          <cell r="C541" t="e">
            <v>#DIV/0!</v>
          </cell>
          <cell r="D541" t="e">
            <v>#DIV/0!</v>
          </cell>
          <cell r="E541" t="e">
            <v>#DIV/0!</v>
          </cell>
        </row>
        <row r="542">
          <cell r="A542">
            <v>39986</v>
          </cell>
          <cell r="B542" t="str">
            <v>#Calc</v>
          </cell>
          <cell r="C542" t="e">
            <v>#DIV/0!</v>
          </cell>
          <cell r="D542" t="e">
            <v>#DIV/0!</v>
          </cell>
          <cell r="E542" t="e">
            <v>#DIV/0!</v>
          </cell>
        </row>
        <row r="543">
          <cell r="A543">
            <v>39987</v>
          </cell>
          <cell r="B543" t="str">
            <v>#Calc</v>
          </cell>
          <cell r="C543" t="e">
            <v>#DIV/0!</v>
          </cell>
          <cell r="D543" t="e">
            <v>#DIV/0!</v>
          </cell>
          <cell r="E543" t="e">
            <v>#DIV/0!</v>
          </cell>
        </row>
        <row r="544">
          <cell r="A544">
            <v>39988</v>
          </cell>
          <cell r="B544" t="str">
            <v>#Calc</v>
          </cell>
          <cell r="C544" t="e">
            <v>#DIV/0!</v>
          </cell>
          <cell r="D544" t="e">
            <v>#DIV/0!</v>
          </cell>
          <cell r="E544" t="e">
            <v>#DIV/0!</v>
          </cell>
        </row>
        <row r="545">
          <cell r="A545">
            <v>39989</v>
          </cell>
          <cell r="B545" t="str">
            <v>#Calc</v>
          </cell>
          <cell r="C545" t="e">
            <v>#DIV/0!</v>
          </cell>
          <cell r="D545" t="e">
            <v>#DIV/0!</v>
          </cell>
          <cell r="E545" t="e">
            <v>#DIV/0!</v>
          </cell>
        </row>
        <row r="546">
          <cell r="A546">
            <v>39990</v>
          </cell>
          <cell r="B546" t="str">
            <v>#Calc</v>
          </cell>
          <cell r="C546" t="e">
            <v>#DIV/0!</v>
          </cell>
          <cell r="D546" t="e">
            <v>#DIV/0!</v>
          </cell>
          <cell r="E546" t="e">
            <v>#DIV/0!</v>
          </cell>
        </row>
        <row r="547">
          <cell r="A547">
            <v>39991</v>
          </cell>
          <cell r="B547" t="str">
            <v>#Calc</v>
          </cell>
          <cell r="C547" t="e">
            <v>#DIV/0!</v>
          </cell>
          <cell r="D547" t="e">
            <v>#DIV/0!</v>
          </cell>
          <cell r="E547" t="e">
            <v>#DIV/0!</v>
          </cell>
        </row>
        <row r="548">
          <cell r="A548">
            <v>39992</v>
          </cell>
          <cell r="B548" t="str">
            <v>#Calc</v>
          </cell>
          <cell r="C548" t="e">
            <v>#DIV/0!</v>
          </cell>
          <cell r="D548" t="e">
            <v>#DIV/0!</v>
          </cell>
          <cell r="E548" t="e">
            <v>#DIV/0!</v>
          </cell>
        </row>
        <row r="549">
          <cell r="A549">
            <v>39993</v>
          </cell>
          <cell r="B549" t="str">
            <v>#Calc</v>
          </cell>
          <cell r="C549" t="e">
            <v>#DIV/0!</v>
          </cell>
          <cell r="D549" t="e">
            <v>#DIV/0!</v>
          </cell>
          <cell r="E549" t="e">
            <v>#DIV/0!</v>
          </cell>
        </row>
        <row r="550">
          <cell r="A550">
            <v>39994</v>
          </cell>
          <cell r="B550" t="str">
            <v>#Calc</v>
          </cell>
          <cell r="C550" t="e">
            <v>#DIV/0!</v>
          </cell>
          <cell r="D550" t="e">
            <v>#DIV/0!</v>
          </cell>
          <cell r="E550" t="e">
            <v>#DIV/0!</v>
          </cell>
        </row>
        <row r="551">
          <cell r="A551">
            <v>39995</v>
          </cell>
          <cell r="B551" t="str">
            <v>#Calc</v>
          </cell>
          <cell r="C551" t="e">
            <v>#DIV/0!</v>
          </cell>
          <cell r="D551" t="e">
            <v>#DIV/0!</v>
          </cell>
          <cell r="E551" t="e">
            <v>#DIV/0!</v>
          </cell>
        </row>
        <row r="552">
          <cell r="A552">
            <v>39996</v>
          </cell>
          <cell r="B552" t="str">
            <v>#Calc</v>
          </cell>
          <cell r="C552" t="e">
            <v>#DIV/0!</v>
          </cell>
          <cell r="D552" t="e">
            <v>#DIV/0!</v>
          </cell>
          <cell r="E552" t="e">
            <v>#DIV/0!</v>
          </cell>
        </row>
        <row r="553">
          <cell r="A553">
            <v>39997</v>
          </cell>
          <cell r="B553" t="str">
            <v>#Calc</v>
          </cell>
          <cell r="C553" t="e">
            <v>#DIV/0!</v>
          </cell>
          <cell r="D553" t="e">
            <v>#DIV/0!</v>
          </cell>
          <cell r="E553" t="e">
            <v>#DIV/0!</v>
          </cell>
        </row>
        <row r="554">
          <cell r="A554">
            <v>39998</v>
          </cell>
          <cell r="B554" t="str">
            <v>#Calc</v>
          </cell>
          <cell r="C554" t="e">
            <v>#DIV/0!</v>
          </cell>
          <cell r="D554" t="e">
            <v>#DIV/0!</v>
          </cell>
          <cell r="E554" t="e">
            <v>#DIV/0!</v>
          </cell>
        </row>
        <row r="555">
          <cell r="A555">
            <v>39999</v>
          </cell>
          <cell r="B555" t="str">
            <v>#Calc</v>
          </cell>
          <cell r="C555" t="e">
            <v>#DIV/0!</v>
          </cell>
          <cell r="D555" t="e">
            <v>#DIV/0!</v>
          </cell>
          <cell r="E555" t="e">
            <v>#DIV/0!</v>
          </cell>
        </row>
        <row r="556">
          <cell r="A556">
            <v>40000</v>
          </cell>
          <cell r="B556" t="str">
            <v>#Calc</v>
          </cell>
          <cell r="C556" t="e">
            <v>#DIV/0!</v>
          </cell>
          <cell r="D556" t="e">
            <v>#DIV/0!</v>
          </cell>
          <cell r="E556" t="e">
            <v>#DIV/0!</v>
          </cell>
        </row>
        <row r="557">
          <cell r="A557">
            <v>40001</v>
          </cell>
          <cell r="B557" t="str">
            <v>#Calc</v>
          </cell>
          <cell r="C557" t="e">
            <v>#DIV/0!</v>
          </cell>
          <cell r="D557" t="e">
            <v>#DIV/0!</v>
          </cell>
          <cell r="E557" t="e">
            <v>#DIV/0!</v>
          </cell>
        </row>
        <row r="558">
          <cell r="A558">
            <v>40002</v>
          </cell>
          <cell r="B558" t="str">
            <v>#Calc</v>
          </cell>
          <cell r="C558" t="e">
            <v>#DIV/0!</v>
          </cell>
          <cell r="D558" t="e">
            <v>#DIV/0!</v>
          </cell>
          <cell r="E558" t="e">
            <v>#DIV/0!</v>
          </cell>
        </row>
        <row r="559">
          <cell r="A559">
            <v>40003</v>
          </cell>
          <cell r="B559" t="str">
            <v>#Calc</v>
          </cell>
          <cell r="C559" t="e">
            <v>#DIV/0!</v>
          </cell>
          <cell r="D559" t="e">
            <v>#DIV/0!</v>
          </cell>
          <cell r="E559" t="e">
            <v>#DIV/0!</v>
          </cell>
        </row>
        <row r="560">
          <cell r="A560">
            <v>40004</v>
          </cell>
          <cell r="B560" t="str">
            <v>#Calc</v>
          </cell>
          <cell r="C560" t="e">
            <v>#DIV/0!</v>
          </cell>
          <cell r="D560" t="e">
            <v>#DIV/0!</v>
          </cell>
          <cell r="E560" t="e">
            <v>#DIV/0!</v>
          </cell>
        </row>
        <row r="561">
          <cell r="A561">
            <v>40005</v>
          </cell>
          <cell r="B561" t="str">
            <v>#Calc</v>
          </cell>
          <cell r="C561" t="e">
            <v>#DIV/0!</v>
          </cell>
          <cell r="D561" t="e">
            <v>#DIV/0!</v>
          </cell>
          <cell r="E561" t="e">
            <v>#DIV/0!</v>
          </cell>
        </row>
        <row r="562">
          <cell r="A562">
            <v>40006</v>
          </cell>
          <cell r="B562" t="str">
            <v>#Calc</v>
          </cell>
          <cell r="C562" t="e">
            <v>#DIV/0!</v>
          </cell>
          <cell r="D562" t="e">
            <v>#DIV/0!</v>
          </cell>
          <cell r="E562" t="e">
            <v>#DIV/0!</v>
          </cell>
        </row>
        <row r="563">
          <cell r="A563">
            <v>40007</v>
          </cell>
          <cell r="B563" t="str">
            <v>#Calc</v>
          </cell>
          <cell r="C563" t="e">
            <v>#DIV/0!</v>
          </cell>
          <cell r="D563" t="e">
            <v>#DIV/0!</v>
          </cell>
          <cell r="E563" t="e">
            <v>#DIV/0!</v>
          </cell>
        </row>
        <row r="564">
          <cell r="A564">
            <v>40008</v>
          </cell>
          <cell r="B564" t="str">
            <v>#Calc</v>
          </cell>
          <cell r="C564" t="e">
            <v>#DIV/0!</v>
          </cell>
          <cell r="D564" t="e">
            <v>#DIV/0!</v>
          </cell>
          <cell r="E564" t="e">
            <v>#DIV/0!</v>
          </cell>
        </row>
        <row r="565">
          <cell r="A565">
            <v>40009</v>
          </cell>
          <cell r="B565" t="str">
            <v>#Calc</v>
          </cell>
          <cell r="C565" t="e">
            <v>#DIV/0!</v>
          </cell>
          <cell r="D565" t="e">
            <v>#DIV/0!</v>
          </cell>
          <cell r="E565" t="e">
            <v>#DIV/0!</v>
          </cell>
        </row>
        <row r="566">
          <cell r="A566">
            <v>40010</v>
          </cell>
          <cell r="B566" t="str">
            <v>#Calc</v>
          </cell>
          <cell r="C566" t="e">
            <v>#DIV/0!</v>
          </cell>
          <cell r="D566" t="e">
            <v>#DIV/0!</v>
          </cell>
          <cell r="E566" t="e">
            <v>#DIV/0!</v>
          </cell>
        </row>
        <row r="567">
          <cell r="A567">
            <v>40011</v>
          </cell>
          <cell r="B567" t="str">
            <v>#Calc</v>
          </cell>
          <cell r="C567" t="e">
            <v>#DIV/0!</v>
          </cell>
          <cell r="D567" t="e">
            <v>#DIV/0!</v>
          </cell>
          <cell r="E567" t="e">
            <v>#DIV/0!</v>
          </cell>
        </row>
        <row r="568">
          <cell r="A568">
            <v>40012</v>
          </cell>
          <cell r="B568" t="str">
            <v>#Calc</v>
          </cell>
          <cell r="C568" t="e">
            <v>#DIV/0!</v>
          </cell>
          <cell r="D568" t="e">
            <v>#DIV/0!</v>
          </cell>
          <cell r="E568" t="e">
            <v>#DIV/0!</v>
          </cell>
        </row>
        <row r="569">
          <cell r="A569">
            <v>40013</v>
          </cell>
          <cell r="B569" t="str">
            <v>#Calc</v>
          </cell>
          <cell r="C569" t="e">
            <v>#DIV/0!</v>
          </cell>
          <cell r="D569" t="e">
            <v>#DIV/0!</v>
          </cell>
          <cell r="E569" t="e">
            <v>#DIV/0!</v>
          </cell>
        </row>
        <row r="570">
          <cell r="A570">
            <v>40014</v>
          </cell>
          <cell r="B570" t="str">
            <v>#Calc</v>
          </cell>
          <cell r="C570" t="e">
            <v>#DIV/0!</v>
          </cell>
          <cell r="D570" t="e">
            <v>#DIV/0!</v>
          </cell>
          <cell r="E570" t="e">
            <v>#DIV/0!</v>
          </cell>
        </row>
        <row r="571">
          <cell r="A571">
            <v>40015</v>
          </cell>
          <cell r="B571" t="str">
            <v>#Calc</v>
          </cell>
          <cell r="C571" t="e">
            <v>#DIV/0!</v>
          </cell>
          <cell r="D571" t="e">
            <v>#DIV/0!</v>
          </cell>
          <cell r="E571" t="e">
            <v>#DIV/0!</v>
          </cell>
        </row>
        <row r="572">
          <cell r="A572">
            <v>40016</v>
          </cell>
          <cell r="B572" t="str">
            <v>#Calc</v>
          </cell>
          <cell r="C572" t="e">
            <v>#DIV/0!</v>
          </cell>
          <cell r="D572" t="e">
            <v>#DIV/0!</v>
          </cell>
          <cell r="E572" t="e">
            <v>#DIV/0!</v>
          </cell>
        </row>
        <row r="573">
          <cell r="A573">
            <v>40017</v>
          </cell>
          <cell r="B573" t="str">
            <v>#Calc</v>
          </cell>
          <cell r="C573" t="e">
            <v>#DIV/0!</v>
          </cell>
          <cell r="D573" t="e">
            <v>#DIV/0!</v>
          </cell>
          <cell r="E573" t="e">
            <v>#DIV/0!</v>
          </cell>
        </row>
        <row r="574">
          <cell r="A574">
            <v>40018</v>
          </cell>
          <cell r="B574" t="str">
            <v>#Calc</v>
          </cell>
          <cell r="C574" t="e">
            <v>#DIV/0!</v>
          </cell>
          <cell r="D574" t="e">
            <v>#DIV/0!</v>
          </cell>
          <cell r="E574" t="e">
            <v>#DIV/0!</v>
          </cell>
        </row>
        <row r="575">
          <cell r="A575">
            <v>40019</v>
          </cell>
          <cell r="B575" t="str">
            <v>#Calc</v>
          </cell>
          <cell r="C575" t="e">
            <v>#DIV/0!</v>
          </cell>
          <cell r="D575" t="e">
            <v>#DIV/0!</v>
          </cell>
          <cell r="E575" t="e">
            <v>#DIV/0!</v>
          </cell>
        </row>
        <row r="576">
          <cell r="A576">
            <v>40020</v>
          </cell>
          <cell r="B576" t="str">
            <v>#Calc</v>
          </cell>
          <cell r="C576" t="e">
            <v>#DIV/0!</v>
          </cell>
          <cell r="D576" t="e">
            <v>#DIV/0!</v>
          </cell>
          <cell r="E576" t="e">
            <v>#DIV/0!</v>
          </cell>
        </row>
        <row r="577">
          <cell r="A577">
            <v>40021</v>
          </cell>
          <cell r="B577" t="str">
            <v>#Calc</v>
          </cell>
          <cell r="C577" t="e">
            <v>#DIV/0!</v>
          </cell>
          <cell r="D577" t="e">
            <v>#DIV/0!</v>
          </cell>
          <cell r="E577" t="e">
            <v>#DIV/0!</v>
          </cell>
        </row>
        <row r="578">
          <cell r="A578">
            <v>40022</v>
          </cell>
          <cell r="B578" t="str">
            <v>#Calc</v>
          </cell>
          <cell r="C578" t="e">
            <v>#DIV/0!</v>
          </cell>
          <cell r="D578" t="e">
            <v>#DIV/0!</v>
          </cell>
          <cell r="E578" t="e">
            <v>#DIV/0!</v>
          </cell>
        </row>
        <row r="579">
          <cell r="A579">
            <v>40023</v>
          </cell>
          <cell r="B579" t="str">
            <v>#Calc</v>
          </cell>
          <cell r="C579" t="e">
            <v>#DIV/0!</v>
          </cell>
          <cell r="D579" t="e">
            <v>#DIV/0!</v>
          </cell>
          <cell r="E579" t="e">
            <v>#DIV/0!</v>
          </cell>
        </row>
        <row r="580">
          <cell r="A580">
            <v>40024</v>
          </cell>
          <cell r="B580" t="str">
            <v>#Calc</v>
          </cell>
          <cell r="C580" t="e">
            <v>#DIV/0!</v>
          </cell>
          <cell r="D580" t="e">
            <v>#DIV/0!</v>
          </cell>
          <cell r="E580" t="e">
            <v>#DIV/0!</v>
          </cell>
        </row>
        <row r="581">
          <cell r="A581">
            <v>40025</v>
          </cell>
          <cell r="B581" t="str">
            <v>#Calc</v>
          </cell>
          <cell r="C581" t="e">
            <v>#DIV/0!</v>
          </cell>
          <cell r="D581" t="e">
            <v>#DIV/0!</v>
          </cell>
          <cell r="E581" t="e">
            <v>#DIV/0!</v>
          </cell>
        </row>
        <row r="582">
          <cell r="A582">
            <v>40026</v>
          </cell>
          <cell r="B582" t="str">
            <v>#Calc</v>
          </cell>
          <cell r="C582" t="e">
            <v>#DIV/0!</v>
          </cell>
          <cell r="D582" t="e">
            <v>#DIV/0!</v>
          </cell>
          <cell r="E582" t="e">
            <v>#DIV/0!</v>
          </cell>
        </row>
        <row r="583">
          <cell r="A583">
            <v>40027</v>
          </cell>
          <cell r="B583" t="str">
            <v>#Calc</v>
          </cell>
          <cell r="C583" t="e">
            <v>#DIV/0!</v>
          </cell>
          <cell r="D583" t="e">
            <v>#DIV/0!</v>
          </cell>
          <cell r="E583" t="e">
            <v>#DIV/0!</v>
          </cell>
        </row>
        <row r="584">
          <cell r="A584">
            <v>40028</v>
          </cell>
          <cell r="B584" t="str">
            <v>#Calc</v>
          </cell>
          <cell r="C584" t="e">
            <v>#DIV/0!</v>
          </cell>
          <cell r="D584" t="e">
            <v>#DIV/0!</v>
          </cell>
          <cell r="E584" t="e">
            <v>#DIV/0!</v>
          </cell>
        </row>
        <row r="585">
          <cell r="A585">
            <v>40029</v>
          </cell>
          <cell r="B585" t="str">
            <v>#Calc</v>
          </cell>
          <cell r="C585" t="e">
            <v>#DIV/0!</v>
          </cell>
          <cell r="D585" t="e">
            <v>#DIV/0!</v>
          </cell>
          <cell r="E585" t="e">
            <v>#DIV/0!</v>
          </cell>
        </row>
        <row r="586">
          <cell r="A586">
            <v>40030</v>
          </cell>
          <cell r="B586" t="str">
            <v>#Calc</v>
          </cell>
          <cell r="C586" t="e">
            <v>#DIV/0!</v>
          </cell>
          <cell r="D586" t="e">
            <v>#DIV/0!</v>
          </cell>
          <cell r="E586" t="e">
            <v>#DIV/0!</v>
          </cell>
        </row>
        <row r="587">
          <cell r="A587">
            <v>40031</v>
          </cell>
          <cell r="B587" t="str">
            <v>#Calc</v>
          </cell>
          <cell r="C587" t="e">
            <v>#DIV/0!</v>
          </cell>
          <cell r="D587" t="e">
            <v>#DIV/0!</v>
          </cell>
          <cell r="E587" t="e">
            <v>#DIV/0!</v>
          </cell>
        </row>
        <row r="588">
          <cell r="A588">
            <v>40032</v>
          </cell>
          <cell r="B588" t="str">
            <v>#Calc</v>
          </cell>
          <cell r="C588" t="e">
            <v>#DIV/0!</v>
          </cell>
          <cell r="D588" t="e">
            <v>#DIV/0!</v>
          </cell>
          <cell r="E588" t="e">
            <v>#DIV/0!</v>
          </cell>
        </row>
        <row r="589">
          <cell r="A589">
            <v>40033</v>
          </cell>
          <cell r="B589" t="str">
            <v>#Calc</v>
          </cell>
          <cell r="C589" t="e">
            <v>#DIV/0!</v>
          </cell>
          <cell r="D589" t="e">
            <v>#DIV/0!</v>
          </cell>
          <cell r="E589" t="e">
            <v>#DIV/0!</v>
          </cell>
        </row>
        <row r="590">
          <cell r="A590">
            <v>40034</v>
          </cell>
          <cell r="B590" t="str">
            <v>#Calc</v>
          </cell>
          <cell r="C590" t="e">
            <v>#DIV/0!</v>
          </cell>
          <cell r="D590" t="e">
            <v>#DIV/0!</v>
          </cell>
          <cell r="E590" t="e">
            <v>#DIV/0!</v>
          </cell>
        </row>
        <row r="591">
          <cell r="A591">
            <v>40035</v>
          </cell>
          <cell r="B591" t="str">
            <v>#Calc</v>
          </cell>
          <cell r="C591" t="e">
            <v>#DIV/0!</v>
          </cell>
          <cell r="D591" t="e">
            <v>#DIV/0!</v>
          </cell>
          <cell r="E591" t="e">
            <v>#DIV/0!</v>
          </cell>
        </row>
        <row r="592">
          <cell r="A592">
            <v>40036</v>
          </cell>
          <cell r="B592" t="str">
            <v>#Calc</v>
          </cell>
          <cell r="C592" t="e">
            <v>#DIV/0!</v>
          </cell>
          <cell r="D592" t="e">
            <v>#DIV/0!</v>
          </cell>
          <cell r="E592" t="e">
            <v>#DIV/0!</v>
          </cell>
        </row>
        <row r="593">
          <cell r="A593">
            <v>40037</v>
          </cell>
          <cell r="B593" t="str">
            <v>#Calc</v>
          </cell>
          <cell r="C593" t="e">
            <v>#DIV/0!</v>
          </cell>
          <cell r="D593" t="e">
            <v>#DIV/0!</v>
          </cell>
          <cell r="E593" t="e">
            <v>#DIV/0!</v>
          </cell>
        </row>
        <row r="594">
          <cell r="A594">
            <v>40038</v>
          </cell>
          <cell r="B594" t="str">
            <v>#Calc</v>
          </cell>
          <cell r="C594" t="e">
            <v>#DIV/0!</v>
          </cell>
          <cell r="D594" t="e">
            <v>#DIV/0!</v>
          </cell>
          <cell r="E594" t="e">
            <v>#DIV/0!</v>
          </cell>
        </row>
        <row r="595">
          <cell r="A595">
            <v>40039</v>
          </cell>
          <cell r="B595" t="str">
            <v>#Calc</v>
          </cell>
          <cell r="C595" t="e">
            <v>#DIV/0!</v>
          </cell>
          <cell r="D595" t="e">
            <v>#DIV/0!</v>
          </cell>
          <cell r="E595" t="e">
            <v>#DIV/0!</v>
          </cell>
        </row>
        <row r="596">
          <cell r="A596">
            <v>40040</v>
          </cell>
          <cell r="B596" t="str">
            <v>#Calc</v>
          </cell>
          <cell r="C596" t="e">
            <v>#DIV/0!</v>
          </cell>
          <cell r="D596" t="e">
            <v>#DIV/0!</v>
          </cell>
          <cell r="E596" t="e">
            <v>#DIV/0!</v>
          </cell>
        </row>
        <row r="597">
          <cell r="A597">
            <v>40041</v>
          </cell>
          <cell r="B597" t="str">
            <v>#Calc</v>
          </cell>
          <cell r="C597" t="e">
            <v>#DIV/0!</v>
          </cell>
          <cell r="D597" t="e">
            <v>#DIV/0!</v>
          </cell>
          <cell r="E597" t="e">
            <v>#DIV/0!</v>
          </cell>
        </row>
        <row r="598">
          <cell r="A598">
            <v>40042</v>
          </cell>
          <cell r="B598" t="str">
            <v>#Calc</v>
          </cell>
          <cell r="C598" t="e">
            <v>#DIV/0!</v>
          </cell>
          <cell r="D598" t="e">
            <v>#DIV/0!</v>
          </cell>
          <cell r="E598" t="e">
            <v>#DIV/0!</v>
          </cell>
        </row>
        <row r="599">
          <cell r="A599">
            <v>40043</v>
          </cell>
          <cell r="B599" t="str">
            <v>#Calc</v>
          </cell>
          <cell r="C599" t="e">
            <v>#DIV/0!</v>
          </cell>
          <cell r="D599" t="e">
            <v>#DIV/0!</v>
          </cell>
          <cell r="E599" t="e">
            <v>#DIV/0!</v>
          </cell>
        </row>
        <row r="600">
          <cell r="A600">
            <v>40044</v>
          </cell>
          <cell r="B600" t="str">
            <v>#Calc</v>
          </cell>
          <cell r="C600" t="e">
            <v>#DIV/0!</v>
          </cell>
          <cell r="D600" t="e">
            <v>#DIV/0!</v>
          </cell>
          <cell r="E600" t="e">
            <v>#DIV/0!</v>
          </cell>
        </row>
        <row r="601">
          <cell r="A601">
            <v>40045</v>
          </cell>
          <cell r="B601" t="str">
            <v>#Calc</v>
          </cell>
          <cell r="C601" t="e">
            <v>#DIV/0!</v>
          </cell>
          <cell r="D601" t="e">
            <v>#DIV/0!</v>
          </cell>
          <cell r="E601" t="e">
            <v>#DIV/0!</v>
          </cell>
        </row>
        <row r="602">
          <cell r="A602">
            <v>40046</v>
          </cell>
          <cell r="B602" t="str">
            <v>#Calc</v>
          </cell>
          <cell r="C602" t="e">
            <v>#DIV/0!</v>
          </cell>
          <cell r="D602" t="e">
            <v>#DIV/0!</v>
          </cell>
          <cell r="E602" t="e">
            <v>#DIV/0!</v>
          </cell>
        </row>
        <row r="603">
          <cell r="A603">
            <v>40047</v>
          </cell>
          <cell r="B603" t="str">
            <v>#Calc</v>
          </cell>
          <cell r="C603" t="e">
            <v>#DIV/0!</v>
          </cell>
          <cell r="D603" t="e">
            <v>#DIV/0!</v>
          </cell>
          <cell r="E603" t="e">
            <v>#DIV/0!</v>
          </cell>
        </row>
        <row r="604">
          <cell r="A604">
            <v>40048</v>
          </cell>
          <cell r="B604" t="str">
            <v>#Calc</v>
          </cell>
          <cell r="C604" t="e">
            <v>#DIV/0!</v>
          </cell>
          <cell r="D604" t="e">
            <v>#DIV/0!</v>
          </cell>
          <cell r="E604" t="e">
            <v>#DIV/0!</v>
          </cell>
        </row>
        <row r="605">
          <cell r="A605">
            <v>40049</v>
          </cell>
          <cell r="B605" t="str">
            <v>#Calc</v>
          </cell>
          <cell r="C605" t="e">
            <v>#DIV/0!</v>
          </cell>
          <cell r="D605" t="e">
            <v>#DIV/0!</v>
          </cell>
          <cell r="E605" t="e">
            <v>#DIV/0!</v>
          </cell>
        </row>
        <row r="606">
          <cell r="A606">
            <v>40050</v>
          </cell>
          <cell r="B606" t="str">
            <v>#Calc</v>
          </cell>
          <cell r="C606" t="e">
            <v>#DIV/0!</v>
          </cell>
          <cell r="D606" t="e">
            <v>#DIV/0!</v>
          </cell>
          <cell r="E606" t="e">
            <v>#DIV/0!</v>
          </cell>
        </row>
        <row r="607">
          <cell r="A607">
            <v>40051</v>
          </cell>
          <cell r="B607" t="str">
            <v>#Calc</v>
          </cell>
          <cell r="C607" t="e">
            <v>#DIV/0!</v>
          </cell>
          <cell r="D607" t="e">
            <v>#DIV/0!</v>
          </cell>
          <cell r="E607" t="e">
            <v>#DIV/0!</v>
          </cell>
        </row>
        <row r="608">
          <cell r="A608">
            <v>40052</v>
          </cell>
          <cell r="B608" t="str">
            <v>#Calc</v>
          </cell>
          <cell r="C608" t="e">
            <v>#DIV/0!</v>
          </cell>
          <cell r="D608" t="e">
            <v>#DIV/0!</v>
          </cell>
          <cell r="E608" t="e">
            <v>#DIV/0!</v>
          </cell>
        </row>
        <row r="609">
          <cell r="A609">
            <v>40053</v>
          </cell>
          <cell r="B609" t="str">
            <v>#Calc</v>
          </cell>
          <cell r="C609" t="e">
            <v>#DIV/0!</v>
          </cell>
          <cell r="D609" t="e">
            <v>#DIV/0!</v>
          </cell>
          <cell r="E609" t="e">
            <v>#DIV/0!</v>
          </cell>
        </row>
        <row r="610">
          <cell r="A610">
            <v>40054</v>
          </cell>
          <cell r="B610" t="str">
            <v>#Calc</v>
          </cell>
          <cell r="C610" t="e">
            <v>#DIV/0!</v>
          </cell>
          <cell r="D610" t="e">
            <v>#DIV/0!</v>
          </cell>
          <cell r="E610" t="e">
            <v>#DIV/0!</v>
          </cell>
        </row>
        <row r="611">
          <cell r="A611">
            <v>40055</v>
          </cell>
          <cell r="B611" t="str">
            <v>#Calc</v>
          </cell>
          <cell r="C611" t="e">
            <v>#DIV/0!</v>
          </cell>
          <cell r="D611" t="e">
            <v>#DIV/0!</v>
          </cell>
          <cell r="E611" t="e">
            <v>#DIV/0!</v>
          </cell>
        </row>
        <row r="612">
          <cell r="A612">
            <v>40056</v>
          </cell>
          <cell r="B612" t="str">
            <v>#Calc</v>
          </cell>
          <cell r="C612" t="e">
            <v>#DIV/0!</v>
          </cell>
          <cell r="D612" t="e">
            <v>#DIV/0!</v>
          </cell>
          <cell r="E612" t="e">
            <v>#DIV/0!</v>
          </cell>
        </row>
        <row r="613">
          <cell r="A613">
            <v>40057</v>
          </cell>
          <cell r="B613" t="str">
            <v>#Calc</v>
          </cell>
          <cell r="C613" t="e">
            <v>#DIV/0!</v>
          </cell>
          <cell r="D613" t="e">
            <v>#DIV/0!</v>
          </cell>
          <cell r="E613" t="e">
            <v>#DIV/0!</v>
          </cell>
        </row>
        <row r="614">
          <cell r="A614">
            <v>40058</v>
          </cell>
          <cell r="B614" t="str">
            <v>#Calc</v>
          </cell>
          <cell r="C614" t="e">
            <v>#DIV/0!</v>
          </cell>
          <cell r="D614" t="e">
            <v>#DIV/0!</v>
          </cell>
          <cell r="E614" t="e">
            <v>#DIV/0!</v>
          </cell>
        </row>
        <row r="615">
          <cell r="A615">
            <v>40059</v>
          </cell>
          <cell r="B615" t="str">
            <v>#Calc</v>
          </cell>
          <cell r="C615" t="e">
            <v>#DIV/0!</v>
          </cell>
          <cell r="D615" t="e">
            <v>#DIV/0!</v>
          </cell>
          <cell r="E615" t="e">
            <v>#DIV/0!</v>
          </cell>
        </row>
        <row r="616">
          <cell r="A616">
            <v>40060</v>
          </cell>
          <cell r="B616" t="str">
            <v>#Calc</v>
          </cell>
          <cell r="C616" t="e">
            <v>#DIV/0!</v>
          </cell>
          <cell r="D616" t="e">
            <v>#DIV/0!</v>
          </cell>
          <cell r="E616" t="e">
            <v>#DIV/0!</v>
          </cell>
        </row>
        <row r="617">
          <cell r="A617">
            <v>40061</v>
          </cell>
          <cell r="B617" t="str">
            <v>#Calc</v>
          </cell>
          <cell r="C617" t="e">
            <v>#DIV/0!</v>
          </cell>
          <cell r="D617" t="e">
            <v>#DIV/0!</v>
          </cell>
          <cell r="E617" t="e">
            <v>#DIV/0!</v>
          </cell>
        </row>
        <row r="618">
          <cell r="A618">
            <v>40062</v>
          </cell>
          <cell r="B618" t="str">
            <v>#Calc</v>
          </cell>
          <cell r="C618" t="e">
            <v>#DIV/0!</v>
          </cell>
          <cell r="D618" t="e">
            <v>#DIV/0!</v>
          </cell>
          <cell r="E618" t="e">
            <v>#DIV/0!</v>
          </cell>
        </row>
        <row r="619">
          <cell r="A619">
            <v>40063</v>
          </cell>
          <cell r="B619" t="str">
            <v>#Calc</v>
          </cell>
          <cell r="C619" t="e">
            <v>#DIV/0!</v>
          </cell>
          <cell r="D619" t="e">
            <v>#DIV/0!</v>
          </cell>
          <cell r="E619" t="e">
            <v>#DIV/0!</v>
          </cell>
        </row>
        <row r="620">
          <cell r="A620">
            <v>40064</v>
          </cell>
          <cell r="B620" t="str">
            <v>#Calc</v>
          </cell>
          <cell r="C620" t="e">
            <v>#DIV/0!</v>
          </cell>
          <cell r="D620" t="e">
            <v>#DIV/0!</v>
          </cell>
          <cell r="E620" t="e">
            <v>#DIV/0!</v>
          </cell>
        </row>
        <row r="621">
          <cell r="A621">
            <v>40065</v>
          </cell>
          <cell r="B621" t="str">
            <v>#Calc</v>
          </cell>
          <cell r="C621" t="e">
            <v>#DIV/0!</v>
          </cell>
          <cell r="D621" t="e">
            <v>#DIV/0!</v>
          </cell>
          <cell r="E621" t="e">
            <v>#DIV/0!</v>
          </cell>
        </row>
        <row r="622">
          <cell r="A622">
            <v>40066</v>
          </cell>
          <cell r="B622" t="str">
            <v>#Calc</v>
          </cell>
          <cell r="C622" t="e">
            <v>#DIV/0!</v>
          </cell>
          <cell r="D622" t="e">
            <v>#DIV/0!</v>
          </cell>
          <cell r="E622" t="e">
            <v>#DIV/0!</v>
          </cell>
        </row>
        <row r="623">
          <cell r="A623">
            <v>40067</v>
          </cell>
          <cell r="B623" t="str">
            <v>#Calc</v>
          </cell>
          <cell r="C623" t="e">
            <v>#DIV/0!</v>
          </cell>
          <cell r="D623" t="e">
            <v>#DIV/0!</v>
          </cell>
          <cell r="E623" t="e">
            <v>#DIV/0!</v>
          </cell>
        </row>
        <row r="624">
          <cell r="A624">
            <v>40068</v>
          </cell>
          <cell r="B624" t="str">
            <v>#Calc</v>
          </cell>
          <cell r="C624" t="e">
            <v>#DIV/0!</v>
          </cell>
          <cell r="D624" t="e">
            <v>#DIV/0!</v>
          </cell>
          <cell r="E624" t="e">
            <v>#DIV/0!</v>
          </cell>
        </row>
        <row r="625">
          <cell r="A625">
            <v>40069</v>
          </cell>
          <cell r="B625" t="str">
            <v>#Calc</v>
          </cell>
          <cell r="C625" t="e">
            <v>#DIV/0!</v>
          </cell>
          <cell r="D625" t="e">
            <v>#DIV/0!</v>
          </cell>
          <cell r="E625" t="e">
            <v>#DIV/0!</v>
          </cell>
        </row>
        <row r="626">
          <cell r="A626">
            <v>40070</v>
          </cell>
          <cell r="B626" t="str">
            <v>#Calc</v>
          </cell>
          <cell r="C626" t="e">
            <v>#DIV/0!</v>
          </cell>
          <cell r="D626" t="e">
            <v>#DIV/0!</v>
          </cell>
          <cell r="E626" t="e">
            <v>#DIV/0!</v>
          </cell>
        </row>
        <row r="627">
          <cell r="A627">
            <v>40071</v>
          </cell>
          <cell r="B627" t="str">
            <v>#Calc</v>
          </cell>
          <cell r="C627" t="e">
            <v>#DIV/0!</v>
          </cell>
          <cell r="D627" t="e">
            <v>#DIV/0!</v>
          </cell>
          <cell r="E627" t="e">
            <v>#DIV/0!</v>
          </cell>
        </row>
        <row r="628">
          <cell r="A628">
            <v>40072</v>
          </cell>
          <cell r="B628" t="str">
            <v>#Calc</v>
          </cell>
          <cell r="C628" t="e">
            <v>#DIV/0!</v>
          </cell>
          <cell r="D628" t="e">
            <v>#DIV/0!</v>
          </cell>
          <cell r="E628" t="e">
            <v>#DIV/0!</v>
          </cell>
        </row>
        <row r="629">
          <cell r="A629">
            <v>40073</v>
          </cell>
          <cell r="B629" t="str">
            <v>#Calc</v>
          </cell>
          <cell r="C629" t="e">
            <v>#DIV/0!</v>
          </cell>
          <cell r="D629" t="e">
            <v>#DIV/0!</v>
          </cell>
          <cell r="E629" t="e">
            <v>#DIV/0!</v>
          </cell>
        </row>
        <row r="630">
          <cell r="A630">
            <v>40074</v>
          </cell>
          <cell r="B630" t="str">
            <v>#Calc</v>
          </cell>
          <cell r="C630" t="e">
            <v>#DIV/0!</v>
          </cell>
          <cell r="D630" t="e">
            <v>#DIV/0!</v>
          </cell>
          <cell r="E630" t="e">
            <v>#DIV/0!</v>
          </cell>
        </row>
        <row r="631">
          <cell r="A631">
            <v>40075</v>
          </cell>
          <cell r="B631" t="str">
            <v>#Calc</v>
          </cell>
          <cell r="C631" t="e">
            <v>#DIV/0!</v>
          </cell>
          <cell r="D631" t="e">
            <v>#DIV/0!</v>
          </cell>
          <cell r="E631" t="e">
            <v>#DIV/0!</v>
          </cell>
        </row>
        <row r="632">
          <cell r="A632">
            <v>40076</v>
          </cell>
          <cell r="B632" t="str">
            <v>#Calc</v>
          </cell>
          <cell r="C632" t="e">
            <v>#DIV/0!</v>
          </cell>
          <cell r="D632" t="e">
            <v>#DIV/0!</v>
          </cell>
          <cell r="E632" t="e">
            <v>#DIV/0!</v>
          </cell>
        </row>
        <row r="633">
          <cell r="A633">
            <v>40077</v>
          </cell>
          <cell r="B633" t="str">
            <v>#Calc</v>
          </cell>
          <cell r="C633" t="e">
            <v>#DIV/0!</v>
          </cell>
          <cell r="D633" t="e">
            <v>#DIV/0!</v>
          </cell>
          <cell r="E633" t="e">
            <v>#DIV/0!</v>
          </cell>
        </row>
        <row r="634">
          <cell r="A634">
            <v>40078</v>
          </cell>
          <cell r="B634" t="str">
            <v>#Calc</v>
          </cell>
          <cell r="C634" t="e">
            <v>#DIV/0!</v>
          </cell>
          <cell r="D634" t="e">
            <v>#DIV/0!</v>
          </cell>
          <cell r="E634" t="e">
            <v>#DIV/0!</v>
          </cell>
        </row>
        <row r="635">
          <cell r="A635">
            <v>40079</v>
          </cell>
          <cell r="B635" t="str">
            <v>#Calc</v>
          </cell>
          <cell r="C635" t="e">
            <v>#DIV/0!</v>
          </cell>
          <cell r="D635" t="e">
            <v>#DIV/0!</v>
          </cell>
          <cell r="E635" t="e">
            <v>#DIV/0!</v>
          </cell>
        </row>
        <row r="636">
          <cell r="A636">
            <v>40080</v>
          </cell>
          <cell r="B636" t="str">
            <v>#Calc</v>
          </cell>
          <cell r="C636" t="e">
            <v>#DIV/0!</v>
          </cell>
          <cell r="D636" t="e">
            <v>#DIV/0!</v>
          </cell>
          <cell r="E636" t="e">
            <v>#DIV/0!</v>
          </cell>
        </row>
        <row r="637">
          <cell r="A637">
            <v>40081</v>
          </cell>
          <cell r="B637" t="str">
            <v>#Calc</v>
          </cell>
          <cell r="C637" t="e">
            <v>#DIV/0!</v>
          </cell>
          <cell r="D637" t="e">
            <v>#DIV/0!</v>
          </cell>
          <cell r="E637" t="e">
            <v>#DIV/0!</v>
          </cell>
        </row>
        <row r="638">
          <cell r="A638">
            <v>40082</v>
          </cell>
          <cell r="B638" t="str">
            <v>#Calc</v>
          </cell>
          <cell r="C638" t="e">
            <v>#DIV/0!</v>
          </cell>
          <cell r="D638" t="e">
            <v>#DIV/0!</v>
          </cell>
          <cell r="E638" t="e">
            <v>#DIV/0!</v>
          </cell>
        </row>
        <row r="639">
          <cell r="A639">
            <v>40083</v>
          </cell>
          <cell r="B639" t="str">
            <v>#Calc</v>
          </cell>
          <cell r="C639" t="e">
            <v>#DIV/0!</v>
          </cell>
          <cell r="D639" t="e">
            <v>#DIV/0!</v>
          </cell>
          <cell r="E639" t="e">
            <v>#DIV/0!</v>
          </cell>
        </row>
        <row r="640">
          <cell r="A640">
            <v>40084</v>
          </cell>
          <cell r="B640" t="str">
            <v>#Calc</v>
          </cell>
          <cell r="C640" t="e">
            <v>#DIV/0!</v>
          </cell>
          <cell r="D640" t="e">
            <v>#DIV/0!</v>
          </cell>
          <cell r="E640" t="e">
            <v>#DIV/0!</v>
          </cell>
        </row>
        <row r="641">
          <cell r="A641">
            <v>40085</v>
          </cell>
          <cell r="B641" t="str">
            <v>#Calc</v>
          </cell>
          <cell r="C641" t="e">
            <v>#DIV/0!</v>
          </cell>
          <cell r="D641" t="e">
            <v>#DIV/0!</v>
          </cell>
          <cell r="E641" t="e">
            <v>#DIV/0!</v>
          </cell>
        </row>
        <row r="642">
          <cell r="A642">
            <v>40086</v>
          </cell>
          <cell r="B642" t="str">
            <v>#Calc</v>
          </cell>
          <cell r="C642" t="e">
            <v>#DIV/0!</v>
          </cell>
          <cell r="D642" t="e">
            <v>#DIV/0!</v>
          </cell>
          <cell r="E642" t="e">
            <v>#DIV/0!</v>
          </cell>
        </row>
        <row r="643">
          <cell r="A643">
            <v>40087</v>
          </cell>
          <cell r="B643" t="str">
            <v>#Calc</v>
          </cell>
          <cell r="C643" t="e">
            <v>#DIV/0!</v>
          </cell>
          <cell r="D643" t="e">
            <v>#DIV/0!</v>
          </cell>
          <cell r="E643" t="e">
            <v>#DIV/0!</v>
          </cell>
        </row>
        <row r="644">
          <cell r="A644">
            <v>40088</v>
          </cell>
          <cell r="B644" t="str">
            <v>#Calc</v>
          </cell>
          <cell r="C644" t="e">
            <v>#DIV/0!</v>
          </cell>
          <cell r="D644" t="e">
            <v>#DIV/0!</v>
          </cell>
          <cell r="E644" t="e">
            <v>#DIV/0!</v>
          </cell>
        </row>
        <row r="645">
          <cell r="A645">
            <v>40089</v>
          </cell>
          <cell r="B645" t="str">
            <v>#Calc</v>
          </cell>
          <cell r="C645" t="e">
            <v>#DIV/0!</v>
          </cell>
          <cell r="D645" t="e">
            <v>#DIV/0!</v>
          </cell>
          <cell r="E645" t="e">
            <v>#DIV/0!</v>
          </cell>
        </row>
        <row r="646">
          <cell r="A646">
            <v>40090</v>
          </cell>
          <cell r="B646" t="str">
            <v>#Calc</v>
          </cell>
          <cell r="C646" t="e">
            <v>#DIV/0!</v>
          </cell>
          <cell r="D646" t="e">
            <v>#DIV/0!</v>
          </cell>
          <cell r="E646" t="e">
            <v>#DIV/0!</v>
          </cell>
        </row>
        <row r="647">
          <cell r="A647">
            <v>40091</v>
          </cell>
          <cell r="B647" t="str">
            <v>#Calc</v>
          </cell>
          <cell r="C647" t="e">
            <v>#DIV/0!</v>
          </cell>
          <cell r="D647" t="e">
            <v>#DIV/0!</v>
          </cell>
          <cell r="E647" t="e">
            <v>#DIV/0!</v>
          </cell>
        </row>
        <row r="648">
          <cell r="A648">
            <v>40092</v>
          </cell>
          <cell r="B648" t="str">
            <v>#Calc</v>
          </cell>
          <cell r="C648" t="e">
            <v>#DIV/0!</v>
          </cell>
          <cell r="D648" t="e">
            <v>#DIV/0!</v>
          </cell>
          <cell r="E648" t="e">
            <v>#DIV/0!</v>
          </cell>
        </row>
        <row r="649">
          <cell r="A649">
            <v>40093</v>
          </cell>
          <cell r="B649" t="str">
            <v>#Calc</v>
          </cell>
          <cell r="C649" t="e">
            <v>#DIV/0!</v>
          </cell>
          <cell r="D649" t="e">
            <v>#DIV/0!</v>
          </cell>
          <cell r="E649" t="e">
            <v>#DIV/0!</v>
          </cell>
        </row>
        <row r="650">
          <cell r="A650">
            <v>40094</v>
          </cell>
          <cell r="B650" t="str">
            <v>#Calc</v>
          </cell>
          <cell r="C650" t="e">
            <v>#DIV/0!</v>
          </cell>
          <cell r="D650" t="e">
            <v>#DIV/0!</v>
          </cell>
          <cell r="E650" t="e">
            <v>#DIV/0!</v>
          </cell>
        </row>
        <row r="651">
          <cell r="A651">
            <v>40095</v>
          </cell>
          <cell r="B651" t="str">
            <v>#Calc</v>
          </cell>
          <cell r="C651" t="e">
            <v>#DIV/0!</v>
          </cell>
          <cell r="D651" t="e">
            <v>#DIV/0!</v>
          </cell>
          <cell r="E651" t="e">
            <v>#DIV/0!</v>
          </cell>
        </row>
        <row r="652">
          <cell r="A652">
            <v>40096</v>
          </cell>
          <cell r="B652" t="str">
            <v>#Calc</v>
          </cell>
          <cell r="C652" t="e">
            <v>#DIV/0!</v>
          </cell>
          <cell r="D652" t="e">
            <v>#DIV/0!</v>
          </cell>
          <cell r="E652" t="e">
            <v>#DIV/0!</v>
          </cell>
        </row>
        <row r="653">
          <cell r="A653">
            <v>40097</v>
          </cell>
          <cell r="B653" t="str">
            <v>#Calc</v>
          </cell>
          <cell r="C653" t="e">
            <v>#DIV/0!</v>
          </cell>
          <cell r="D653" t="e">
            <v>#DIV/0!</v>
          </cell>
          <cell r="E653" t="e">
            <v>#DIV/0!</v>
          </cell>
        </row>
        <row r="654">
          <cell r="A654">
            <v>40098</v>
          </cell>
          <cell r="B654" t="str">
            <v>#Calc</v>
          </cell>
          <cell r="C654" t="e">
            <v>#DIV/0!</v>
          </cell>
          <cell r="D654" t="e">
            <v>#DIV/0!</v>
          </cell>
          <cell r="E654" t="e">
            <v>#DIV/0!</v>
          </cell>
        </row>
        <row r="655">
          <cell r="A655">
            <v>40099</v>
          </cell>
          <cell r="B655" t="str">
            <v>#Calc</v>
          </cell>
          <cell r="C655" t="e">
            <v>#DIV/0!</v>
          </cell>
          <cell r="D655" t="e">
            <v>#DIV/0!</v>
          </cell>
          <cell r="E655" t="e">
            <v>#DIV/0!</v>
          </cell>
        </row>
        <row r="656">
          <cell r="A656">
            <v>40100</v>
          </cell>
          <cell r="B656" t="str">
            <v>#Calc</v>
          </cell>
          <cell r="C656" t="e">
            <v>#DIV/0!</v>
          </cell>
          <cell r="D656" t="e">
            <v>#DIV/0!</v>
          </cell>
          <cell r="E656" t="e">
            <v>#DIV/0!</v>
          </cell>
        </row>
        <row r="657">
          <cell r="A657">
            <v>40101</v>
          </cell>
          <cell r="B657" t="str">
            <v>#Calc</v>
          </cell>
          <cell r="C657" t="e">
            <v>#DIV/0!</v>
          </cell>
          <cell r="D657" t="e">
            <v>#DIV/0!</v>
          </cell>
          <cell r="E657" t="e">
            <v>#DIV/0!</v>
          </cell>
        </row>
        <row r="658">
          <cell r="A658">
            <v>40102</v>
          </cell>
          <cell r="B658" t="str">
            <v>#Calc</v>
          </cell>
          <cell r="C658" t="e">
            <v>#DIV/0!</v>
          </cell>
          <cell r="D658" t="e">
            <v>#DIV/0!</v>
          </cell>
          <cell r="E658" t="e">
            <v>#DIV/0!</v>
          </cell>
        </row>
        <row r="659">
          <cell r="A659">
            <v>40103</v>
          </cell>
          <cell r="B659" t="str">
            <v>#Calc</v>
          </cell>
          <cell r="C659" t="e">
            <v>#DIV/0!</v>
          </cell>
          <cell r="D659" t="e">
            <v>#DIV/0!</v>
          </cell>
          <cell r="E659" t="e">
            <v>#DIV/0!</v>
          </cell>
        </row>
        <row r="660">
          <cell r="A660">
            <v>40104</v>
          </cell>
          <cell r="B660" t="str">
            <v>#Calc</v>
          </cell>
          <cell r="C660" t="e">
            <v>#DIV/0!</v>
          </cell>
          <cell r="D660" t="e">
            <v>#DIV/0!</v>
          </cell>
          <cell r="E660" t="e">
            <v>#DIV/0!</v>
          </cell>
        </row>
        <row r="661">
          <cell r="A661">
            <v>40105</v>
          </cell>
          <cell r="B661" t="str">
            <v>#Calc</v>
          </cell>
          <cell r="C661" t="e">
            <v>#DIV/0!</v>
          </cell>
          <cell r="D661" t="e">
            <v>#DIV/0!</v>
          </cell>
          <cell r="E661" t="e">
            <v>#DIV/0!</v>
          </cell>
        </row>
        <row r="662">
          <cell r="A662">
            <v>40106</v>
          </cell>
          <cell r="B662" t="str">
            <v>#Calc</v>
          </cell>
          <cell r="C662" t="e">
            <v>#DIV/0!</v>
          </cell>
          <cell r="D662" t="e">
            <v>#DIV/0!</v>
          </cell>
          <cell r="E662" t="e">
            <v>#DIV/0!</v>
          </cell>
        </row>
        <row r="663">
          <cell r="A663">
            <v>40107</v>
          </cell>
          <cell r="B663" t="str">
            <v>#Calc</v>
          </cell>
          <cell r="C663" t="e">
            <v>#DIV/0!</v>
          </cell>
          <cell r="D663" t="e">
            <v>#DIV/0!</v>
          </cell>
          <cell r="E663" t="e">
            <v>#DIV/0!</v>
          </cell>
        </row>
        <row r="664">
          <cell r="A664">
            <v>40108</v>
          </cell>
          <cell r="B664" t="str">
            <v>#Calc</v>
          </cell>
          <cell r="C664" t="e">
            <v>#DIV/0!</v>
          </cell>
          <cell r="D664" t="e">
            <v>#DIV/0!</v>
          </cell>
          <cell r="E664" t="e">
            <v>#DIV/0!</v>
          </cell>
        </row>
        <row r="665">
          <cell r="A665">
            <v>40109</v>
          </cell>
          <cell r="B665" t="str">
            <v>#Calc</v>
          </cell>
          <cell r="C665" t="e">
            <v>#DIV/0!</v>
          </cell>
          <cell r="D665" t="e">
            <v>#DIV/0!</v>
          </cell>
          <cell r="E665" t="e">
            <v>#DIV/0!</v>
          </cell>
        </row>
        <row r="666">
          <cell r="A666">
            <v>40110</v>
          </cell>
          <cell r="B666" t="str">
            <v>#Calc</v>
          </cell>
          <cell r="C666" t="e">
            <v>#DIV/0!</v>
          </cell>
          <cell r="D666" t="e">
            <v>#DIV/0!</v>
          </cell>
          <cell r="E666" t="e">
            <v>#DIV/0!</v>
          </cell>
        </row>
        <row r="667">
          <cell r="A667">
            <v>40111</v>
          </cell>
          <cell r="B667" t="str">
            <v>#Calc</v>
          </cell>
          <cell r="C667" t="e">
            <v>#DIV/0!</v>
          </cell>
          <cell r="D667" t="e">
            <v>#DIV/0!</v>
          </cell>
          <cell r="E667" t="e">
            <v>#DIV/0!</v>
          </cell>
        </row>
        <row r="668">
          <cell r="A668">
            <v>40112</v>
          </cell>
          <cell r="B668" t="str">
            <v>#Calc</v>
          </cell>
          <cell r="C668" t="e">
            <v>#DIV/0!</v>
          </cell>
          <cell r="D668" t="e">
            <v>#DIV/0!</v>
          </cell>
          <cell r="E668" t="e">
            <v>#DIV/0!</v>
          </cell>
        </row>
        <row r="669">
          <cell r="A669">
            <v>40113</v>
          </cell>
          <cell r="B669" t="str">
            <v>#Calc</v>
          </cell>
          <cell r="C669" t="e">
            <v>#DIV/0!</v>
          </cell>
          <cell r="D669" t="e">
            <v>#DIV/0!</v>
          </cell>
          <cell r="E669" t="e">
            <v>#DIV/0!</v>
          </cell>
        </row>
        <row r="670">
          <cell r="A670">
            <v>40114</v>
          </cell>
          <cell r="B670" t="str">
            <v>#Calc</v>
          </cell>
          <cell r="C670" t="e">
            <v>#DIV/0!</v>
          </cell>
          <cell r="D670" t="e">
            <v>#DIV/0!</v>
          </cell>
          <cell r="E670" t="e">
            <v>#DIV/0!</v>
          </cell>
        </row>
        <row r="671">
          <cell r="A671">
            <v>40115</v>
          </cell>
          <cell r="B671" t="str">
            <v>#Calc</v>
          </cell>
          <cell r="C671" t="e">
            <v>#DIV/0!</v>
          </cell>
          <cell r="D671" t="e">
            <v>#DIV/0!</v>
          </cell>
          <cell r="E671" t="e">
            <v>#DIV/0!</v>
          </cell>
        </row>
        <row r="672">
          <cell r="A672">
            <v>40116</v>
          </cell>
          <cell r="B672" t="str">
            <v>#Calc</v>
          </cell>
          <cell r="C672" t="e">
            <v>#DIV/0!</v>
          </cell>
          <cell r="D672" t="e">
            <v>#DIV/0!</v>
          </cell>
          <cell r="E672" t="e">
            <v>#DIV/0!</v>
          </cell>
        </row>
        <row r="673">
          <cell r="A673">
            <v>40117</v>
          </cell>
          <cell r="B673" t="str">
            <v>#Calc</v>
          </cell>
          <cell r="C673" t="e">
            <v>#DIV/0!</v>
          </cell>
          <cell r="D673" t="e">
            <v>#DIV/0!</v>
          </cell>
          <cell r="E673" t="e">
            <v>#DIV/0!</v>
          </cell>
        </row>
        <row r="674">
          <cell r="A674">
            <v>40118</v>
          </cell>
          <cell r="B674" t="str">
            <v>#Calc</v>
          </cell>
          <cell r="C674" t="e">
            <v>#DIV/0!</v>
          </cell>
          <cell r="D674" t="e">
            <v>#DIV/0!</v>
          </cell>
          <cell r="E674" t="e">
            <v>#DIV/0!</v>
          </cell>
        </row>
        <row r="675">
          <cell r="A675">
            <v>40119</v>
          </cell>
          <cell r="B675" t="str">
            <v>#Calc</v>
          </cell>
          <cell r="C675" t="e">
            <v>#DIV/0!</v>
          </cell>
          <cell r="D675" t="e">
            <v>#DIV/0!</v>
          </cell>
          <cell r="E675" t="e">
            <v>#DIV/0!</v>
          </cell>
        </row>
        <row r="676">
          <cell r="A676">
            <v>40120</v>
          </cell>
          <cell r="B676" t="str">
            <v>#Calc</v>
          </cell>
          <cell r="C676" t="e">
            <v>#DIV/0!</v>
          </cell>
          <cell r="D676" t="e">
            <v>#DIV/0!</v>
          </cell>
          <cell r="E676" t="e">
            <v>#DIV/0!</v>
          </cell>
        </row>
        <row r="677">
          <cell r="A677">
            <v>40121</v>
          </cell>
          <cell r="B677" t="str">
            <v>#Calc</v>
          </cell>
          <cell r="C677" t="e">
            <v>#DIV/0!</v>
          </cell>
          <cell r="D677" t="e">
            <v>#DIV/0!</v>
          </cell>
          <cell r="E677" t="e">
            <v>#DIV/0!</v>
          </cell>
        </row>
        <row r="678">
          <cell r="A678">
            <v>40122</v>
          </cell>
          <cell r="B678" t="str">
            <v>#Calc</v>
          </cell>
          <cell r="C678" t="e">
            <v>#DIV/0!</v>
          </cell>
          <cell r="D678" t="e">
            <v>#DIV/0!</v>
          </cell>
          <cell r="E678" t="e">
            <v>#DIV/0!</v>
          </cell>
        </row>
        <row r="679">
          <cell r="A679">
            <v>40123</v>
          </cell>
          <cell r="B679" t="str">
            <v>#Calc</v>
          </cell>
          <cell r="C679" t="e">
            <v>#DIV/0!</v>
          </cell>
          <cell r="D679" t="e">
            <v>#DIV/0!</v>
          </cell>
          <cell r="E679" t="e">
            <v>#DIV/0!</v>
          </cell>
        </row>
        <row r="680">
          <cell r="A680">
            <v>40124</v>
          </cell>
          <cell r="B680" t="str">
            <v>#Calc</v>
          </cell>
          <cell r="C680" t="e">
            <v>#DIV/0!</v>
          </cell>
          <cell r="D680" t="e">
            <v>#DIV/0!</v>
          </cell>
          <cell r="E680" t="e">
            <v>#DIV/0!</v>
          </cell>
        </row>
        <row r="681">
          <cell r="A681">
            <v>40125</v>
          </cell>
          <cell r="B681" t="str">
            <v>#Calc</v>
          </cell>
          <cell r="C681" t="e">
            <v>#DIV/0!</v>
          </cell>
          <cell r="D681" t="e">
            <v>#DIV/0!</v>
          </cell>
          <cell r="E681" t="e">
            <v>#DIV/0!</v>
          </cell>
        </row>
        <row r="682">
          <cell r="A682">
            <v>40126</v>
          </cell>
          <cell r="B682" t="str">
            <v>#Calc</v>
          </cell>
          <cell r="C682" t="e">
            <v>#DIV/0!</v>
          </cell>
          <cell r="D682" t="e">
            <v>#DIV/0!</v>
          </cell>
          <cell r="E682" t="e">
            <v>#DIV/0!</v>
          </cell>
        </row>
        <row r="683">
          <cell r="A683">
            <v>40127</v>
          </cell>
          <cell r="B683" t="str">
            <v>#Calc</v>
          </cell>
          <cell r="C683" t="e">
            <v>#DIV/0!</v>
          </cell>
          <cell r="D683" t="e">
            <v>#DIV/0!</v>
          </cell>
          <cell r="E683" t="e">
            <v>#DIV/0!</v>
          </cell>
        </row>
        <row r="684">
          <cell r="A684">
            <v>40128</v>
          </cell>
          <cell r="B684" t="str">
            <v>#Calc</v>
          </cell>
          <cell r="C684" t="e">
            <v>#DIV/0!</v>
          </cell>
          <cell r="D684" t="e">
            <v>#DIV/0!</v>
          </cell>
          <cell r="E684" t="e">
            <v>#DIV/0!</v>
          </cell>
        </row>
        <row r="685">
          <cell r="A685">
            <v>40129</v>
          </cell>
          <cell r="B685" t="str">
            <v>#Calc</v>
          </cell>
          <cell r="C685" t="e">
            <v>#DIV/0!</v>
          </cell>
          <cell r="D685" t="e">
            <v>#DIV/0!</v>
          </cell>
          <cell r="E685" t="e">
            <v>#DIV/0!</v>
          </cell>
        </row>
        <row r="686">
          <cell r="A686">
            <v>40130</v>
          </cell>
          <cell r="B686" t="str">
            <v>#Calc</v>
          </cell>
          <cell r="C686" t="e">
            <v>#DIV/0!</v>
          </cell>
          <cell r="D686" t="e">
            <v>#DIV/0!</v>
          </cell>
          <cell r="E686" t="e">
            <v>#DIV/0!</v>
          </cell>
        </row>
        <row r="687">
          <cell r="A687">
            <v>40131</v>
          </cell>
          <cell r="B687" t="str">
            <v>#Calc</v>
          </cell>
          <cell r="C687" t="e">
            <v>#DIV/0!</v>
          </cell>
          <cell r="D687" t="e">
            <v>#DIV/0!</v>
          </cell>
          <cell r="E687" t="e">
            <v>#DIV/0!</v>
          </cell>
        </row>
        <row r="688">
          <cell r="A688">
            <v>40132</v>
          </cell>
          <cell r="B688" t="str">
            <v>#Calc</v>
          </cell>
          <cell r="C688" t="e">
            <v>#DIV/0!</v>
          </cell>
          <cell r="D688" t="e">
            <v>#DIV/0!</v>
          </cell>
          <cell r="E688" t="e">
            <v>#DIV/0!</v>
          </cell>
        </row>
        <row r="689">
          <cell r="A689">
            <v>40133</v>
          </cell>
          <cell r="B689" t="str">
            <v>#Calc</v>
          </cell>
          <cell r="C689" t="e">
            <v>#DIV/0!</v>
          </cell>
          <cell r="D689" t="e">
            <v>#DIV/0!</v>
          </cell>
          <cell r="E689" t="e">
            <v>#DIV/0!</v>
          </cell>
        </row>
        <row r="690">
          <cell r="A690">
            <v>40134</v>
          </cell>
          <cell r="B690" t="str">
            <v>#Calc</v>
          </cell>
          <cell r="C690" t="e">
            <v>#DIV/0!</v>
          </cell>
          <cell r="D690" t="e">
            <v>#DIV/0!</v>
          </cell>
          <cell r="E690" t="e">
            <v>#DIV/0!</v>
          </cell>
        </row>
        <row r="691">
          <cell r="A691">
            <v>40135</v>
          </cell>
          <cell r="B691" t="str">
            <v>#Calc</v>
          </cell>
          <cell r="C691" t="e">
            <v>#DIV/0!</v>
          </cell>
          <cell r="D691" t="e">
            <v>#DIV/0!</v>
          </cell>
          <cell r="E691" t="e">
            <v>#DIV/0!</v>
          </cell>
        </row>
        <row r="692">
          <cell r="A692">
            <v>40136</v>
          </cell>
          <cell r="B692" t="str">
            <v>#Calc</v>
          </cell>
          <cell r="C692" t="e">
            <v>#DIV/0!</v>
          </cell>
          <cell r="D692" t="e">
            <v>#DIV/0!</v>
          </cell>
          <cell r="E692" t="e">
            <v>#DIV/0!</v>
          </cell>
        </row>
        <row r="693">
          <cell r="A693">
            <v>40137</v>
          </cell>
          <cell r="B693" t="str">
            <v>#Calc</v>
          </cell>
          <cell r="C693" t="e">
            <v>#DIV/0!</v>
          </cell>
          <cell r="D693" t="e">
            <v>#DIV/0!</v>
          </cell>
          <cell r="E693" t="e">
            <v>#DIV/0!</v>
          </cell>
        </row>
        <row r="694">
          <cell r="A694">
            <v>40138</v>
          </cell>
          <cell r="B694" t="str">
            <v>#Calc</v>
          </cell>
          <cell r="C694" t="e">
            <v>#DIV/0!</v>
          </cell>
          <cell r="D694" t="e">
            <v>#DIV/0!</v>
          </cell>
          <cell r="E694" t="e">
            <v>#DIV/0!</v>
          </cell>
        </row>
        <row r="695">
          <cell r="A695">
            <v>40139</v>
          </cell>
          <cell r="B695" t="str">
            <v>#Calc</v>
          </cell>
          <cell r="C695" t="e">
            <v>#DIV/0!</v>
          </cell>
          <cell r="D695" t="e">
            <v>#DIV/0!</v>
          </cell>
          <cell r="E695" t="e">
            <v>#DIV/0!</v>
          </cell>
        </row>
        <row r="696">
          <cell r="A696">
            <v>40140</v>
          </cell>
          <cell r="B696" t="str">
            <v>#Calc</v>
          </cell>
          <cell r="C696" t="e">
            <v>#DIV/0!</v>
          </cell>
          <cell r="D696" t="e">
            <v>#DIV/0!</v>
          </cell>
          <cell r="E696" t="e">
            <v>#DIV/0!</v>
          </cell>
        </row>
        <row r="697">
          <cell r="A697">
            <v>40141</v>
          </cell>
          <cell r="B697" t="str">
            <v>#Calc</v>
          </cell>
          <cell r="C697" t="e">
            <v>#DIV/0!</v>
          </cell>
          <cell r="D697" t="e">
            <v>#DIV/0!</v>
          </cell>
          <cell r="E697" t="e">
            <v>#DIV/0!</v>
          </cell>
        </row>
        <row r="698">
          <cell r="A698">
            <v>40142</v>
          </cell>
          <cell r="B698" t="str">
            <v>#Calc</v>
          </cell>
          <cell r="C698" t="e">
            <v>#DIV/0!</v>
          </cell>
          <cell r="D698" t="e">
            <v>#DIV/0!</v>
          </cell>
          <cell r="E698" t="e">
            <v>#DIV/0!</v>
          </cell>
        </row>
        <row r="699">
          <cell r="A699">
            <v>40143</v>
          </cell>
          <cell r="B699" t="str">
            <v>#Calc</v>
          </cell>
          <cell r="C699" t="e">
            <v>#DIV/0!</v>
          </cell>
          <cell r="D699" t="e">
            <v>#DIV/0!</v>
          </cell>
          <cell r="E699" t="e">
            <v>#DIV/0!</v>
          </cell>
        </row>
        <row r="700">
          <cell r="A700">
            <v>40144</v>
          </cell>
          <cell r="B700" t="str">
            <v>#Calc</v>
          </cell>
          <cell r="C700" t="e">
            <v>#DIV/0!</v>
          </cell>
          <cell r="D700" t="e">
            <v>#DIV/0!</v>
          </cell>
          <cell r="E700" t="e">
            <v>#DIV/0!</v>
          </cell>
        </row>
        <row r="701">
          <cell r="A701">
            <v>40145</v>
          </cell>
          <cell r="B701" t="str">
            <v>#Calc</v>
          </cell>
          <cell r="C701" t="e">
            <v>#DIV/0!</v>
          </cell>
          <cell r="D701" t="e">
            <v>#DIV/0!</v>
          </cell>
          <cell r="E701" t="e">
            <v>#DIV/0!</v>
          </cell>
        </row>
        <row r="702">
          <cell r="A702">
            <v>40146</v>
          </cell>
          <cell r="B702" t="str">
            <v>#Calc</v>
          </cell>
          <cell r="C702" t="e">
            <v>#DIV/0!</v>
          </cell>
          <cell r="D702" t="e">
            <v>#DIV/0!</v>
          </cell>
          <cell r="E702" t="e">
            <v>#DIV/0!</v>
          </cell>
        </row>
        <row r="703">
          <cell r="A703">
            <v>40147</v>
          </cell>
          <cell r="B703" t="str">
            <v>#Calc</v>
          </cell>
          <cell r="C703" t="e">
            <v>#DIV/0!</v>
          </cell>
          <cell r="D703" t="e">
            <v>#DIV/0!</v>
          </cell>
          <cell r="E703" t="e">
            <v>#DIV/0!</v>
          </cell>
        </row>
        <row r="704">
          <cell r="A704">
            <v>40148</v>
          </cell>
          <cell r="B704" t="str">
            <v>#Calc</v>
          </cell>
          <cell r="C704" t="e">
            <v>#DIV/0!</v>
          </cell>
          <cell r="D704" t="e">
            <v>#DIV/0!</v>
          </cell>
          <cell r="E704" t="e">
            <v>#DIV/0!</v>
          </cell>
        </row>
        <row r="705">
          <cell r="A705">
            <v>40149</v>
          </cell>
          <cell r="B705" t="str">
            <v>#Calc</v>
          </cell>
          <cell r="C705" t="e">
            <v>#DIV/0!</v>
          </cell>
          <cell r="D705" t="e">
            <v>#DIV/0!</v>
          </cell>
          <cell r="E705" t="e">
            <v>#DIV/0!</v>
          </cell>
        </row>
        <row r="706">
          <cell r="A706">
            <v>40150</v>
          </cell>
          <cell r="B706" t="str">
            <v>#Calc</v>
          </cell>
          <cell r="C706" t="e">
            <v>#DIV/0!</v>
          </cell>
          <cell r="D706" t="e">
            <v>#DIV/0!</v>
          </cell>
          <cell r="E706" t="e">
            <v>#DIV/0!</v>
          </cell>
        </row>
        <row r="707">
          <cell r="A707">
            <v>40151</v>
          </cell>
          <cell r="B707" t="str">
            <v>#Calc</v>
          </cell>
          <cell r="C707" t="e">
            <v>#DIV/0!</v>
          </cell>
          <cell r="D707" t="e">
            <v>#DIV/0!</v>
          </cell>
          <cell r="E707" t="e">
            <v>#DIV/0!</v>
          </cell>
        </row>
        <row r="708">
          <cell r="A708">
            <v>40152</v>
          </cell>
          <cell r="B708" t="str">
            <v>#Calc</v>
          </cell>
          <cell r="C708" t="e">
            <v>#DIV/0!</v>
          </cell>
          <cell r="D708" t="e">
            <v>#DIV/0!</v>
          </cell>
          <cell r="E708" t="e">
            <v>#DIV/0!</v>
          </cell>
        </row>
        <row r="709">
          <cell r="A709">
            <v>40153</v>
          </cell>
          <cell r="B709" t="str">
            <v>#Calc</v>
          </cell>
          <cell r="C709" t="e">
            <v>#DIV/0!</v>
          </cell>
          <cell r="D709" t="e">
            <v>#DIV/0!</v>
          </cell>
          <cell r="E709" t="e">
            <v>#DIV/0!</v>
          </cell>
        </row>
        <row r="710">
          <cell r="A710">
            <v>40154</v>
          </cell>
          <cell r="B710" t="str">
            <v>#Calc</v>
          </cell>
          <cell r="C710" t="e">
            <v>#DIV/0!</v>
          </cell>
          <cell r="D710" t="e">
            <v>#DIV/0!</v>
          </cell>
          <cell r="E710" t="e">
            <v>#DIV/0!</v>
          </cell>
        </row>
        <row r="711">
          <cell r="A711">
            <v>40155</v>
          </cell>
          <cell r="B711" t="str">
            <v>#Calc</v>
          </cell>
          <cell r="C711" t="e">
            <v>#DIV/0!</v>
          </cell>
          <cell r="D711" t="e">
            <v>#DIV/0!</v>
          </cell>
          <cell r="E711" t="e">
            <v>#DIV/0!</v>
          </cell>
        </row>
        <row r="712">
          <cell r="A712">
            <v>40156</v>
          </cell>
          <cell r="B712" t="str">
            <v>#Calc</v>
          </cell>
          <cell r="C712" t="e">
            <v>#DIV/0!</v>
          </cell>
          <cell r="D712" t="e">
            <v>#DIV/0!</v>
          </cell>
          <cell r="E712" t="e">
            <v>#DIV/0!</v>
          </cell>
        </row>
        <row r="713">
          <cell r="A713">
            <v>40157</v>
          </cell>
          <cell r="B713" t="str">
            <v>#Calc</v>
          </cell>
          <cell r="C713" t="e">
            <v>#DIV/0!</v>
          </cell>
          <cell r="D713" t="e">
            <v>#DIV/0!</v>
          </cell>
          <cell r="E713" t="e">
            <v>#DIV/0!</v>
          </cell>
        </row>
        <row r="714">
          <cell r="A714">
            <v>40158</v>
          </cell>
          <cell r="B714" t="str">
            <v>#Calc</v>
          </cell>
          <cell r="C714" t="e">
            <v>#DIV/0!</v>
          </cell>
          <cell r="D714" t="e">
            <v>#DIV/0!</v>
          </cell>
          <cell r="E714" t="e">
            <v>#DIV/0!</v>
          </cell>
        </row>
        <row r="715">
          <cell r="A715">
            <v>40159</v>
          </cell>
          <cell r="B715" t="str">
            <v>#Calc</v>
          </cell>
          <cell r="C715" t="e">
            <v>#DIV/0!</v>
          </cell>
          <cell r="D715" t="e">
            <v>#DIV/0!</v>
          </cell>
          <cell r="E715" t="e">
            <v>#DIV/0!</v>
          </cell>
        </row>
        <row r="716">
          <cell r="A716">
            <v>40160</v>
          </cell>
          <cell r="B716" t="str">
            <v>#Calc</v>
          </cell>
          <cell r="C716" t="e">
            <v>#DIV/0!</v>
          </cell>
          <cell r="D716" t="e">
            <v>#DIV/0!</v>
          </cell>
          <cell r="E716" t="e">
            <v>#DIV/0!</v>
          </cell>
        </row>
        <row r="717">
          <cell r="A717">
            <v>40161</v>
          </cell>
          <cell r="B717" t="str">
            <v>#Calc</v>
          </cell>
          <cell r="C717" t="e">
            <v>#DIV/0!</v>
          </cell>
          <cell r="D717" t="e">
            <v>#DIV/0!</v>
          </cell>
          <cell r="E717" t="e">
            <v>#DIV/0!</v>
          </cell>
        </row>
        <row r="718">
          <cell r="A718">
            <v>40162</v>
          </cell>
          <cell r="B718" t="str">
            <v>#Calc</v>
          </cell>
          <cell r="C718" t="e">
            <v>#DIV/0!</v>
          </cell>
          <cell r="D718" t="e">
            <v>#DIV/0!</v>
          </cell>
          <cell r="E718" t="e">
            <v>#DIV/0!</v>
          </cell>
        </row>
        <row r="719">
          <cell r="A719">
            <v>40163</v>
          </cell>
          <cell r="B719" t="str">
            <v>#Calc</v>
          </cell>
          <cell r="C719" t="e">
            <v>#DIV/0!</v>
          </cell>
          <cell r="D719" t="e">
            <v>#DIV/0!</v>
          </cell>
          <cell r="E719" t="e">
            <v>#DIV/0!</v>
          </cell>
        </row>
        <row r="720">
          <cell r="A720">
            <v>40164</v>
          </cell>
          <cell r="B720" t="str">
            <v>#Calc</v>
          </cell>
          <cell r="C720" t="e">
            <v>#DIV/0!</v>
          </cell>
          <cell r="D720" t="e">
            <v>#DIV/0!</v>
          </cell>
          <cell r="E720" t="e">
            <v>#DIV/0!</v>
          </cell>
        </row>
        <row r="721">
          <cell r="A721">
            <v>40165</v>
          </cell>
          <cell r="B721" t="str">
            <v>#Calc</v>
          </cell>
          <cell r="C721" t="e">
            <v>#DIV/0!</v>
          </cell>
          <cell r="D721" t="e">
            <v>#DIV/0!</v>
          </cell>
          <cell r="E721" t="e">
            <v>#DIV/0!</v>
          </cell>
        </row>
        <row r="722">
          <cell r="A722">
            <v>40166</v>
          </cell>
          <cell r="B722" t="str">
            <v>#Calc</v>
          </cell>
          <cell r="C722" t="e">
            <v>#DIV/0!</v>
          </cell>
          <cell r="D722" t="e">
            <v>#DIV/0!</v>
          </cell>
          <cell r="E722" t="e">
            <v>#DIV/0!</v>
          </cell>
        </row>
        <row r="723">
          <cell r="A723">
            <v>40167</v>
          </cell>
          <cell r="B723" t="str">
            <v>#Calc</v>
          </cell>
          <cell r="C723" t="e">
            <v>#DIV/0!</v>
          </cell>
          <cell r="D723" t="e">
            <v>#DIV/0!</v>
          </cell>
          <cell r="E723" t="e">
            <v>#DIV/0!</v>
          </cell>
        </row>
        <row r="724">
          <cell r="A724">
            <v>40168</v>
          </cell>
          <cell r="B724" t="str">
            <v>#Calc</v>
          </cell>
          <cell r="C724" t="e">
            <v>#DIV/0!</v>
          </cell>
          <cell r="D724" t="e">
            <v>#DIV/0!</v>
          </cell>
          <cell r="E724" t="e">
            <v>#DIV/0!</v>
          </cell>
        </row>
        <row r="725">
          <cell r="A725">
            <v>40169</v>
          </cell>
          <cell r="B725" t="str">
            <v>#Calc</v>
          </cell>
          <cell r="C725" t="e">
            <v>#DIV/0!</v>
          </cell>
          <cell r="D725" t="e">
            <v>#DIV/0!</v>
          </cell>
          <cell r="E725" t="e">
            <v>#DIV/0!</v>
          </cell>
        </row>
        <row r="726">
          <cell r="A726">
            <v>40170</v>
          </cell>
          <cell r="B726" t="str">
            <v>#Calc</v>
          </cell>
          <cell r="C726" t="e">
            <v>#DIV/0!</v>
          </cell>
          <cell r="D726" t="e">
            <v>#DIV/0!</v>
          </cell>
          <cell r="E726" t="e">
            <v>#DIV/0!</v>
          </cell>
        </row>
        <row r="727">
          <cell r="A727">
            <v>40171</v>
          </cell>
          <cell r="B727" t="str">
            <v>#Calc</v>
          </cell>
          <cell r="C727" t="e">
            <v>#DIV/0!</v>
          </cell>
          <cell r="D727" t="e">
            <v>#DIV/0!</v>
          </cell>
          <cell r="E727" t="e">
            <v>#DIV/0!</v>
          </cell>
        </row>
        <row r="728">
          <cell r="A728">
            <v>40172</v>
          </cell>
          <cell r="B728" t="str">
            <v>#Calc</v>
          </cell>
          <cell r="C728" t="e">
            <v>#DIV/0!</v>
          </cell>
          <cell r="D728" t="e">
            <v>#DIV/0!</v>
          </cell>
          <cell r="E728" t="e">
            <v>#DIV/0!</v>
          </cell>
        </row>
        <row r="729">
          <cell r="A729">
            <v>40173</v>
          </cell>
          <cell r="B729" t="str">
            <v>#Calc</v>
          </cell>
          <cell r="C729" t="e">
            <v>#DIV/0!</v>
          </cell>
          <cell r="D729" t="e">
            <v>#DIV/0!</v>
          </cell>
          <cell r="E729" t="e">
            <v>#DIV/0!</v>
          </cell>
        </row>
        <row r="730">
          <cell r="A730">
            <v>40174</v>
          </cell>
          <cell r="B730" t="str">
            <v>#Calc</v>
          </cell>
          <cell r="C730" t="e">
            <v>#DIV/0!</v>
          </cell>
          <cell r="D730" t="e">
            <v>#DIV/0!</v>
          </cell>
          <cell r="E730" t="e">
            <v>#DIV/0!</v>
          </cell>
        </row>
        <row r="731">
          <cell r="A731">
            <v>40175</v>
          </cell>
          <cell r="B731" t="str">
            <v>#Calc</v>
          </cell>
          <cell r="C731" t="e">
            <v>#DIV/0!</v>
          </cell>
          <cell r="D731" t="e">
            <v>#DIV/0!</v>
          </cell>
          <cell r="E731" t="e">
            <v>#DIV/0!</v>
          </cell>
        </row>
        <row r="732">
          <cell r="A732">
            <v>40176</v>
          </cell>
          <cell r="B732" t="str">
            <v>#Calc</v>
          </cell>
          <cell r="C732" t="e">
            <v>#DIV/0!</v>
          </cell>
          <cell r="D732" t="e">
            <v>#DIV/0!</v>
          </cell>
          <cell r="E732" t="e">
            <v>#DIV/0!</v>
          </cell>
        </row>
        <row r="733">
          <cell r="A733">
            <v>40177</v>
          </cell>
          <cell r="B733" t="str">
            <v>#Calc</v>
          </cell>
          <cell r="C733" t="e">
            <v>#DIV/0!</v>
          </cell>
          <cell r="D733" t="e">
            <v>#DIV/0!</v>
          </cell>
          <cell r="E733" t="e">
            <v>#DIV/0!</v>
          </cell>
        </row>
        <row r="734">
          <cell r="A734">
            <v>40178</v>
          </cell>
          <cell r="B734" t="str">
            <v>#Calc</v>
          </cell>
          <cell r="C734" t="e">
            <v>#DIV/0!</v>
          </cell>
          <cell r="D734" t="e">
            <v>#DIV/0!</v>
          </cell>
          <cell r="E734" t="e">
            <v>#DIV/0!</v>
          </cell>
        </row>
        <row r="735">
          <cell r="A735">
            <v>40179</v>
          </cell>
          <cell r="B735" t="str">
            <v>#Calc</v>
          </cell>
          <cell r="C735" t="e">
            <v>#DIV/0!</v>
          </cell>
          <cell r="D735" t="e">
            <v>#DIV/0!</v>
          </cell>
          <cell r="E735" t="e">
            <v>#DIV/0!</v>
          </cell>
        </row>
        <row r="736">
          <cell r="A736">
            <v>40180</v>
          </cell>
          <cell r="B736" t="str">
            <v>#Calc</v>
          </cell>
          <cell r="C736" t="e">
            <v>#DIV/0!</v>
          </cell>
          <cell r="D736" t="e">
            <v>#DIV/0!</v>
          </cell>
          <cell r="E736" t="e">
            <v>#DIV/0!</v>
          </cell>
        </row>
        <row r="737">
          <cell r="A737">
            <v>40181</v>
          </cell>
          <cell r="B737" t="str">
            <v>#Calc</v>
          </cell>
          <cell r="C737" t="e">
            <v>#DIV/0!</v>
          </cell>
          <cell r="D737" t="e">
            <v>#DIV/0!</v>
          </cell>
          <cell r="E737" t="e">
            <v>#DIV/0!</v>
          </cell>
        </row>
        <row r="738">
          <cell r="A738">
            <v>40182</v>
          </cell>
          <cell r="B738" t="str">
            <v>#Calc</v>
          </cell>
          <cell r="C738" t="e">
            <v>#DIV/0!</v>
          </cell>
          <cell r="D738" t="e">
            <v>#DIV/0!</v>
          </cell>
          <cell r="E738" t="e">
            <v>#DIV/0!</v>
          </cell>
        </row>
        <row r="739">
          <cell r="A739">
            <v>40183</v>
          </cell>
          <cell r="B739" t="str">
            <v>#Calc</v>
          </cell>
          <cell r="C739" t="e">
            <v>#DIV/0!</v>
          </cell>
          <cell r="D739" t="e">
            <v>#DIV/0!</v>
          </cell>
          <cell r="E739" t="e">
            <v>#DIV/0!</v>
          </cell>
        </row>
        <row r="740">
          <cell r="A740">
            <v>40184</v>
          </cell>
          <cell r="B740" t="str">
            <v>#Calc</v>
          </cell>
          <cell r="C740" t="e">
            <v>#DIV/0!</v>
          </cell>
          <cell r="D740" t="e">
            <v>#DIV/0!</v>
          </cell>
          <cell r="E740" t="e">
            <v>#DIV/0!</v>
          </cell>
        </row>
        <row r="741">
          <cell r="A741">
            <v>40185</v>
          </cell>
          <cell r="B741" t="str">
            <v>#Calc</v>
          </cell>
          <cell r="C741" t="e">
            <v>#DIV/0!</v>
          </cell>
          <cell r="D741" t="e">
            <v>#DIV/0!</v>
          </cell>
          <cell r="E741" t="e">
            <v>#DIV/0!</v>
          </cell>
        </row>
        <row r="742">
          <cell r="A742">
            <v>40186</v>
          </cell>
          <cell r="B742" t="str">
            <v>#Calc</v>
          </cell>
          <cell r="C742" t="e">
            <v>#DIV/0!</v>
          </cell>
          <cell r="D742" t="e">
            <v>#DIV/0!</v>
          </cell>
          <cell r="E742" t="e">
            <v>#DIV/0!</v>
          </cell>
        </row>
        <row r="743">
          <cell r="A743">
            <v>40187</v>
          </cell>
          <cell r="B743" t="str">
            <v>#Calc</v>
          </cell>
          <cell r="C743" t="e">
            <v>#DIV/0!</v>
          </cell>
          <cell r="D743" t="e">
            <v>#DIV/0!</v>
          </cell>
          <cell r="E743" t="e">
            <v>#DIV/0!</v>
          </cell>
        </row>
        <row r="744">
          <cell r="A744">
            <v>40188</v>
          </cell>
          <cell r="B744" t="str">
            <v>#Calc</v>
          </cell>
          <cell r="C744" t="e">
            <v>#DIV/0!</v>
          </cell>
          <cell r="D744" t="e">
            <v>#DIV/0!</v>
          </cell>
          <cell r="E744" t="e">
            <v>#DIV/0!</v>
          </cell>
        </row>
        <row r="745">
          <cell r="A745">
            <v>40189</v>
          </cell>
          <cell r="B745" t="str">
            <v>#Calc</v>
          </cell>
          <cell r="C745" t="e">
            <v>#DIV/0!</v>
          </cell>
          <cell r="D745" t="e">
            <v>#DIV/0!</v>
          </cell>
          <cell r="E745" t="e">
            <v>#DIV/0!</v>
          </cell>
        </row>
        <row r="746">
          <cell r="A746">
            <v>40190</v>
          </cell>
          <cell r="B746" t="str">
            <v>#Calc</v>
          </cell>
          <cell r="C746" t="e">
            <v>#DIV/0!</v>
          </cell>
          <cell r="D746" t="e">
            <v>#DIV/0!</v>
          </cell>
          <cell r="E746" t="e">
            <v>#DIV/0!</v>
          </cell>
        </row>
        <row r="747">
          <cell r="A747">
            <v>40191</v>
          </cell>
          <cell r="B747" t="str">
            <v>#Calc</v>
          </cell>
          <cell r="C747" t="e">
            <v>#DIV/0!</v>
          </cell>
          <cell r="D747" t="e">
            <v>#DIV/0!</v>
          </cell>
          <cell r="E747" t="e">
            <v>#DIV/0!</v>
          </cell>
        </row>
        <row r="748">
          <cell r="A748">
            <v>40192</v>
          </cell>
          <cell r="B748" t="str">
            <v>#Calc</v>
          </cell>
          <cell r="C748" t="e">
            <v>#DIV/0!</v>
          </cell>
          <cell r="D748" t="e">
            <v>#DIV/0!</v>
          </cell>
          <cell r="E748" t="e">
            <v>#DIV/0!</v>
          </cell>
        </row>
        <row r="749">
          <cell r="A749">
            <v>40193</v>
          </cell>
          <cell r="B749" t="str">
            <v>#Calc</v>
          </cell>
          <cell r="C749" t="e">
            <v>#DIV/0!</v>
          </cell>
          <cell r="D749" t="e">
            <v>#DIV/0!</v>
          </cell>
          <cell r="E749" t="e">
            <v>#DIV/0!</v>
          </cell>
        </row>
        <row r="750">
          <cell r="A750">
            <v>40194</v>
          </cell>
          <cell r="B750" t="str">
            <v>#Calc</v>
          </cell>
          <cell r="C750" t="e">
            <v>#DIV/0!</v>
          </cell>
          <cell r="D750" t="e">
            <v>#DIV/0!</v>
          </cell>
          <cell r="E750" t="e">
            <v>#DIV/0!</v>
          </cell>
        </row>
        <row r="751">
          <cell r="A751">
            <v>40195</v>
          </cell>
          <cell r="B751" t="str">
            <v>#Calc</v>
          </cell>
          <cell r="C751" t="e">
            <v>#DIV/0!</v>
          </cell>
          <cell r="D751" t="e">
            <v>#DIV/0!</v>
          </cell>
          <cell r="E751" t="e">
            <v>#DIV/0!</v>
          </cell>
        </row>
        <row r="752">
          <cell r="A752">
            <v>40196</v>
          </cell>
          <cell r="B752" t="str">
            <v>#Calc</v>
          </cell>
          <cell r="C752" t="e">
            <v>#DIV/0!</v>
          </cell>
          <cell r="D752" t="e">
            <v>#DIV/0!</v>
          </cell>
          <cell r="E752" t="e">
            <v>#DIV/0!</v>
          </cell>
        </row>
        <row r="753">
          <cell r="A753">
            <v>40197</v>
          </cell>
          <cell r="B753" t="str">
            <v>#Calc</v>
          </cell>
          <cell r="C753" t="e">
            <v>#DIV/0!</v>
          </cell>
          <cell r="D753" t="e">
            <v>#DIV/0!</v>
          </cell>
          <cell r="E753" t="e">
            <v>#DIV/0!</v>
          </cell>
        </row>
        <row r="754">
          <cell r="A754">
            <v>40198</v>
          </cell>
          <cell r="B754" t="str">
            <v>#Calc</v>
          </cell>
          <cell r="C754" t="e">
            <v>#DIV/0!</v>
          </cell>
          <cell r="D754" t="e">
            <v>#DIV/0!</v>
          </cell>
          <cell r="E754" t="e">
            <v>#DIV/0!</v>
          </cell>
        </row>
        <row r="755">
          <cell r="A755">
            <v>40199</v>
          </cell>
          <cell r="B755" t="str">
            <v>#Calc</v>
          </cell>
          <cell r="C755" t="e">
            <v>#DIV/0!</v>
          </cell>
          <cell r="D755" t="e">
            <v>#DIV/0!</v>
          </cell>
          <cell r="E755" t="e">
            <v>#DIV/0!</v>
          </cell>
        </row>
        <row r="756">
          <cell r="A756">
            <v>40200</v>
          </cell>
          <cell r="B756" t="str">
            <v>#Calc</v>
          </cell>
          <cell r="C756" t="e">
            <v>#DIV/0!</v>
          </cell>
          <cell r="D756" t="e">
            <v>#DIV/0!</v>
          </cell>
          <cell r="E756" t="e">
            <v>#DIV/0!</v>
          </cell>
        </row>
        <row r="757">
          <cell r="A757">
            <v>40201</v>
          </cell>
          <cell r="B757" t="str">
            <v>#Calc</v>
          </cell>
          <cell r="C757" t="e">
            <v>#DIV/0!</v>
          </cell>
          <cell r="D757" t="e">
            <v>#DIV/0!</v>
          </cell>
          <cell r="E757" t="e">
            <v>#DIV/0!</v>
          </cell>
        </row>
        <row r="758">
          <cell r="A758">
            <v>40202</v>
          </cell>
          <cell r="B758" t="str">
            <v>#Calc</v>
          </cell>
          <cell r="C758" t="e">
            <v>#DIV/0!</v>
          </cell>
          <cell r="D758" t="e">
            <v>#DIV/0!</v>
          </cell>
          <cell r="E758" t="e">
            <v>#DIV/0!</v>
          </cell>
        </row>
        <row r="759">
          <cell r="A759">
            <v>40203</v>
          </cell>
          <cell r="B759" t="str">
            <v>#Calc</v>
          </cell>
          <cell r="C759" t="e">
            <v>#DIV/0!</v>
          </cell>
          <cell r="D759" t="e">
            <v>#DIV/0!</v>
          </cell>
          <cell r="E759" t="e">
            <v>#DIV/0!</v>
          </cell>
        </row>
        <row r="760">
          <cell r="A760">
            <v>40204</v>
          </cell>
          <cell r="B760" t="str">
            <v>#Calc</v>
          </cell>
          <cell r="C760" t="e">
            <v>#DIV/0!</v>
          </cell>
          <cell r="D760" t="e">
            <v>#DIV/0!</v>
          </cell>
          <cell r="E760" t="e">
            <v>#DIV/0!</v>
          </cell>
        </row>
        <row r="761">
          <cell r="A761">
            <v>40205</v>
          </cell>
          <cell r="B761" t="str">
            <v>#Calc</v>
          </cell>
          <cell r="C761" t="e">
            <v>#DIV/0!</v>
          </cell>
          <cell r="D761" t="e">
            <v>#DIV/0!</v>
          </cell>
          <cell r="E761" t="e">
            <v>#DIV/0!</v>
          </cell>
        </row>
        <row r="762">
          <cell r="A762">
            <v>40206</v>
          </cell>
          <cell r="B762" t="str">
            <v>#Calc</v>
          </cell>
          <cell r="C762" t="e">
            <v>#DIV/0!</v>
          </cell>
          <cell r="D762" t="e">
            <v>#DIV/0!</v>
          </cell>
          <cell r="E762" t="e">
            <v>#DIV/0!</v>
          </cell>
        </row>
        <row r="763">
          <cell r="A763">
            <v>40207</v>
          </cell>
          <cell r="B763" t="str">
            <v>#Calc</v>
          </cell>
          <cell r="C763" t="e">
            <v>#DIV/0!</v>
          </cell>
          <cell r="D763" t="e">
            <v>#DIV/0!</v>
          </cell>
          <cell r="E763" t="e">
            <v>#DIV/0!</v>
          </cell>
        </row>
        <row r="764">
          <cell r="A764">
            <v>40208</v>
          </cell>
          <cell r="B764" t="str">
            <v>#Calc</v>
          </cell>
          <cell r="C764" t="e">
            <v>#DIV/0!</v>
          </cell>
          <cell r="D764" t="e">
            <v>#DIV/0!</v>
          </cell>
          <cell r="E764" t="e">
            <v>#DIV/0!</v>
          </cell>
        </row>
        <row r="765">
          <cell r="A765">
            <v>40209</v>
          </cell>
          <cell r="B765" t="str">
            <v>#Calc</v>
          </cell>
          <cell r="C765" t="e">
            <v>#DIV/0!</v>
          </cell>
          <cell r="D765" t="e">
            <v>#DIV/0!</v>
          </cell>
          <cell r="E765" t="e">
            <v>#DIV/0!</v>
          </cell>
        </row>
        <row r="766">
          <cell r="A766">
            <v>40210</v>
          </cell>
          <cell r="B766" t="str">
            <v>#Calc</v>
          </cell>
          <cell r="C766" t="e">
            <v>#DIV/0!</v>
          </cell>
          <cell r="D766" t="e">
            <v>#DIV/0!</v>
          </cell>
          <cell r="E766" t="e">
            <v>#DIV/0!</v>
          </cell>
        </row>
        <row r="767">
          <cell r="A767">
            <v>40211</v>
          </cell>
          <cell r="B767" t="str">
            <v>#Calc</v>
          </cell>
          <cell r="C767" t="e">
            <v>#DIV/0!</v>
          </cell>
          <cell r="D767" t="e">
            <v>#DIV/0!</v>
          </cell>
          <cell r="E767" t="e">
            <v>#DIV/0!</v>
          </cell>
        </row>
        <row r="768">
          <cell r="A768">
            <v>40212</v>
          </cell>
          <cell r="B768" t="str">
            <v>#Calc</v>
          </cell>
          <cell r="C768" t="e">
            <v>#DIV/0!</v>
          </cell>
          <cell r="D768" t="e">
            <v>#DIV/0!</v>
          </cell>
          <cell r="E768" t="e">
            <v>#DIV/0!</v>
          </cell>
        </row>
        <row r="769">
          <cell r="A769">
            <v>40213</v>
          </cell>
          <cell r="B769" t="str">
            <v>#Calc</v>
          </cell>
          <cell r="C769" t="e">
            <v>#DIV/0!</v>
          </cell>
          <cell r="D769" t="e">
            <v>#DIV/0!</v>
          </cell>
          <cell r="E769" t="e">
            <v>#DIV/0!</v>
          </cell>
        </row>
        <row r="770">
          <cell r="A770">
            <v>40214</v>
          </cell>
          <cell r="B770" t="str">
            <v>#Calc</v>
          </cell>
          <cell r="C770" t="e">
            <v>#DIV/0!</v>
          </cell>
          <cell r="D770" t="e">
            <v>#DIV/0!</v>
          </cell>
          <cell r="E770" t="e">
            <v>#DIV/0!</v>
          </cell>
        </row>
        <row r="771">
          <cell r="A771">
            <v>40215</v>
          </cell>
          <cell r="B771" t="str">
            <v>#Calc</v>
          </cell>
          <cell r="C771" t="e">
            <v>#DIV/0!</v>
          </cell>
          <cell r="D771" t="e">
            <v>#DIV/0!</v>
          </cell>
          <cell r="E771" t="e">
            <v>#DIV/0!</v>
          </cell>
        </row>
        <row r="772">
          <cell r="A772">
            <v>40216</v>
          </cell>
          <cell r="B772" t="str">
            <v>#Calc</v>
          </cell>
          <cell r="C772" t="e">
            <v>#DIV/0!</v>
          </cell>
          <cell r="D772" t="e">
            <v>#DIV/0!</v>
          </cell>
          <cell r="E772" t="e">
            <v>#DIV/0!</v>
          </cell>
        </row>
        <row r="773">
          <cell r="A773">
            <v>40217</v>
          </cell>
          <cell r="B773" t="str">
            <v>#Calc</v>
          </cell>
          <cell r="C773" t="e">
            <v>#DIV/0!</v>
          </cell>
          <cell r="D773" t="e">
            <v>#DIV/0!</v>
          </cell>
          <cell r="E773" t="e">
            <v>#DIV/0!</v>
          </cell>
        </row>
        <row r="774">
          <cell r="A774">
            <v>40218</v>
          </cell>
          <cell r="B774" t="str">
            <v>#Calc</v>
          </cell>
          <cell r="C774" t="e">
            <v>#DIV/0!</v>
          </cell>
          <cell r="D774" t="e">
            <v>#DIV/0!</v>
          </cell>
          <cell r="E774" t="e">
            <v>#DIV/0!</v>
          </cell>
        </row>
        <row r="775">
          <cell r="A775">
            <v>40219</v>
          </cell>
          <cell r="B775" t="str">
            <v>#Calc</v>
          </cell>
          <cell r="C775" t="e">
            <v>#DIV/0!</v>
          </cell>
          <cell r="D775" t="e">
            <v>#DIV/0!</v>
          </cell>
          <cell r="E775" t="e">
            <v>#DIV/0!</v>
          </cell>
        </row>
        <row r="776">
          <cell r="A776">
            <v>40220</v>
          </cell>
          <cell r="B776" t="str">
            <v>#Calc</v>
          </cell>
          <cell r="C776" t="e">
            <v>#DIV/0!</v>
          </cell>
          <cell r="D776" t="e">
            <v>#DIV/0!</v>
          </cell>
          <cell r="E776" t="e">
            <v>#DIV/0!</v>
          </cell>
        </row>
        <row r="777">
          <cell r="A777">
            <v>40221</v>
          </cell>
          <cell r="B777" t="str">
            <v>#Calc</v>
          </cell>
          <cell r="C777" t="e">
            <v>#DIV/0!</v>
          </cell>
          <cell r="D777" t="e">
            <v>#DIV/0!</v>
          </cell>
          <cell r="E777" t="e">
            <v>#DIV/0!</v>
          </cell>
        </row>
        <row r="778">
          <cell r="A778">
            <v>40222</v>
          </cell>
          <cell r="B778" t="str">
            <v>#Calc</v>
          </cell>
          <cell r="C778" t="e">
            <v>#DIV/0!</v>
          </cell>
          <cell r="D778" t="e">
            <v>#DIV/0!</v>
          </cell>
          <cell r="E778" t="e">
            <v>#DIV/0!</v>
          </cell>
        </row>
        <row r="779">
          <cell r="A779">
            <v>40223</v>
          </cell>
          <cell r="B779" t="str">
            <v>#Calc</v>
          </cell>
          <cell r="C779" t="e">
            <v>#DIV/0!</v>
          </cell>
          <cell r="D779" t="e">
            <v>#DIV/0!</v>
          </cell>
          <cell r="E779" t="e">
            <v>#DIV/0!</v>
          </cell>
        </row>
        <row r="780">
          <cell r="A780">
            <v>40224</v>
          </cell>
          <cell r="B780" t="str">
            <v>#Calc</v>
          </cell>
          <cell r="C780" t="e">
            <v>#DIV/0!</v>
          </cell>
          <cell r="D780" t="e">
            <v>#DIV/0!</v>
          </cell>
          <cell r="E780" t="e">
            <v>#DIV/0!</v>
          </cell>
        </row>
        <row r="781">
          <cell r="A781">
            <v>40225</v>
          </cell>
          <cell r="B781" t="str">
            <v>#Calc</v>
          </cell>
          <cell r="C781" t="e">
            <v>#DIV/0!</v>
          </cell>
          <cell r="D781" t="e">
            <v>#DIV/0!</v>
          </cell>
          <cell r="E781" t="e">
            <v>#DIV/0!</v>
          </cell>
        </row>
        <row r="782">
          <cell r="A782">
            <v>40226</v>
          </cell>
          <cell r="B782" t="str">
            <v>#Calc</v>
          </cell>
          <cell r="C782" t="e">
            <v>#DIV/0!</v>
          </cell>
          <cell r="D782" t="e">
            <v>#DIV/0!</v>
          </cell>
          <cell r="E782" t="e">
            <v>#DIV/0!</v>
          </cell>
        </row>
        <row r="783">
          <cell r="A783">
            <v>40227</v>
          </cell>
          <cell r="B783" t="str">
            <v>#Calc</v>
          </cell>
          <cell r="C783" t="e">
            <v>#DIV/0!</v>
          </cell>
          <cell r="D783" t="e">
            <v>#DIV/0!</v>
          </cell>
          <cell r="E783" t="e">
            <v>#DIV/0!</v>
          </cell>
        </row>
        <row r="784">
          <cell r="A784">
            <v>40228</v>
          </cell>
          <cell r="B784" t="str">
            <v>#Calc</v>
          </cell>
          <cell r="C784" t="e">
            <v>#DIV/0!</v>
          </cell>
          <cell r="D784" t="e">
            <v>#DIV/0!</v>
          </cell>
          <cell r="E784" t="e">
            <v>#DIV/0!</v>
          </cell>
        </row>
        <row r="785">
          <cell r="A785">
            <v>40229</v>
          </cell>
          <cell r="B785" t="str">
            <v>#Calc</v>
          </cell>
          <cell r="C785" t="e">
            <v>#DIV/0!</v>
          </cell>
          <cell r="D785" t="e">
            <v>#DIV/0!</v>
          </cell>
          <cell r="E785" t="e">
            <v>#DIV/0!</v>
          </cell>
        </row>
        <row r="786">
          <cell r="A786">
            <v>40230</v>
          </cell>
          <cell r="B786" t="str">
            <v>#Calc</v>
          </cell>
          <cell r="C786" t="e">
            <v>#DIV/0!</v>
          </cell>
          <cell r="D786" t="e">
            <v>#DIV/0!</v>
          </cell>
          <cell r="E786" t="e">
            <v>#DIV/0!</v>
          </cell>
        </row>
        <row r="787">
          <cell r="A787">
            <v>40231</v>
          </cell>
          <cell r="B787" t="str">
            <v>#Calc</v>
          </cell>
          <cell r="C787" t="e">
            <v>#DIV/0!</v>
          </cell>
          <cell r="D787" t="e">
            <v>#DIV/0!</v>
          </cell>
          <cell r="E787" t="e">
            <v>#DIV/0!</v>
          </cell>
        </row>
        <row r="788">
          <cell r="A788">
            <v>40232</v>
          </cell>
          <cell r="B788" t="str">
            <v>#Calc</v>
          </cell>
          <cell r="C788" t="e">
            <v>#DIV/0!</v>
          </cell>
          <cell r="D788" t="e">
            <v>#DIV/0!</v>
          </cell>
          <cell r="E788" t="e">
            <v>#DIV/0!</v>
          </cell>
        </row>
        <row r="789">
          <cell r="A789">
            <v>40233</v>
          </cell>
          <cell r="B789" t="str">
            <v>#Calc</v>
          </cell>
          <cell r="C789" t="e">
            <v>#DIV/0!</v>
          </cell>
          <cell r="D789" t="e">
            <v>#DIV/0!</v>
          </cell>
          <cell r="E789" t="e">
            <v>#DIV/0!</v>
          </cell>
        </row>
        <row r="790">
          <cell r="A790">
            <v>40234</v>
          </cell>
          <cell r="B790" t="str">
            <v>#Calc</v>
          </cell>
          <cell r="C790" t="e">
            <v>#DIV/0!</v>
          </cell>
          <cell r="D790" t="e">
            <v>#DIV/0!</v>
          </cell>
          <cell r="E790" t="e">
            <v>#DIV/0!</v>
          </cell>
        </row>
        <row r="791">
          <cell r="A791">
            <v>40235</v>
          </cell>
          <cell r="B791" t="str">
            <v>#Calc</v>
          </cell>
          <cell r="C791" t="e">
            <v>#DIV/0!</v>
          </cell>
          <cell r="D791" t="e">
            <v>#DIV/0!</v>
          </cell>
          <cell r="E791" t="e">
            <v>#DIV/0!</v>
          </cell>
        </row>
        <row r="792">
          <cell r="A792">
            <v>40236</v>
          </cell>
          <cell r="B792" t="str">
            <v>#Calc</v>
          </cell>
          <cell r="C792" t="e">
            <v>#DIV/0!</v>
          </cell>
          <cell r="D792" t="e">
            <v>#DIV/0!</v>
          </cell>
          <cell r="E792" t="e">
            <v>#DIV/0!</v>
          </cell>
        </row>
        <row r="793">
          <cell r="A793">
            <v>40237</v>
          </cell>
          <cell r="B793" t="str">
            <v>#Calc</v>
          </cell>
          <cell r="C793" t="e">
            <v>#DIV/0!</v>
          </cell>
          <cell r="D793" t="e">
            <v>#DIV/0!</v>
          </cell>
          <cell r="E793" t="e">
            <v>#DIV/0!</v>
          </cell>
        </row>
        <row r="794">
          <cell r="A794">
            <v>40238</v>
          </cell>
          <cell r="B794" t="str">
            <v>#Calc</v>
          </cell>
          <cell r="C794" t="e">
            <v>#DIV/0!</v>
          </cell>
          <cell r="D794" t="e">
            <v>#DIV/0!</v>
          </cell>
          <cell r="E794" t="e">
            <v>#DIV/0!</v>
          </cell>
        </row>
        <row r="795">
          <cell r="A795">
            <v>40239</v>
          </cell>
          <cell r="B795" t="str">
            <v>#Calc</v>
          </cell>
          <cell r="C795" t="e">
            <v>#DIV/0!</v>
          </cell>
          <cell r="D795" t="e">
            <v>#DIV/0!</v>
          </cell>
          <cell r="E795" t="e">
            <v>#DIV/0!</v>
          </cell>
        </row>
        <row r="796">
          <cell r="A796">
            <v>40240</v>
          </cell>
          <cell r="B796" t="str">
            <v>#Calc</v>
          </cell>
          <cell r="C796" t="e">
            <v>#DIV/0!</v>
          </cell>
          <cell r="D796" t="e">
            <v>#DIV/0!</v>
          </cell>
          <cell r="E796" t="e">
            <v>#DIV/0!</v>
          </cell>
        </row>
        <row r="797">
          <cell r="A797">
            <v>40241</v>
          </cell>
          <cell r="B797" t="str">
            <v>#Calc</v>
          </cell>
          <cell r="C797" t="e">
            <v>#DIV/0!</v>
          </cell>
          <cell r="D797" t="e">
            <v>#DIV/0!</v>
          </cell>
          <cell r="E797" t="e">
            <v>#DIV/0!</v>
          </cell>
        </row>
        <row r="798">
          <cell r="A798">
            <v>40242</v>
          </cell>
          <cell r="B798" t="str">
            <v>#Calc</v>
          </cell>
          <cell r="C798" t="e">
            <v>#DIV/0!</v>
          </cell>
          <cell r="D798" t="e">
            <v>#DIV/0!</v>
          </cell>
          <cell r="E798" t="e">
            <v>#DIV/0!</v>
          </cell>
        </row>
        <row r="799">
          <cell r="A799">
            <v>40243</v>
          </cell>
          <cell r="B799" t="str">
            <v>#Calc</v>
          </cell>
          <cell r="C799" t="e">
            <v>#DIV/0!</v>
          </cell>
          <cell r="D799" t="e">
            <v>#DIV/0!</v>
          </cell>
          <cell r="E799" t="e">
            <v>#DIV/0!</v>
          </cell>
        </row>
        <row r="800">
          <cell r="A800">
            <v>40244</v>
          </cell>
          <cell r="B800" t="str">
            <v>#Calc</v>
          </cell>
          <cell r="C800" t="e">
            <v>#DIV/0!</v>
          </cell>
          <cell r="D800" t="e">
            <v>#DIV/0!</v>
          </cell>
          <cell r="E800" t="e">
            <v>#DIV/0!</v>
          </cell>
        </row>
        <row r="801">
          <cell r="A801">
            <v>40245</v>
          </cell>
          <cell r="B801" t="str">
            <v>#Calc</v>
          </cell>
          <cell r="C801" t="e">
            <v>#DIV/0!</v>
          </cell>
          <cell r="D801" t="e">
            <v>#DIV/0!</v>
          </cell>
          <cell r="E801" t="e">
            <v>#DIV/0!</v>
          </cell>
        </row>
        <row r="802">
          <cell r="A802">
            <v>40246</v>
          </cell>
          <cell r="B802" t="str">
            <v>#Calc</v>
          </cell>
          <cell r="C802" t="e">
            <v>#DIV/0!</v>
          </cell>
          <cell r="D802" t="e">
            <v>#DIV/0!</v>
          </cell>
          <cell r="E802" t="e">
            <v>#DIV/0!</v>
          </cell>
        </row>
        <row r="803">
          <cell r="A803">
            <v>40247</v>
          </cell>
          <cell r="B803" t="str">
            <v>#Calc</v>
          </cell>
          <cell r="C803" t="e">
            <v>#DIV/0!</v>
          </cell>
          <cell r="D803" t="e">
            <v>#DIV/0!</v>
          </cell>
          <cell r="E803" t="e">
            <v>#DIV/0!</v>
          </cell>
        </row>
        <row r="804">
          <cell r="A804">
            <v>40248</v>
          </cell>
          <cell r="B804" t="str">
            <v>#Calc</v>
          </cell>
          <cell r="C804" t="e">
            <v>#DIV/0!</v>
          </cell>
          <cell r="D804" t="e">
            <v>#DIV/0!</v>
          </cell>
          <cell r="E804" t="e">
            <v>#DIV/0!</v>
          </cell>
        </row>
        <row r="805">
          <cell r="A805">
            <v>40249</v>
          </cell>
          <cell r="B805" t="str">
            <v>#Calc</v>
          </cell>
          <cell r="C805" t="e">
            <v>#DIV/0!</v>
          </cell>
          <cell r="D805" t="e">
            <v>#DIV/0!</v>
          </cell>
          <cell r="E805" t="e">
            <v>#DIV/0!</v>
          </cell>
        </row>
        <row r="806">
          <cell r="A806">
            <v>40250</v>
          </cell>
          <cell r="B806" t="str">
            <v>#Calc</v>
          </cell>
          <cell r="C806" t="e">
            <v>#DIV/0!</v>
          </cell>
          <cell r="D806" t="e">
            <v>#DIV/0!</v>
          </cell>
          <cell r="E806" t="e">
            <v>#DIV/0!</v>
          </cell>
        </row>
        <row r="807">
          <cell r="A807">
            <v>40251</v>
          </cell>
          <cell r="B807" t="str">
            <v>#Calc</v>
          </cell>
          <cell r="C807" t="e">
            <v>#DIV/0!</v>
          </cell>
          <cell r="D807" t="e">
            <v>#DIV/0!</v>
          </cell>
          <cell r="E807" t="e">
            <v>#DIV/0!</v>
          </cell>
        </row>
        <row r="808">
          <cell r="A808">
            <v>40252</v>
          </cell>
          <cell r="B808" t="str">
            <v>#Calc</v>
          </cell>
          <cell r="C808" t="e">
            <v>#DIV/0!</v>
          </cell>
          <cell r="D808" t="e">
            <v>#DIV/0!</v>
          </cell>
          <cell r="E808" t="e">
            <v>#DIV/0!</v>
          </cell>
        </row>
        <row r="809">
          <cell r="A809">
            <v>40253</v>
          </cell>
          <cell r="B809" t="str">
            <v>#Calc</v>
          </cell>
          <cell r="C809" t="e">
            <v>#DIV/0!</v>
          </cell>
          <cell r="D809" t="e">
            <v>#DIV/0!</v>
          </cell>
          <cell r="E809" t="e">
            <v>#DIV/0!</v>
          </cell>
        </row>
        <row r="810">
          <cell r="A810">
            <v>40254</v>
          </cell>
          <cell r="B810" t="str">
            <v>#Calc</v>
          </cell>
          <cell r="C810" t="e">
            <v>#DIV/0!</v>
          </cell>
          <cell r="D810" t="e">
            <v>#DIV/0!</v>
          </cell>
          <cell r="E810" t="e">
            <v>#DIV/0!</v>
          </cell>
        </row>
        <row r="811">
          <cell r="A811">
            <v>40255</v>
          </cell>
          <cell r="B811" t="str">
            <v>#Calc</v>
          </cell>
          <cell r="C811" t="e">
            <v>#DIV/0!</v>
          </cell>
          <cell r="D811" t="e">
            <v>#DIV/0!</v>
          </cell>
          <cell r="E811" t="e">
            <v>#DIV/0!</v>
          </cell>
        </row>
        <row r="812">
          <cell r="A812">
            <v>40256</v>
          </cell>
          <cell r="B812" t="str">
            <v>#Calc</v>
          </cell>
          <cell r="C812" t="e">
            <v>#DIV/0!</v>
          </cell>
          <cell r="D812" t="e">
            <v>#DIV/0!</v>
          </cell>
          <cell r="E812" t="e">
            <v>#DIV/0!</v>
          </cell>
        </row>
        <row r="813">
          <cell r="A813">
            <v>40257</v>
          </cell>
          <cell r="B813" t="str">
            <v>#Calc</v>
          </cell>
          <cell r="C813" t="e">
            <v>#DIV/0!</v>
          </cell>
          <cell r="D813" t="e">
            <v>#DIV/0!</v>
          </cell>
          <cell r="E813" t="e">
            <v>#DIV/0!</v>
          </cell>
        </row>
        <row r="814">
          <cell r="A814">
            <v>40258</v>
          </cell>
          <cell r="B814" t="str">
            <v>#Calc</v>
          </cell>
          <cell r="C814" t="e">
            <v>#DIV/0!</v>
          </cell>
          <cell r="D814" t="e">
            <v>#DIV/0!</v>
          </cell>
          <cell r="E814" t="e">
            <v>#DIV/0!</v>
          </cell>
        </row>
        <row r="815">
          <cell r="A815">
            <v>40259</v>
          </cell>
          <cell r="B815" t="str">
            <v>#Calc</v>
          </cell>
          <cell r="C815" t="e">
            <v>#DIV/0!</v>
          </cell>
          <cell r="D815" t="e">
            <v>#DIV/0!</v>
          </cell>
          <cell r="E815" t="e">
            <v>#DIV/0!</v>
          </cell>
        </row>
        <row r="816">
          <cell r="A816">
            <v>40260</v>
          </cell>
          <cell r="B816" t="str">
            <v>#Calc</v>
          </cell>
          <cell r="C816" t="e">
            <v>#DIV/0!</v>
          </cell>
          <cell r="D816" t="e">
            <v>#DIV/0!</v>
          </cell>
          <cell r="E816" t="e">
            <v>#DIV/0!</v>
          </cell>
        </row>
        <row r="817">
          <cell r="A817">
            <v>40261</v>
          </cell>
          <cell r="B817" t="str">
            <v>#Calc</v>
          </cell>
          <cell r="C817" t="e">
            <v>#DIV/0!</v>
          </cell>
          <cell r="D817" t="e">
            <v>#DIV/0!</v>
          </cell>
          <cell r="E817" t="e">
            <v>#DIV/0!</v>
          </cell>
        </row>
        <row r="818">
          <cell r="A818">
            <v>40262</v>
          </cell>
          <cell r="B818" t="str">
            <v>#Calc</v>
          </cell>
          <cell r="C818" t="e">
            <v>#DIV/0!</v>
          </cell>
          <cell r="D818" t="e">
            <v>#DIV/0!</v>
          </cell>
          <cell r="E818" t="e">
            <v>#DIV/0!</v>
          </cell>
        </row>
        <row r="819">
          <cell r="A819">
            <v>40263</v>
          </cell>
          <cell r="B819" t="str">
            <v>#Calc</v>
          </cell>
          <cell r="C819" t="e">
            <v>#DIV/0!</v>
          </cell>
          <cell r="D819" t="e">
            <v>#DIV/0!</v>
          </cell>
          <cell r="E819" t="e">
            <v>#DIV/0!</v>
          </cell>
        </row>
        <row r="820">
          <cell r="A820">
            <v>40264</v>
          </cell>
          <cell r="B820" t="str">
            <v>#Calc</v>
          </cell>
          <cell r="C820" t="e">
            <v>#DIV/0!</v>
          </cell>
          <cell r="D820" t="e">
            <v>#DIV/0!</v>
          </cell>
          <cell r="E820" t="e">
            <v>#DIV/0!</v>
          </cell>
        </row>
        <row r="821">
          <cell r="A821">
            <v>40265</v>
          </cell>
          <cell r="B821" t="str">
            <v>#Calc</v>
          </cell>
          <cell r="C821" t="e">
            <v>#DIV/0!</v>
          </cell>
          <cell r="D821" t="e">
            <v>#DIV/0!</v>
          </cell>
          <cell r="E821" t="e">
            <v>#DIV/0!</v>
          </cell>
        </row>
        <row r="822">
          <cell r="A822">
            <v>40266</v>
          </cell>
          <cell r="B822" t="str">
            <v>#Calc</v>
          </cell>
          <cell r="C822" t="e">
            <v>#DIV/0!</v>
          </cell>
          <cell r="D822" t="e">
            <v>#DIV/0!</v>
          </cell>
          <cell r="E822" t="e">
            <v>#DIV/0!</v>
          </cell>
        </row>
        <row r="823">
          <cell r="A823">
            <v>40267</v>
          </cell>
          <cell r="B823" t="str">
            <v>#Calc</v>
          </cell>
          <cell r="C823" t="e">
            <v>#DIV/0!</v>
          </cell>
          <cell r="D823" t="e">
            <v>#DIV/0!</v>
          </cell>
          <cell r="E823" t="e">
            <v>#DIV/0!</v>
          </cell>
        </row>
        <row r="824">
          <cell r="A824">
            <v>40268</v>
          </cell>
          <cell r="B824" t="str">
            <v>#Calc</v>
          </cell>
          <cell r="C824" t="e">
            <v>#DIV/0!</v>
          </cell>
          <cell r="D824" t="e">
            <v>#DIV/0!</v>
          </cell>
          <cell r="E824" t="e">
            <v>#DIV/0!</v>
          </cell>
        </row>
        <row r="825">
          <cell r="A825">
            <v>40269</v>
          </cell>
          <cell r="B825" t="str">
            <v>#Calc</v>
          </cell>
          <cell r="C825" t="e">
            <v>#DIV/0!</v>
          </cell>
          <cell r="D825" t="e">
            <v>#DIV/0!</v>
          </cell>
          <cell r="E825" t="e">
            <v>#DIV/0!</v>
          </cell>
        </row>
        <row r="826">
          <cell r="A826">
            <v>40270</v>
          </cell>
          <cell r="B826" t="str">
            <v>#Calc</v>
          </cell>
          <cell r="C826" t="e">
            <v>#DIV/0!</v>
          </cell>
          <cell r="D826" t="e">
            <v>#DIV/0!</v>
          </cell>
          <cell r="E826" t="e">
            <v>#DIV/0!</v>
          </cell>
        </row>
        <row r="827">
          <cell r="A827">
            <v>40271</v>
          </cell>
          <cell r="B827" t="str">
            <v>#Calc</v>
          </cell>
          <cell r="C827" t="e">
            <v>#DIV/0!</v>
          </cell>
          <cell r="D827" t="e">
            <v>#DIV/0!</v>
          </cell>
          <cell r="E827" t="e">
            <v>#DIV/0!</v>
          </cell>
        </row>
        <row r="828">
          <cell r="A828">
            <v>40272</v>
          </cell>
          <cell r="B828" t="str">
            <v>#Calc</v>
          </cell>
          <cell r="C828" t="e">
            <v>#DIV/0!</v>
          </cell>
          <cell r="D828" t="e">
            <v>#DIV/0!</v>
          </cell>
          <cell r="E828" t="e">
            <v>#DIV/0!</v>
          </cell>
        </row>
        <row r="829">
          <cell r="A829">
            <v>40273</v>
          </cell>
          <cell r="B829" t="str">
            <v>#Calc</v>
          </cell>
          <cell r="C829" t="e">
            <v>#DIV/0!</v>
          </cell>
          <cell r="D829" t="e">
            <v>#DIV/0!</v>
          </cell>
          <cell r="E829" t="e">
            <v>#DIV/0!</v>
          </cell>
        </row>
        <row r="830">
          <cell r="A830">
            <v>40274</v>
          </cell>
          <cell r="B830" t="str">
            <v>#Calc</v>
          </cell>
          <cell r="C830" t="e">
            <v>#DIV/0!</v>
          </cell>
          <cell r="D830" t="e">
            <v>#DIV/0!</v>
          </cell>
          <cell r="E830" t="e">
            <v>#DIV/0!</v>
          </cell>
        </row>
        <row r="831">
          <cell r="A831">
            <v>40275</v>
          </cell>
          <cell r="B831" t="str">
            <v>#Calc</v>
          </cell>
          <cell r="C831" t="e">
            <v>#DIV/0!</v>
          </cell>
          <cell r="D831" t="e">
            <v>#DIV/0!</v>
          </cell>
          <cell r="E831" t="e">
            <v>#DIV/0!</v>
          </cell>
        </row>
        <row r="832">
          <cell r="A832">
            <v>40276</v>
          </cell>
          <cell r="B832" t="str">
            <v>#Calc</v>
          </cell>
          <cell r="C832" t="e">
            <v>#DIV/0!</v>
          </cell>
          <cell r="D832" t="e">
            <v>#DIV/0!</v>
          </cell>
          <cell r="E832" t="e">
            <v>#DIV/0!</v>
          </cell>
        </row>
        <row r="833">
          <cell r="A833">
            <v>40277</v>
          </cell>
          <cell r="B833" t="str">
            <v>#Calc</v>
          </cell>
          <cell r="C833" t="e">
            <v>#DIV/0!</v>
          </cell>
          <cell r="D833" t="e">
            <v>#DIV/0!</v>
          </cell>
          <cell r="E833" t="e">
            <v>#DIV/0!</v>
          </cell>
        </row>
        <row r="834">
          <cell r="A834">
            <v>40278</v>
          </cell>
          <cell r="B834" t="str">
            <v>#Calc</v>
          </cell>
          <cell r="C834" t="e">
            <v>#DIV/0!</v>
          </cell>
          <cell r="D834" t="e">
            <v>#DIV/0!</v>
          </cell>
          <cell r="E834" t="e">
            <v>#DIV/0!</v>
          </cell>
        </row>
        <row r="835">
          <cell r="A835">
            <v>40279</v>
          </cell>
          <cell r="B835" t="str">
            <v>#Calc</v>
          </cell>
          <cell r="C835" t="e">
            <v>#DIV/0!</v>
          </cell>
          <cell r="D835" t="e">
            <v>#DIV/0!</v>
          </cell>
          <cell r="E835" t="e">
            <v>#DIV/0!</v>
          </cell>
        </row>
        <row r="836">
          <cell r="A836">
            <v>40280</v>
          </cell>
          <cell r="B836" t="str">
            <v>#Calc</v>
          </cell>
          <cell r="C836" t="e">
            <v>#DIV/0!</v>
          </cell>
          <cell r="D836" t="e">
            <v>#DIV/0!</v>
          </cell>
          <cell r="E836" t="e">
            <v>#DIV/0!</v>
          </cell>
        </row>
        <row r="837">
          <cell r="A837">
            <v>40281</v>
          </cell>
          <cell r="B837" t="str">
            <v>#Calc</v>
          </cell>
          <cell r="C837" t="e">
            <v>#DIV/0!</v>
          </cell>
          <cell r="D837" t="e">
            <v>#DIV/0!</v>
          </cell>
          <cell r="E837" t="e">
            <v>#DIV/0!</v>
          </cell>
        </row>
        <row r="838">
          <cell r="A838">
            <v>40282</v>
          </cell>
          <cell r="B838" t="str">
            <v>#Calc</v>
          </cell>
          <cell r="C838" t="e">
            <v>#DIV/0!</v>
          </cell>
          <cell r="D838" t="e">
            <v>#DIV/0!</v>
          </cell>
          <cell r="E838" t="e">
            <v>#DIV/0!</v>
          </cell>
        </row>
        <row r="839">
          <cell r="A839">
            <v>40283</v>
          </cell>
          <cell r="B839" t="str">
            <v>#Calc</v>
          </cell>
          <cell r="C839" t="e">
            <v>#DIV/0!</v>
          </cell>
          <cell r="D839" t="e">
            <v>#DIV/0!</v>
          </cell>
          <cell r="E839" t="e">
            <v>#DIV/0!</v>
          </cell>
        </row>
        <row r="840">
          <cell r="A840">
            <v>40284</v>
          </cell>
          <cell r="B840" t="str">
            <v>#Calc</v>
          </cell>
          <cell r="C840" t="e">
            <v>#DIV/0!</v>
          </cell>
          <cell r="D840" t="e">
            <v>#DIV/0!</v>
          </cell>
          <cell r="E840" t="e">
            <v>#DIV/0!</v>
          </cell>
        </row>
        <row r="841">
          <cell r="A841">
            <v>40285</v>
          </cell>
          <cell r="B841" t="str">
            <v>#Calc</v>
          </cell>
          <cell r="C841" t="e">
            <v>#DIV/0!</v>
          </cell>
          <cell r="D841" t="e">
            <v>#DIV/0!</v>
          </cell>
          <cell r="E841" t="e">
            <v>#DIV/0!</v>
          </cell>
        </row>
        <row r="842">
          <cell r="A842">
            <v>40286</v>
          </cell>
          <cell r="B842" t="str">
            <v>#Calc</v>
          </cell>
          <cell r="C842" t="e">
            <v>#DIV/0!</v>
          </cell>
          <cell r="D842" t="e">
            <v>#DIV/0!</v>
          </cell>
          <cell r="E842" t="e">
            <v>#DIV/0!</v>
          </cell>
        </row>
        <row r="843">
          <cell r="A843">
            <v>40287</v>
          </cell>
          <cell r="B843" t="str">
            <v>#Calc</v>
          </cell>
          <cell r="C843" t="e">
            <v>#DIV/0!</v>
          </cell>
          <cell r="D843" t="e">
            <v>#DIV/0!</v>
          </cell>
          <cell r="E843" t="e">
            <v>#DIV/0!</v>
          </cell>
        </row>
        <row r="844">
          <cell r="A844">
            <v>40288</v>
          </cell>
          <cell r="B844" t="str">
            <v>#Calc</v>
          </cell>
          <cell r="C844" t="e">
            <v>#DIV/0!</v>
          </cell>
          <cell r="D844" t="e">
            <v>#DIV/0!</v>
          </cell>
          <cell r="E844" t="e">
            <v>#DIV/0!</v>
          </cell>
        </row>
        <row r="845">
          <cell r="A845">
            <v>40289</v>
          </cell>
          <cell r="B845" t="str">
            <v>#Calc</v>
          </cell>
          <cell r="C845" t="e">
            <v>#DIV/0!</v>
          </cell>
          <cell r="D845" t="e">
            <v>#DIV/0!</v>
          </cell>
          <cell r="E845" t="e">
            <v>#DIV/0!</v>
          </cell>
        </row>
        <row r="846">
          <cell r="A846">
            <v>40290</v>
          </cell>
          <cell r="B846" t="str">
            <v>#Calc</v>
          </cell>
          <cell r="C846" t="e">
            <v>#DIV/0!</v>
          </cell>
          <cell r="D846" t="e">
            <v>#DIV/0!</v>
          </cell>
          <cell r="E846" t="e">
            <v>#DIV/0!</v>
          </cell>
        </row>
        <row r="847">
          <cell r="A847">
            <v>40291</v>
          </cell>
          <cell r="B847" t="str">
            <v>#Calc</v>
          </cell>
          <cell r="C847" t="e">
            <v>#DIV/0!</v>
          </cell>
          <cell r="D847" t="e">
            <v>#DIV/0!</v>
          </cell>
          <cell r="E847" t="e">
            <v>#DIV/0!</v>
          </cell>
        </row>
        <row r="848">
          <cell r="A848">
            <v>40292</v>
          </cell>
          <cell r="B848" t="str">
            <v>#Calc</v>
          </cell>
          <cell r="C848" t="e">
            <v>#DIV/0!</v>
          </cell>
          <cell r="D848" t="e">
            <v>#DIV/0!</v>
          </cell>
          <cell r="E848" t="e">
            <v>#DIV/0!</v>
          </cell>
        </row>
        <row r="849">
          <cell r="A849">
            <v>40293</v>
          </cell>
          <cell r="B849" t="str">
            <v>#Calc</v>
          </cell>
          <cell r="C849" t="e">
            <v>#DIV/0!</v>
          </cell>
          <cell r="D849" t="e">
            <v>#DIV/0!</v>
          </cell>
          <cell r="E849" t="e">
            <v>#DIV/0!</v>
          </cell>
        </row>
        <row r="850">
          <cell r="A850">
            <v>40294</v>
          </cell>
          <cell r="B850" t="str">
            <v>#Calc</v>
          </cell>
          <cell r="C850" t="e">
            <v>#DIV/0!</v>
          </cell>
          <cell r="D850" t="e">
            <v>#DIV/0!</v>
          </cell>
          <cell r="E850" t="e">
            <v>#DIV/0!</v>
          </cell>
        </row>
        <row r="851">
          <cell r="A851">
            <v>40295</v>
          </cell>
          <cell r="B851" t="str">
            <v>#Calc</v>
          </cell>
          <cell r="C851" t="e">
            <v>#DIV/0!</v>
          </cell>
          <cell r="D851" t="e">
            <v>#DIV/0!</v>
          </cell>
          <cell r="E851" t="e">
            <v>#DIV/0!</v>
          </cell>
        </row>
        <row r="852">
          <cell r="A852">
            <v>40296</v>
          </cell>
          <cell r="B852" t="str">
            <v>#Calc</v>
          </cell>
          <cell r="C852" t="e">
            <v>#DIV/0!</v>
          </cell>
          <cell r="D852" t="e">
            <v>#DIV/0!</v>
          </cell>
          <cell r="E852" t="e">
            <v>#DIV/0!</v>
          </cell>
        </row>
        <row r="853">
          <cell r="A853">
            <v>40297</v>
          </cell>
          <cell r="B853" t="str">
            <v>#Calc</v>
          </cell>
          <cell r="C853" t="e">
            <v>#DIV/0!</v>
          </cell>
          <cell r="D853" t="e">
            <v>#DIV/0!</v>
          </cell>
          <cell r="E853" t="e">
            <v>#DIV/0!</v>
          </cell>
        </row>
        <row r="854">
          <cell r="A854">
            <v>40298</v>
          </cell>
          <cell r="B854" t="str">
            <v>#Calc</v>
          </cell>
          <cell r="C854" t="e">
            <v>#DIV/0!</v>
          </cell>
          <cell r="D854" t="e">
            <v>#DIV/0!</v>
          </cell>
          <cell r="E854" t="e">
            <v>#DIV/0!</v>
          </cell>
        </row>
        <row r="855">
          <cell r="A855">
            <v>40299</v>
          </cell>
          <cell r="B855" t="str">
            <v>#Calc</v>
          </cell>
          <cell r="C855" t="e">
            <v>#DIV/0!</v>
          </cell>
          <cell r="D855" t="e">
            <v>#DIV/0!</v>
          </cell>
          <cell r="E855" t="e">
            <v>#DIV/0!</v>
          </cell>
        </row>
        <row r="856">
          <cell r="A856">
            <v>40300</v>
          </cell>
          <cell r="B856" t="str">
            <v>#Calc</v>
          </cell>
          <cell r="C856" t="e">
            <v>#DIV/0!</v>
          </cell>
          <cell r="D856" t="e">
            <v>#DIV/0!</v>
          </cell>
          <cell r="E856" t="e">
            <v>#DIV/0!</v>
          </cell>
        </row>
        <row r="857">
          <cell r="A857">
            <v>40301</v>
          </cell>
          <cell r="B857" t="str">
            <v>#Calc</v>
          </cell>
          <cell r="C857" t="e">
            <v>#DIV/0!</v>
          </cell>
          <cell r="D857" t="e">
            <v>#DIV/0!</v>
          </cell>
          <cell r="E857" t="e">
            <v>#DIV/0!</v>
          </cell>
        </row>
        <row r="858">
          <cell r="A858">
            <v>40302</v>
          </cell>
          <cell r="B858" t="str">
            <v>#Calc</v>
          </cell>
          <cell r="C858" t="e">
            <v>#DIV/0!</v>
          </cell>
          <cell r="D858" t="e">
            <v>#DIV/0!</v>
          </cell>
          <cell r="E858" t="e">
            <v>#DIV/0!</v>
          </cell>
        </row>
        <row r="859">
          <cell r="A859">
            <v>40303</v>
          </cell>
          <cell r="B859" t="str">
            <v>#Calc</v>
          </cell>
          <cell r="C859" t="e">
            <v>#DIV/0!</v>
          </cell>
          <cell r="D859" t="e">
            <v>#DIV/0!</v>
          </cell>
          <cell r="E859" t="e">
            <v>#DIV/0!</v>
          </cell>
        </row>
        <row r="860">
          <cell r="A860">
            <v>40304</v>
          </cell>
          <cell r="B860" t="str">
            <v>#Calc</v>
          </cell>
          <cell r="C860" t="e">
            <v>#DIV/0!</v>
          </cell>
          <cell r="D860" t="e">
            <v>#DIV/0!</v>
          </cell>
          <cell r="E860" t="e">
            <v>#DIV/0!</v>
          </cell>
        </row>
        <row r="861">
          <cell r="A861">
            <v>40305</v>
          </cell>
          <cell r="B861" t="str">
            <v>#Calc</v>
          </cell>
          <cell r="C861" t="e">
            <v>#DIV/0!</v>
          </cell>
          <cell r="D861" t="e">
            <v>#DIV/0!</v>
          </cell>
          <cell r="E861" t="e">
            <v>#DIV/0!</v>
          </cell>
        </row>
        <row r="862">
          <cell r="A862">
            <v>40306</v>
          </cell>
          <cell r="B862" t="str">
            <v>#Calc</v>
          </cell>
          <cell r="C862" t="e">
            <v>#DIV/0!</v>
          </cell>
          <cell r="D862" t="e">
            <v>#DIV/0!</v>
          </cell>
          <cell r="E862" t="e">
            <v>#DIV/0!</v>
          </cell>
        </row>
        <row r="863">
          <cell r="A863">
            <v>40307</v>
          </cell>
          <cell r="B863" t="str">
            <v>#Calc</v>
          </cell>
          <cell r="C863" t="e">
            <v>#DIV/0!</v>
          </cell>
          <cell r="D863" t="e">
            <v>#DIV/0!</v>
          </cell>
          <cell r="E863" t="e">
            <v>#DIV/0!</v>
          </cell>
        </row>
        <row r="864">
          <cell r="A864">
            <v>40308</v>
          </cell>
          <cell r="B864" t="str">
            <v>#Calc</v>
          </cell>
          <cell r="C864" t="e">
            <v>#DIV/0!</v>
          </cell>
          <cell r="D864" t="e">
            <v>#DIV/0!</v>
          </cell>
          <cell r="E864" t="e">
            <v>#DIV/0!</v>
          </cell>
        </row>
        <row r="865">
          <cell r="A865">
            <v>40309</v>
          </cell>
          <cell r="B865" t="str">
            <v>#Calc</v>
          </cell>
          <cell r="C865" t="e">
            <v>#DIV/0!</v>
          </cell>
          <cell r="D865" t="e">
            <v>#DIV/0!</v>
          </cell>
          <cell r="E865" t="e">
            <v>#DIV/0!</v>
          </cell>
        </row>
        <row r="866">
          <cell r="A866">
            <v>40310</v>
          </cell>
          <cell r="B866" t="str">
            <v>#Calc</v>
          </cell>
          <cell r="C866" t="e">
            <v>#DIV/0!</v>
          </cell>
          <cell r="D866" t="e">
            <v>#DIV/0!</v>
          </cell>
          <cell r="E866" t="e">
            <v>#DIV/0!</v>
          </cell>
        </row>
        <row r="867">
          <cell r="A867">
            <v>40311</v>
          </cell>
          <cell r="B867" t="str">
            <v>#Calc</v>
          </cell>
          <cell r="C867" t="e">
            <v>#DIV/0!</v>
          </cell>
          <cell r="D867" t="e">
            <v>#DIV/0!</v>
          </cell>
          <cell r="E867" t="e">
            <v>#DIV/0!</v>
          </cell>
        </row>
        <row r="868">
          <cell r="A868">
            <v>40312</v>
          </cell>
          <cell r="B868" t="str">
            <v>#Calc</v>
          </cell>
          <cell r="C868" t="e">
            <v>#DIV/0!</v>
          </cell>
          <cell r="D868" t="e">
            <v>#DIV/0!</v>
          </cell>
          <cell r="E868" t="e">
            <v>#DIV/0!</v>
          </cell>
        </row>
        <row r="869">
          <cell r="A869">
            <v>40313</v>
          </cell>
          <cell r="B869" t="str">
            <v>#Calc</v>
          </cell>
          <cell r="C869" t="e">
            <v>#DIV/0!</v>
          </cell>
          <cell r="D869" t="e">
            <v>#DIV/0!</v>
          </cell>
          <cell r="E869" t="e">
            <v>#DIV/0!</v>
          </cell>
        </row>
        <row r="870">
          <cell r="A870">
            <v>40314</v>
          </cell>
          <cell r="B870" t="str">
            <v>#Calc</v>
          </cell>
          <cell r="C870" t="e">
            <v>#DIV/0!</v>
          </cell>
          <cell r="D870" t="e">
            <v>#DIV/0!</v>
          </cell>
          <cell r="E870" t="e">
            <v>#DIV/0!</v>
          </cell>
        </row>
        <row r="871">
          <cell r="A871">
            <v>40315</v>
          </cell>
          <cell r="B871" t="str">
            <v>#Calc</v>
          </cell>
          <cell r="C871" t="e">
            <v>#DIV/0!</v>
          </cell>
          <cell r="D871" t="e">
            <v>#DIV/0!</v>
          </cell>
          <cell r="E871" t="e">
            <v>#DIV/0!</v>
          </cell>
        </row>
        <row r="872">
          <cell r="A872">
            <v>40316</v>
          </cell>
          <cell r="B872" t="str">
            <v>#Calc</v>
          </cell>
          <cell r="C872" t="e">
            <v>#DIV/0!</v>
          </cell>
          <cell r="D872" t="e">
            <v>#DIV/0!</v>
          </cell>
          <cell r="E872" t="e">
            <v>#DIV/0!</v>
          </cell>
        </row>
        <row r="873">
          <cell r="A873">
            <v>40317</v>
          </cell>
          <cell r="B873" t="str">
            <v>#Calc</v>
          </cell>
          <cell r="C873" t="e">
            <v>#DIV/0!</v>
          </cell>
          <cell r="D873" t="e">
            <v>#DIV/0!</v>
          </cell>
          <cell r="E873" t="e">
            <v>#DIV/0!</v>
          </cell>
        </row>
        <row r="874">
          <cell r="A874">
            <v>40318</v>
          </cell>
          <cell r="B874" t="str">
            <v>#Calc</v>
          </cell>
          <cell r="C874" t="e">
            <v>#DIV/0!</v>
          </cell>
          <cell r="D874" t="e">
            <v>#DIV/0!</v>
          </cell>
          <cell r="E874" t="e">
            <v>#DIV/0!</v>
          </cell>
        </row>
        <row r="875">
          <cell r="A875">
            <v>40319</v>
          </cell>
          <cell r="B875" t="str">
            <v>#Calc</v>
          </cell>
          <cell r="C875" t="e">
            <v>#DIV/0!</v>
          </cell>
          <cell r="D875" t="e">
            <v>#DIV/0!</v>
          </cell>
          <cell r="E875" t="e">
            <v>#DIV/0!</v>
          </cell>
        </row>
        <row r="876">
          <cell r="A876">
            <v>40320</v>
          </cell>
          <cell r="B876" t="str">
            <v>#Calc</v>
          </cell>
          <cell r="C876" t="e">
            <v>#DIV/0!</v>
          </cell>
          <cell r="D876" t="e">
            <v>#DIV/0!</v>
          </cell>
          <cell r="E876" t="e">
            <v>#DIV/0!</v>
          </cell>
        </row>
        <row r="877">
          <cell r="A877">
            <v>40321</v>
          </cell>
          <cell r="B877" t="str">
            <v>#Calc</v>
          </cell>
          <cell r="C877" t="e">
            <v>#DIV/0!</v>
          </cell>
          <cell r="D877" t="e">
            <v>#DIV/0!</v>
          </cell>
          <cell r="E877" t="e">
            <v>#DIV/0!</v>
          </cell>
        </row>
        <row r="878">
          <cell r="A878">
            <v>40322</v>
          </cell>
          <cell r="B878" t="str">
            <v>#Calc</v>
          </cell>
          <cell r="C878" t="e">
            <v>#DIV/0!</v>
          </cell>
          <cell r="D878" t="e">
            <v>#DIV/0!</v>
          </cell>
          <cell r="E878" t="e">
            <v>#DIV/0!</v>
          </cell>
        </row>
        <row r="879">
          <cell r="A879">
            <v>40323</v>
          </cell>
          <cell r="B879" t="str">
            <v>#Calc</v>
          </cell>
          <cell r="C879" t="e">
            <v>#DIV/0!</v>
          </cell>
          <cell r="D879" t="e">
            <v>#DIV/0!</v>
          </cell>
          <cell r="E879" t="e">
            <v>#DIV/0!</v>
          </cell>
        </row>
        <row r="880">
          <cell r="A880">
            <v>40324</v>
          </cell>
          <cell r="B880" t="str">
            <v>#Calc</v>
          </cell>
          <cell r="C880" t="e">
            <v>#DIV/0!</v>
          </cell>
          <cell r="D880" t="e">
            <v>#DIV/0!</v>
          </cell>
          <cell r="E880" t="e">
            <v>#DIV/0!</v>
          </cell>
        </row>
        <row r="881">
          <cell r="A881">
            <v>40325</v>
          </cell>
          <cell r="B881" t="str">
            <v>#Calc</v>
          </cell>
          <cell r="C881" t="e">
            <v>#DIV/0!</v>
          </cell>
          <cell r="D881" t="e">
            <v>#DIV/0!</v>
          </cell>
          <cell r="E881" t="e">
            <v>#DIV/0!</v>
          </cell>
        </row>
        <row r="882">
          <cell r="A882">
            <v>40326</v>
          </cell>
          <cell r="B882" t="str">
            <v>#Calc</v>
          </cell>
          <cell r="C882" t="e">
            <v>#DIV/0!</v>
          </cell>
          <cell r="D882" t="e">
            <v>#DIV/0!</v>
          </cell>
          <cell r="E882" t="e">
            <v>#DIV/0!</v>
          </cell>
        </row>
        <row r="883">
          <cell r="A883">
            <v>40327</v>
          </cell>
          <cell r="B883" t="str">
            <v>#Calc</v>
          </cell>
          <cell r="C883" t="e">
            <v>#DIV/0!</v>
          </cell>
          <cell r="D883" t="e">
            <v>#DIV/0!</v>
          </cell>
          <cell r="E883" t="e">
            <v>#DIV/0!</v>
          </cell>
        </row>
        <row r="884">
          <cell r="A884">
            <v>40328</v>
          </cell>
          <cell r="B884" t="str">
            <v>#Calc</v>
          </cell>
          <cell r="C884" t="e">
            <v>#DIV/0!</v>
          </cell>
          <cell r="D884" t="e">
            <v>#DIV/0!</v>
          </cell>
          <cell r="E884" t="e">
            <v>#DIV/0!</v>
          </cell>
        </row>
        <row r="885">
          <cell r="A885">
            <v>40329</v>
          </cell>
          <cell r="B885" t="str">
            <v>#Calc</v>
          </cell>
          <cell r="C885" t="e">
            <v>#DIV/0!</v>
          </cell>
          <cell r="D885" t="e">
            <v>#DIV/0!</v>
          </cell>
          <cell r="E885" t="e">
            <v>#DIV/0!</v>
          </cell>
        </row>
        <row r="886">
          <cell r="A886">
            <v>40330</v>
          </cell>
          <cell r="B886" t="str">
            <v>#Calc</v>
          </cell>
          <cell r="C886" t="e">
            <v>#DIV/0!</v>
          </cell>
          <cell r="D886" t="e">
            <v>#DIV/0!</v>
          </cell>
          <cell r="E886" t="e">
            <v>#DIV/0!</v>
          </cell>
        </row>
        <row r="887">
          <cell r="A887">
            <v>40331</v>
          </cell>
          <cell r="B887" t="str">
            <v>#Calc</v>
          </cell>
          <cell r="C887" t="e">
            <v>#DIV/0!</v>
          </cell>
          <cell r="D887" t="e">
            <v>#DIV/0!</v>
          </cell>
          <cell r="E887" t="e">
            <v>#DIV/0!</v>
          </cell>
        </row>
        <row r="888">
          <cell r="A888">
            <v>40332</v>
          </cell>
          <cell r="B888" t="str">
            <v>#Calc</v>
          </cell>
          <cell r="C888" t="e">
            <v>#DIV/0!</v>
          </cell>
          <cell r="D888" t="e">
            <v>#DIV/0!</v>
          </cell>
          <cell r="E888" t="e">
            <v>#DIV/0!</v>
          </cell>
        </row>
        <row r="889">
          <cell r="A889">
            <v>40333</v>
          </cell>
          <cell r="B889" t="str">
            <v>#Calc</v>
          </cell>
          <cell r="C889" t="e">
            <v>#DIV/0!</v>
          </cell>
          <cell r="D889" t="e">
            <v>#DIV/0!</v>
          </cell>
          <cell r="E889" t="e">
            <v>#DIV/0!</v>
          </cell>
        </row>
        <row r="890">
          <cell r="A890">
            <v>40334</v>
          </cell>
          <cell r="B890" t="str">
            <v>#Calc</v>
          </cell>
          <cell r="C890" t="e">
            <v>#DIV/0!</v>
          </cell>
          <cell r="D890" t="e">
            <v>#DIV/0!</v>
          </cell>
          <cell r="E890" t="e">
            <v>#DIV/0!</v>
          </cell>
        </row>
        <row r="891">
          <cell r="A891">
            <v>40335</v>
          </cell>
          <cell r="B891" t="str">
            <v>#Calc</v>
          </cell>
          <cell r="C891" t="e">
            <v>#DIV/0!</v>
          </cell>
          <cell r="D891" t="e">
            <v>#DIV/0!</v>
          </cell>
          <cell r="E891" t="e">
            <v>#DIV/0!</v>
          </cell>
        </row>
        <row r="892">
          <cell r="A892">
            <v>40336</v>
          </cell>
          <cell r="B892" t="str">
            <v>#Calc</v>
          </cell>
          <cell r="C892" t="e">
            <v>#DIV/0!</v>
          </cell>
          <cell r="D892" t="e">
            <v>#DIV/0!</v>
          </cell>
          <cell r="E892" t="e">
            <v>#DIV/0!</v>
          </cell>
        </row>
        <row r="893">
          <cell r="A893">
            <v>40337</v>
          </cell>
          <cell r="B893" t="str">
            <v>#Calc</v>
          </cell>
          <cell r="C893" t="e">
            <v>#DIV/0!</v>
          </cell>
          <cell r="D893" t="e">
            <v>#DIV/0!</v>
          </cell>
          <cell r="E893" t="e">
            <v>#DIV/0!</v>
          </cell>
        </row>
        <row r="894">
          <cell r="A894">
            <v>40338</v>
          </cell>
          <cell r="B894" t="str">
            <v>#Calc</v>
          </cell>
          <cell r="C894" t="e">
            <v>#DIV/0!</v>
          </cell>
          <cell r="D894" t="e">
            <v>#DIV/0!</v>
          </cell>
          <cell r="E894" t="e">
            <v>#DIV/0!</v>
          </cell>
        </row>
        <row r="895">
          <cell r="A895">
            <v>40339</v>
          </cell>
          <cell r="B895" t="str">
            <v>#Calc</v>
          </cell>
          <cell r="C895" t="e">
            <v>#DIV/0!</v>
          </cell>
          <cell r="D895" t="e">
            <v>#DIV/0!</v>
          </cell>
          <cell r="E895" t="e">
            <v>#DIV/0!</v>
          </cell>
        </row>
        <row r="896">
          <cell r="A896">
            <v>40340</v>
          </cell>
          <cell r="B896" t="str">
            <v>#Calc</v>
          </cell>
          <cell r="C896" t="e">
            <v>#DIV/0!</v>
          </cell>
          <cell r="D896" t="e">
            <v>#DIV/0!</v>
          </cell>
          <cell r="E896" t="e">
            <v>#DIV/0!</v>
          </cell>
        </row>
        <row r="897">
          <cell r="A897">
            <v>40341</v>
          </cell>
          <cell r="B897" t="str">
            <v>#Calc</v>
          </cell>
          <cell r="C897" t="e">
            <v>#DIV/0!</v>
          </cell>
          <cell r="D897" t="e">
            <v>#DIV/0!</v>
          </cell>
          <cell r="E897" t="e">
            <v>#DIV/0!</v>
          </cell>
        </row>
        <row r="898">
          <cell r="A898">
            <v>40342</v>
          </cell>
          <cell r="B898" t="str">
            <v>#Calc</v>
          </cell>
          <cell r="C898" t="e">
            <v>#DIV/0!</v>
          </cell>
          <cell r="D898" t="e">
            <v>#DIV/0!</v>
          </cell>
          <cell r="E898" t="e">
            <v>#DIV/0!</v>
          </cell>
        </row>
        <row r="899">
          <cell r="A899">
            <v>40343</v>
          </cell>
          <cell r="B899" t="str">
            <v>#Calc</v>
          </cell>
          <cell r="C899" t="e">
            <v>#DIV/0!</v>
          </cell>
          <cell r="D899" t="e">
            <v>#DIV/0!</v>
          </cell>
          <cell r="E899" t="e">
            <v>#DIV/0!</v>
          </cell>
        </row>
        <row r="900">
          <cell r="A900">
            <v>40344</v>
          </cell>
          <cell r="B900" t="str">
            <v>#Calc</v>
          </cell>
          <cell r="C900" t="e">
            <v>#DIV/0!</v>
          </cell>
          <cell r="D900" t="e">
            <v>#DIV/0!</v>
          </cell>
          <cell r="E900" t="e">
            <v>#DIV/0!</v>
          </cell>
        </row>
        <row r="901">
          <cell r="A901">
            <v>40345</v>
          </cell>
          <cell r="B901" t="str">
            <v>#Calc</v>
          </cell>
          <cell r="C901" t="e">
            <v>#DIV/0!</v>
          </cell>
          <cell r="D901" t="e">
            <v>#DIV/0!</v>
          </cell>
          <cell r="E901" t="e">
            <v>#DIV/0!</v>
          </cell>
        </row>
        <row r="902">
          <cell r="A902">
            <v>40346</v>
          </cell>
          <cell r="B902" t="str">
            <v>#Calc</v>
          </cell>
          <cell r="C902" t="e">
            <v>#DIV/0!</v>
          </cell>
          <cell r="D902" t="e">
            <v>#DIV/0!</v>
          </cell>
          <cell r="E902" t="e">
            <v>#DIV/0!</v>
          </cell>
        </row>
        <row r="903">
          <cell r="A903">
            <v>40347</v>
          </cell>
          <cell r="B903" t="str">
            <v>#Calc</v>
          </cell>
          <cell r="C903" t="e">
            <v>#DIV/0!</v>
          </cell>
          <cell r="D903" t="e">
            <v>#DIV/0!</v>
          </cell>
          <cell r="E903" t="e">
            <v>#DIV/0!</v>
          </cell>
        </row>
        <row r="904">
          <cell r="A904">
            <v>40348</v>
          </cell>
          <cell r="B904" t="str">
            <v>#Calc</v>
          </cell>
          <cell r="C904" t="e">
            <v>#DIV/0!</v>
          </cell>
          <cell r="D904" t="e">
            <v>#DIV/0!</v>
          </cell>
          <cell r="E904" t="e">
            <v>#DIV/0!</v>
          </cell>
        </row>
        <row r="905">
          <cell r="A905">
            <v>40349</v>
          </cell>
          <cell r="B905" t="str">
            <v>#Calc</v>
          </cell>
          <cell r="C905" t="e">
            <v>#DIV/0!</v>
          </cell>
          <cell r="D905" t="e">
            <v>#DIV/0!</v>
          </cell>
          <cell r="E905" t="e">
            <v>#DIV/0!</v>
          </cell>
        </row>
        <row r="906">
          <cell r="A906">
            <v>40350</v>
          </cell>
          <cell r="B906" t="str">
            <v>#Calc</v>
          </cell>
          <cell r="C906" t="e">
            <v>#DIV/0!</v>
          </cell>
          <cell r="D906" t="e">
            <v>#DIV/0!</v>
          </cell>
          <cell r="E906" t="e">
            <v>#DIV/0!</v>
          </cell>
        </row>
        <row r="907">
          <cell r="A907">
            <v>40351</v>
          </cell>
          <cell r="B907" t="str">
            <v>#Calc</v>
          </cell>
          <cell r="C907" t="e">
            <v>#DIV/0!</v>
          </cell>
          <cell r="D907" t="e">
            <v>#DIV/0!</v>
          </cell>
          <cell r="E907" t="e">
            <v>#DIV/0!</v>
          </cell>
        </row>
        <row r="908">
          <cell r="A908">
            <v>40352</v>
          </cell>
          <cell r="B908" t="str">
            <v>#Calc</v>
          </cell>
          <cell r="C908" t="e">
            <v>#DIV/0!</v>
          </cell>
          <cell r="D908" t="e">
            <v>#DIV/0!</v>
          </cell>
          <cell r="E908" t="e">
            <v>#DIV/0!</v>
          </cell>
        </row>
        <row r="909">
          <cell r="A909">
            <v>40353</v>
          </cell>
          <cell r="B909" t="str">
            <v>#Calc</v>
          </cell>
          <cell r="C909" t="e">
            <v>#DIV/0!</v>
          </cell>
          <cell r="D909" t="e">
            <v>#DIV/0!</v>
          </cell>
          <cell r="E909" t="e">
            <v>#DIV/0!</v>
          </cell>
        </row>
        <row r="910">
          <cell r="A910">
            <v>40354</v>
          </cell>
          <cell r="B910" t="str">
            <v>#Calc</v>
          </cell>
          <cell r="C910" t="e">
            <v>#DIV/0!</v>
          </cell>
          <cell r="D910" t="e">
            <v>#DIV/0!</v>
          </cell>
          <cell r="E910" t="e">
            <v>#DIV/0!</v>
          </cell>
        </row>
        <row r="911">
          <cell r="A911">
            <v>40355</v>
          </cell>
          <cell r="B911" t="str">
            <v>#Calc</v>
          </cell>
          <cell r="C911" t="e">
            <v>#DIV/0!</v>
          </cell>
          <cell r="D911" t="e">
            <v>#DIV/0!</v>
          </cell>
          <cell r="E911" t="e">
            <v>#DIV/0!</v>
          </cell>
        </row>
        <row r="912">
          <cell r="A912">
            <v>40356</v>
          </cell>
          <cell r="B912" t="str">
            <v>#Calc</v>
          </cell>
          <cell r="C912" t="e">
            <v>#DIV/0!</v>
          </cell>
          <cell r="D912" t="e">
            <v>#DIV/0!</v>
          </cell>
          <cell r="E912" t="e">
            <v>#DIV/0!</v>
          </cell>
        </row>
        <row r="913">
          <cell r="A913">
            <v>40357</v>
          </cell>
          <cell r="B913" t="str">
            <v>#Calc</v>
          </cell>
          <cell r="C913" t="e">
            <v>#DIV/0!</v>
          </cell>
          <cell r="D913" t="e">
            <v>#DIV/0!</v>
          </cell>
          <cell r="E913" t="e">
            <v>#DIV/0!</v>
          </cell>
        </row>
        <row r="914">
          <cell r="A914">
            <v>40358</v>
          </cell>
          <cell r="B914" t="str">
            <v>#Calc</v>
          </cell>
          <cell r="C914" t="e">
            <v>#DIV/0!</v>
          </cell>
          <cell r="D914" t="e">
            <v>#DIV/0!</v>
          </cell>
          <cell r="E914" t="e">
            <v>#DIV/0!</v>
          </cell>
        </row>
        <row r="915">
          <cell r="A915">
            <v>40359</v>
          </cell>
          <cell r="B915" t="str">
            <v>#Calc</v>
          </cell>
          <cell r="C915" t="e">
            <v>#DIV/0!</v>
          </cell>
          <cell r="D915" t="e">
            <v>#DIV/0!</v>
          </cell>
          <cell r="E915" t="e">
            <v>#DIV/0!</v>
          </cell>
        </row>
        <row r="916">
          <cell r="A916">
            <v>40360</v>
          </cell>
          <cell r="B916" t="str">
            <v>#Calc</v>
          </cell>
          <cell r="C916" t="e">
            <v>#DIV/0!</v>
          </cell>
          <cell r="D916" t="e">
            <v>#DIV/0!</v>
          </cell>
          <cell r="E916" t="e">
            <v>#DIV/0!</v>
          </cell>
        </row>
        <row r="917">
          <cell r="A917">
            <v>40361</v>
          </cell>
          <cell r="B917" t="str">
            <v>#Calc</v>
          </cell>
          <cell r="C917" t="e">
            <v>#DIV/0!</v>
          </cell>
          <cell r="D917" t="e">
            <v>#DIV/0!</v>
          </cell>
          <cell r="E917" t="e">
            <v>#DIV/0!</v>
          </cell>
        </row>
        <row r="918">
          <cell r="A918">
            <v>40362</v>
          </cell>
          <cell r="B918" t="str">
            <v>#Calc</v>
          </cell>
          <cell r="C918" t="e">
            <v>#DIV/0!</v>
          </cell>
          <cell r="D918" t="e">
            <v>#DIV/0!</v>
          </cell>
          <cell r="E918" t="e">
            <v>#DIV/0!</v>
          </cell>
        </row>
        <row r="919">
          <cell r="A919">
            <v>40363</v>
          </cell>
          <cell r="B919" t="str">
            <v>#Calc</v>
          </cell>
          <cell r="C919" t="e">
            <v>#DIV/0!</v>
          </cell>
          <cell r="D919" t="e">
            <v>#DIV/0!</v>
          </cell>
          <cell r="E919" t="e">
            <v>#DIV/0!</v>
          </cell>
        </row>
        <row r="920">
          <cell r="A920">
            <v>40364</v>
          </cell>
          <cell r="B920" t="str">
            <v>#Calc</v>
          </cell>
          <cell r="C920" t="e">
            <v>#DIV/0!</v>
          </cell>
          <cell r="D920" t="e">
            <v>#DIV/0!</v>
          </cell>
          <cell r="E920" t="e">
            <v>#DIV/0!</v>
          </cell>
        </row>
        <row r="921">
          <cell r="A921">
            <v>40365</v>
          </cell>
          <cell r="B921" t="str">
            <v>#Calc</v>
          </cell>
          <cell r="C921" t="e">
            <v>#DIV/0!</v>
          </cell>
          <cell r="D921" t="e">
            <v>#DIV/0!</v>
          </cell>
          <cell r="E921" t="e">
            <v>#DIV/0!</v>
          </cell>
        </row>
        <row r="922">
          <cell r="A922">
            <v>40366</v>
          </cell>
          <cell r="B922" t="str">
            <v>#Calc</v>
          </cell>
          <cell r="C922" t="e">
            <v>#DIV/0!</v>
          </cell>
          <cell r="D922" t="e">
            <v>#DIV/0!</v>
          </cell>
          <cell r="E922" t="e">
            <v>#DIV/0!</v>
          </cell>
        </row>
        <row r="923">
          <cell r="A923">
            <v>40367</v>
          </cell>
          <cell r="B923" t="str">
            <v>#Calc</v>
          </cell>
          <cell r="C923" t="e">
            <v>#DIV/0!</v>
          </cell>
          <cell r="D923" t="e">
            <v>#DIV/0!</v>
          </cell>
          <cell r="E923" t="e">
            <v>#DIV/0!</v>
          </cell>
        </row>
        <row r="924">
          <cell r="A924">
            <v>40368</v>
          </cell>
          <cell r="B924" t="str">
            <v>#Calc</v>
          </cell>
          <cell r="C924" t="e">
            <v>#DIV/0!</v>
          </cell>
          <cell r="D924" t="e">
            <v>#DIV/0!</v>
          </cell>
          <cell r="E924" t="e">
            <v>#DIV/0!</v>
          </cell>
        </row>
        <row r="925">
          <cell r="A925">
            <v>40369</v>
          </cell>
          <cell r="B925" t="str">
            <v>#Calc</v>
          </cell>
          <cell r="C925" t="e">
            <v>#DIV/0!</v>
          </cell>
          <cell r="D925" t="e">
            <v>#DIV/0!</v>
          </cell>
          <cell r="E925" t="e">
            <v>#DIV/0!</v>
          </cell>
        </row>
        <row r="926">
          <cell r="A926">
            <v>40370</v>
          </cell>
          <cell r="B926" t="str">
            <v>#Calc</v>
          </cell>
          <cell r="C926" t="e">
            <v>#DIV/0!</v>
          </cell>
          <cell r="D926" t="e">
            <v>#DIV/0!</v>
          </cell>
          <cell r="E926" t="e">
            <v>#DIV/0!</v>
          </cell>
        </row>
        <row r="927">
          <cell r="A927">
            <v>40371</v>
          </cell>
          <cell r="B927" t="str">
            <v>#Calc</v>
          </cell>
          <cell r="C927" t="e">
            <v>#DIV/0!</v>
          </cell>
          <cell r="D927" t="e">
            <v>#DIV/0!</v>
          </cell>
          <cell r="E927" t="e">
            <v>#DIV/0!</v>
          </cell>
        </row>
        <row r="928">
          <cell r="A928">
            <v>40372</v>
          </cell>
          <cell r="B928" t="str">
            <v>#Calc</v>
          </cell>
          <cell r="C928" t="e">
            <v>#DIV/0!</v>
          </cell>
          <cell r="D928" t="e">
            <v>#DIV/0!</v>
          </cell>
          <cell r="E928" t="e">
            <v>#DIV/0!</v>
          </cell>
        </row>
        <row r="929">
          <cell r="A929">
            <v>40373</v>
          </cell>
          <cell r="B929" t="str">
            <v>#Calc</v>
          </cell>
          <cell r="C929" t="e">
            <v>#DIV/0!</v>
          </cell>
          <cell r="D929" t="e">
            <v>#DIV/0!</v>
          </cell>
          <cell r="E929" t="e">
            <v>#DIV/0!</v>
          </cell>
        </row>
        <row r="930">
          <cell r="A930">
            <v>40374</v>
          </cell>
          <cell r="B930" t="str">
            <v>#Calc</v>
          </cell>
          <cell r="C930" t="e">
            <v>#DIV/0!</v>
          </cell>
          <cell r="D930" t="e">
            <v>#DIV/0!</v>
          </cell>
          <cell r="E930" t="e">
            <v>#DIV/0!</v>
          </cell>
        </row>
        <row r="931">
          <cell r="A931">
            <v>40375</v>
          </cell>
          <cell r="B931" t="str">
            <v>#Calc</v>
          </cell>
          <cell r="C931" t="e">
            <v>#DIV/0!</v>
          </cell>
          <cell r="D931" t="e">
            <v>#DIV/0!</v>
          </cell>
          <cell r="E931" t="e">
            <v>#DIV/0!</v>
          </cell>
        </row>
        <row r="932">
          <cell r="A932">
            <v>40376</v>
          </cell>
          <cell r="B932" t="str">
            <v>#Calc</v>
          </cell>
          <cell r="C932" t="e">
            <v>#DIV/0!</v>
          </cell>
          <cell r="D932" t="e">
            <v>#DIV/0!</v>
          </cell>
          <cell r="E932" t="e">
            <v>#DIV/0!</v>
          </cell>
        </row>
        <row r="933">
          <cell r="A933">
            <v>40377</v>
          </cell>
          <cell r="B933" t="str">
            <v>#Calc</v>
          </cell>
          <cell r="C933" t="e">
            <v>#DIV/0!</v>
          </cell>
          <cell r="D933" t="e">
            <v>#DIV/0!</v>
          </cell>
          <cell r="E933" t="e">
            <v>#DIV/0!</v>
          </cell>
        </row>
        <row r="934">
          <cell r="A934">
            <v>40378</v>
          </cell>
          <cell r="B934" t="str">
            <v>#Calc</v>
          </cell>
          <cell r="C934" t="e">
            <v>#DIV/0!</v>
          </cell>
          <cell r="D934" t="e">
            <v>#DIV/0!</v>
          </cell>
          <cell r="E934" t="e">
            <v>#DIV/0!</v>
          </cell>
        </row>
        <row r="935">
          <cell r="A935">
            <v>40379</v>
          </cell>
          <cell r="B935" t="str">
            <v>#Calc</v>
          </cell>
          <cell r="C935" t="e">
            <v>#DIV/0!</v>
          </cell>
          <cell r="D935" t="e">
            <v>#DIV/0!</v>
          </cell>
          <cell r="E935" t="e">
            <v>#DIV/0!</v>
          </cell>
        </row>
        <row r="936">
          <cell r="A936">
            <v>40380</v>
          </cell>
          <cell r="B936" t="str">
            <v>#Calc</v>
          </cell>
          <cell r="C936" t="e">
            <v>#DIV/0!</v>
          </cell>
          <cell r="D936" t="e">
            <v>#DIV/0!</v>
          </cell>
          <cell r="E936" t="e">
            <v>#DIV/0!</v>
          </cell>
        </row>
        <row r="937">
          <cell r="A937">
            <v>40381</v>
          </cell>
          <cell r="B937" t="str">
            <v>#Calc</v>
          </cell>
          <cell r="C937" t="e">
            <v>#DIV/0!</v>
          </cell>
          <cell r="D937" t="e">
            <v>#DIV/0!</v>
          </cell>
          <cell r="E937" t="e">
            <v>#DIV/0!</v>
          </cell>
        </row>
        <row r="938">
          <cell r="A938">
            <v>40382</v>
          </cell>
          <cell r="B938" t="str">
            <v>#Calc</v>
          </cell>
          <cell r="C938" t="e">
            <v>#DIV/0!</v>
          </cell>
          <cell r="D938" t="e">
            <v>#DIV/0!</v>
          </cell>
          <cell r="E938" t="e">
            <v>#DIV/0!</v>
          </cell>
        </row>
        <row r="939">
          <cell r="A939">
            <v>40383</v>
          </cell>
          <cell r="B939" t="str">
            <v>#Calc</v>
          </cell>
          <cell r="C939" t="e">
            <v>#DIV/0!</v>
          </cell>
          <cell r="D939" t="e">
            <v>#DIV/0!</v>
          </cell>
          <cell r="E939" t="e">
            <v>#DIV/0!</v>
          </cell>
        </row>
        <row r="940">
          <cell r="A940">
            <v>40384</v>
          </cell>
          <cell r="B940" t="str">
            <v>#Calc</v>
          </cell>
          <cell r="C940" t="e">
            <v>#DIV/0!</v>
          </cell>
          <cell r="D940" t="e">
            <v>#DIV/0!</v>
          </cell>
          <cell r="E940" t="e">
            <v>#DIV/0!</v>
          </cell>
        </row>
        <row r="941">
          <cell r="A941">
            <v>40385</v>
          </cell>
          <cell r="B941" t="str">
            <v>#Calc</v>
          </cell>
          <cell r="C941" t="e">
            <v>#DIV/0!</v>
          </cell>
          <cell r="D941" t="e">
            <v>#DIV/0!</v>
          </cell>
          <cell r="E941" t="e">
            <v>#DIV/0!</v>
          </cell>
        </row>
        <row r="942">
          <cell r="A942">
            <v>40386</v>
          </cell>
          <cell r="B942" t="str">
            <v>#Calc</v>
          </cell>
          <cell r="C942" t="e">
            <v>#DIV/0!</v>
          </cell>
          <cell r="D942" t="e">
            <v>#DIV/0!</v>
          </cell>
          <cell r="E942" t="e">
            <v>#DIV/0!</v>
          </cell>
        </row>
        <row r="943">
          <cell r="A943">
            <v>40387</v>
          </cell>
          <cell r="B943" t="str">
            <v>#Calc</v>
          </cell>
          <cell r="C943" t="e">
            <v>#DIV/0!</v>
          </cell>
          <cell r="D943" t="e">
            <v>#DIV/0!</v>
          </cell>
          <cell r="E943" t="e">
            <v>#DIV/0!</v>
          </cell>
        </row>
        <row r="944">
          <cell r="A944">
            <v>40388</v>
          </cell>
          <cell r="B944" t="str">
            <v>#Calc</v>
          </cell>
          <cell r="C944" t="e">
            <v>#DIV/0!</v>
          </cell>
          <cell r="D944" t="e">
            <v>#DIV/0!</v>
          </cell>
          <cell r="E944" t="e">
            <v>#DIV/0!</v>
          </cell>
        </row>
        <row r="945">
          <cell r="A945">
            <v>40389</v>
          </cell>
          <cell r="B945" t="str">
            <v>#Calc</v>
          </cell>
          <cell r="C945" t="e">
            <v>#DIV/0!</v>
          </cell>
          <cell r="D945" t="e">
            <v>#DIV/0!</v>
          </cell>
          <cell r="E945" t="e">
            <v>#DIV/0!</v>
          </cell>
        </row>
        <row r="946">
          <cell r="A946">
            <v>40390</v>
          </cell>
          <cell r="B946" t="str">
            <v>#Calc</v>
          </cell>
          <cell r="C946" t="e">
            <v>#DIV/0!</v>
          </cell>
          <cell r="D946" t="e">
            <v>#DIV/0!</v>
          </cell>
          <cell r="E946" t="e">
            <v>#DIV/0!</v>
          </cell>
        </row>
        <row r="947">
          <cell r="A947">
            <v>40391</v>
          </cell>
          <cell r="B947" t="str">
            <v>#Calc</v>
          </cell>
          <cell r="C947" t="e">
            <v>#DIV/0!</v>
          </cell>
          <cell r="D947" t="e">
            <v>#DIV/0!</v>
          </cell>
          <cell r="E947" t="e">
            <v>#DIV/0!</v>
          </cell>
        </row>
        <row r="948">
          <cell r="A948">
            <v>40392</v>
          </cell>
          <cell r="B948" t="str">
            <v>#Calc</v>
          </cell>
          <cell r="C948" t="e">
            <v>#DIV/0!</v>
          </cell>
          <cell r="D948" t="e">
            <v>#DIV/0!</v>
          </cell>
          <cell r="E948" t="e">
            <v>#DIV/0!</v>
          </cell>
        </row>
        <row r="949">
          <cell r="A949">
            <v>40393</v>
          </cell>
          <cell r="B949" t="str">
            <v>#Calc</v>
          </cell>
          <cell r="C949" t="e">
            <v>#DIV/0!</v>
          </cell>
          <cell r="D949" t="e">
            <v>#DIV/0!</v>
          </cell>
          <cell r="E949" t="e">
            <v>#DIV/0!</v>
          </cell>
        </row>
        <row r="950">
          <cell r="A950">
            <v>40394</v>
          </cell>
          <cell r="B950" t="str">
            <v>#Calc</v>
          </cell>
          <cell r="C950" t="e">
            <v>#DIV/0!</v>
          </cell>
          <cell r="D950" t="e">
            <v>#DIV/0!</v>
          </cell>
          <cell r="E950" t="e">
            <v>#DIV/0!</v>
          </cell>
        </row>
        <row r="951">
          <cell r="A951">
            <v>40395</v>
          </cell>
          <cell r="B951" t="str">
            <v>#Calc</v>
          </cell>
          <cell r="C951" t="e">
            <v>#DIV/0!</v>
          </cell>
          <cell r="D951" t="e">
            <v>#DIV/0!</v>
          </cell>
          <cell r="E951" t="e">
            <v>#DIV/0!</v>
          </cell>
        </row>
        <row r="952">
          <cell r="A952">
            <v>40396</v>
          </cell>
          <cell r="B952" t="str">
            <v>#Calc</v>
          </cell>
          <cell r="C952" t="e">
            <v>#DIV/0!</v>
          </cell>
          <cell r="D952" t="e">
            <v>#DIV/0!</v>
          </cell>
          <cell r="E952" t="e">
            <v>#DIV/0!</v>
          </cell>
        </row>
        <row r="953">
          <cell r="A953">
            <v>40397</v>
          </cell>
          <cell r="B953" t="str">
            <v>#Calc</v>
          </cell>
          <cell r="C953" t="e">
            <v>#DIV/0!</v>
          </cell>
          <cell r="D953" t="e">
            <v>#DIV/0!</v>
          </cell>
          <cell r="E953" t="e">
            <v>#DIV/0!</v>
          </cell>
        </row>
        <row r="954">
          <cell r="A954">
            <v>40398</v>
          </cell>
          <cell r="B954" t="str">
            <v>#Calc</v>
          </cell>
          <cell r="C954" t="e">
            <v>#DIV/0!</v>
          </cell>
          <cell r="D954" t="e">
            <v>#DIV/0!</v>
          </cell>
          <cell r="E954" t="e">
            <v>#DIV/0!</v>
          </cell>
        </row>
        <row r="955">
          <cell r="A955">
            <v>40399</v>
          </cell>
          <cell r="B955" t="str">
            <v>#Calc</v>
          </cell>
          <cell r="C955" t="e">
            <v>#DIV/0!</v>
          </cell>
          <cell r="D955" t="e">
            <v>#DIV/0!</v>
          </cell>
          <cell r="E955" t="e">
            <v>#DIV/0!</v>
          </cell>
        </row>
        <row r="956">
          <cell r="A956">
            <v>40400</v>
          </cell>
          <cell r="B956" t="str">
            <v>#Calc</v>
          </cell>
          <cell r="C956" t="e">
            <v>#DIV/0!</v>
          </cell>
          <cell r="D956" t="e">
            <v>#DIV/0!</v>
          </cell>
          <cell r="E956" t="e">
            <v>#DIV/0!</v>
          </cell>
        </row>
        <row r="957">
          <cell r="A957">
            <v>40401</v>
          </cell>
          <cell r="B957" t="str">
            <v>#Calc</v>
          </cell>
          <cell r="C957" t="e">
            <v>#DIV/0!</v>
          </cell>
          <cell r="D957" t="e">
            <v>#DIV/0!</v>
          </cell>
          <cell r="E957" t="e">
            <v>#DIV/0!</v>
          </cell>
        </row>
        <row r="958">
          <cell r="A958">
            <v>40402</v>
          </cell>
          <cell r="B958" t="str">
            <v>#Calc</v>
          </cell>
          <cell r="C958" t="e">
            <v>#DIV/0!</v>
          </cell>
          <cell r="D958" t="e">
            <v>#DIV/0!</v>
          </cell>
          <cell r="E958" t="e">
            <v>#DIV/0!</v>
          </cell>
        </row>
        <row r="959">
          <cell r="A959">
            <v>40403</v>
          </cell>
          <cell r="B959" t="str">
            <v>#Calc</v>
          </cell>
          <cell r="C959" t="e">
            <v>#DIV/0!</v>
          </cell>
          <cell r="D959" t="e">
            <v>#DIV/0!</v>
          </cell>
          <cell r="E959" t="e">
            <v>#DIV/0!</v>
          </cell>
        </row>
        <row r="960">
          <cell r="A960">
            <v>40404</v>
          </cell>
          <cell r="B960" t="str">
            <v>#Calc</v>
          </cell>
          <cell r="C960" t="e">
            <v>#DIV/0!</v>
          </cell>
          <cell r="D960" t="e">
            <v>#DIV/0!</v>
          </cell>
          <cell r="E960" t="e">
            <v>#DIV/0!</v>
          </cell>
        </row>
        <row r="961">
          <cell r="A961">
            <v>40405</v>
          </cell>
          <cell r="B961" t="str">
            <v>#Calc</v>
          </cell>
          <cell r="C961" t="e">
            <v>#DIV/0!</v>
          </cell>
          <cell r="D961" t="e">
            <v>#DIV/0!</v>
          </cell>
          <cell r="E961" t="e">
            <v>#DIV/0!</v>
          </cell>
        </row>
        <row r="962">
          <cell r="A962">
            <v>40406</v>
          </cell>
          <cell r="B962" t="str">
            <v>#Calc</v>
          </cell>
          <cell r="C962" t="e">
            <v>#DIV/0!</v>
          </cell>
          <cell r="D962" t="e">
            <v>#DIV/0!</v>
          </cell>
          <cell r="E962" t="e">
            <v>#DIV/0!</v>
          </cell>
        </row>
        <row r="963">
          <cell r="A963">
            <v>40407</v>
          </cell>
          <cell r="B963" t="str">
            <v>#Calc</v>
          </cell>
          <cell r="C963" t="e">
            <v>#DIV/0!</v>
          </cell>
          <cell r="D963" t="e">
            <v>#DIV/0!</v>
          </cell>
          <cell r="E963" t="e">
            <v>#DIV/0!</v>
          </cell>
        </row>
        <row r="964">
          <cell r="A964">
            <v>40408</v>
          </cell>
          <cell r="B964" t="str">
            <v>#Calc</v>
          </cell>
          <cell r="C964" t="e">
            <v>#DIV/0!</v>
          </cell>
          <cell r="D964" t="e">
            <v>#DIV/0!</v>
          </cell>
          <cell r="E964" t="e">
            <v>#DIV/0!</v>
          </cell>
        </row>
        <row r="965">
          <cell r="A965">
            <v>40409</v>
          </cell>
          <cell r="B965" t="str">
            <v>#Calc</v>
          </cell>
          <cell r="C965" t="e">
            <v>#DIV/0!</v>
          </cell>
          <cell r="D965" t="e">
            <v>#DIV/0!</v>
          </cell>
          <cell r="E965" t="e">
            <v>#DIV/0!</v>
          </cell>
        </row>
        <row r="966">
          <cell r="A966">
            <v>40410</v>
          </cell>
          <cell r="B966" t="str">
            <v>#Calc</v>
          </cell>
          <cell r="C966" t="e">
            <v>#DIV/0!</v>
          </cell>
          <cell r="D966" t="e">
            <v>#DIV/0!</v>
          </cell>
          <cell r="E966" t="e">
            <v>#DIV/0!</v>
          </cell>
        </row>
        <row r="967">
          <cell r="A967">
            <v>40411</v>
          </cell>
          <cell r="B967" t="str">
            <v>#Calc</v>
          </cell>
          <cell r="C967" t="e">
            <v>#DIV/0!</v>
          </cell>
          <cell r="D967" t="e">
            <v>#DIV/0!</v>
          </cell>
          <cell r="E967" t="e">
            <v>#DIV/0!</v>
          </cell>
        </row>
        <row r="968">
          <cell r="A968">
            <v>40412</v>
          </cell>
          <cell r="B968" t="str">
            <v>#Calc</v>
          </cell>
          <cell r="C968" t="e">
            <v>#DIV/0!</v>
          </cell>
          <cell r="D968" t="e">
            <v>#DIV/0!</v>
          </cell>
          <cell r="E968" t="e">
            <v>#DIV/0!</v>
          </cell>
        </row>
        <row r="969">
          <cell r="A969">
            <v>40413</v>
          </cell>
          <cell r="B969" t="str">
            <v>#Calc</v>
          </cell>
          <cell r="C969" t="e">
            <v>#DIV/0!</v>
          </cell>
          <cell r="D969" t="e">
            <v>#DIV/0!</v>
          </cell>
          <cell r="E969" t="e">
            <v>#DIV/0!</v>
          </cell>
        </row>
        <row r="970">
          <cell r="A970">
            <v>40414</v>
          </cell>
          <cell r="B970" t="str">
            <v>#Calc</v>
          </cell>
          <cell r="C970" t="e">
            <v>#DIV/0!</v>
          </cell>
          <cell r="D970" t="e">
            <v>#DIV/0!</v>
          </cell>
          <cell r="E970" t="e">
            <v>#DIV/0!</v>
          </cell>
        </row>
        <row r="971">
          <cell r="A971">
            <v>40415</v>
          </cell>
          <cell r="B971" t="str">
            <v>#Calc</v>
          </cell>
          <cell r="C971" t="e">
            <v>#DIV/0!</v>
          </cell>
          <cell r="D971" t="e">
            <v>#DIV/0!</v>
          </cell>
          <cell r="E971" t="e">
            <v>#DIV/0!</v>
          </cell>
        </row>
        <row r="972">
          <cell r="A972">
            <v>40416</v>
          </cell>
          <cell r="B972" t="str">
            <v>#Calc</v>
          </cell>
          <cell r="C972" t="e">
            <v>#DIV/0!</v>
          </cell>
          <cell r="D972" t="e">
            <v>#DIV/0!</v>
          </cell>
          <cell r="E972" t="e">
            <v>#DIV/0!</v>
          </cell>
        </row>
        <row r="973">
          <cell r="A973">
            <v>40417</v>
          </cell>
          <cell r="B973" t="str">
            <v>#Calc</v>
          </cell>
          <cell r="C973" t="e">
            <v>#DIV/0!</v>
          </cell>
          <cell r="D973" t="e">
            <v>#DIV/0!</v>
          </cell>
          <cell r="E973" t="e">
            <v>#DIV/0!</v>
          </cell>
        </row>
        <row r="974">
          <cell r="A974">
            <v>40418</v>
          </cell>
          <cell r="B974" t="str">
            <v>#Calc</v>
          </cell>
          <cell r="C974" t="e">
            <v>#DIV/0!</v>
          </cell>
          <cell r="D974" t="e">
            <v>#DIV/0!</v>
          </cell>
          <cell r="E974" t="e">
            <v>#DIV/0!</v>
          </cell>
        </row>
        <row r="975">
          <cell r="A975">
            <v>40419</v>
          </cell>
          <cell r="B975" t="str">
            <v>#Calc</v>
          </cell>
          <cell r="C975" t="e">
            <v>#DIV/0!</v>
          </cell>
          <cell r="D975" t="e">
            <v>#DIV/0!</v>
          </cell>
          <cell r="E975" t="e">
            <v>#DIV/0!</v>
          </cell>
        </row>
        <row r="976">
          <cell r="A976">
            <v>40420</v>
          </cell>
          <cell r="B976" t="str">
            <v>#Calc</v>
          </cell>
          <cell r="C976" t="e">
            <v>#DIV/0!</v>
          </cell>
          <cell r="D976" t="e">
            <v>#DIV/0!</v>
          </cell>
          <cell r="E976" t="e">
            <v>#DIV/0!</v>
          </cell>
        </row>
        <row r="977">
          <cell r="A977">
            <v>40421</v>
          </cell>
          <cell r="B977" t="str">
            <v>#Calc</v>
          </cell>
          <cell r="C977" t="e">
            <v>#DIV/0!</v>
          </cell>
          <cell r="D977" t="e">
            <v>#DIV/0!</v>
          </cell>
          <cell r="E977" t="e">
            <v>#DIV/0!</v>
          </cell>
        </row>
        <row r="978">
          <cell r="A978">
            <v>40422</v>
          </cell>
          <cell r="B978" t="str">
            <v>#Calc</v>
          </cell>
          <cell r="C978" t="e">
            <v>#DIV/0!</v>
          </cell>
          <cell r="D978" t="e">
            <v>#DIV/0!</v>
          </cell>
          <cell r="E978" t="e">
            <v>#DIV/0!</v>
          </cell>
        </row>
        <row r="979">
          <cell r="A979">
            <v>40423</v>
          </cell>
          <cell r="B979" t="str">
            <v>#Calc</v>
          </cell>
          <cell r="C979" t="e">
            <v>#DIV/0!</v>
          </cell>
          <cell r="D979" t="e">
            <v>#DIV/0!</v>
          </cell>
          <cell r="E979" t="e">
            <v>#DIV/0!</v>
          </cell>
        </row>
        <row r="980">
          <cell r="A980">
            <v>40424</v>
          </cell>
          <cell r="B980" t="str">
            <v>#Calc</v>
          </cell>
          <cell r="C980" t="e">
            <v>#DIV/0!</v>
          </cell>
          <cell r="D980" t="e">
            <v>#DIV/0!</v>
          </cell>
          <cell r="E980" t="e">
            <v>#DIV/0!</v>
          </cell>
        </row>
        <row r="981">
          <cell r="A981">
            <v>40425</v>
          </cell>
          <cell r="B981" t="str">
            <v>#Calc</v>
          </cell>
          <cell r="C981" t="e">
            <v>#DIV/0!</v>
          </cell>
          <cell r="D981" t="e">
            <v>#DIV/0!</v>
          </cell>
          <cell r="E981" t="e">
            <v>#DIV/0!</v>
          </cell>
        </row>
        <row r="982">
          <cell r="A982">
            <v>40426</v>
          </cell>
          <cell r="B982" t="str">
            <v>#Calc</v>
          </cell>
          <cell r="C982" t="e">
            <v>#DIV/0!</v>
          </cell>
          <cell r="D982" t="e">
            <v>#DIV/0!</v>
          </cell>
          <cell r="E982" t="e">
            <v>#DIV/0!</v>
          </cell>
        </row>
        <row r="983">
          <cell r="A983">
            <v>40427</v>
          </cell>
          <cell r="B983" t="str">
            <v>#Calc</v>
          </cell>
          <cell r="C983" t="e">
            <v>#DIV/0!</v>
          </cell>
          <cell r="D983" t="e">
            <v>#DIV/0!</v>
          </cell>
          <cell r="E983" t="e">
            <v>#DIV/0!</v>
          </cell>
        </row>
        <row r="984">
          <cell r="A984">
            <v>40428</v>
          </cell>
          <cell r="B984" t="str">
            <v>#Calc</v>
          </cell>
          <cell r="C984" t="e">
            <v>#DIV/0!</v>
          </cell>
          <cell r="D984" t="e">
            <v>#DIV/0!</v>
          </cell>
          <cell r="E984" t="e">
            <v>#DIV/0!</v>
          </cell>
        </row>
        <row r="985">
          <cell r="A985">
            <v>40429</v>
          </cell>
          <cell r="B985" t="str">
            <v>#Calc</v>
          </cell>
          <cell r="C985" t="e">
            <v>#DIV/0!</v>
          </cell>
          <cell r="D985" t="e">
            <v>#DIV/0!</v>
          </cell>
          <cell r="E985" t="e">
            <v>#DIV/0!</v>
          </cell>
        </row>
        <row r="986">
          <cell r="A986">
            <v>40430</v>
          </cell>
          <cell r="B986" t="str">
            <v>#Calc</v>
          </cell>
          <cell r="C986" t="e">
            <v>#DIV/0!</v>
          </cell>
          <cell r="D986" t="e">
            <v>#DIV/0!</v>
          </cell>
          <cell r="E986" t="e">
            <v>#DIV/0!</v>
          </cell>
        </row>
        <row r="987">
          <cell r="A987">
            <v>40431</v>
          </cell>
          <cell r="B987" t="str">
            <v>#Calc</v>
          </cell>
          <cell r="C987" t="e">
            <v>#DIV/0!</v>
          </cell>
          <cell r="D987" t="e">
            <v>#DIV/0!</v>
          </cell>
          <cell r="E987" t="e">
            <v>#DIV/0!</v>
          </cell>
        </row>
        <row r="988">
          <cell r="A988">
            <v>40432</v>
          </cell>
          <cell r="B988" t="str">
            <v>#Calc</v>
          </cell>
          <cell r="C988" t="e">
            <v>#DIV/0!</v>
          </cell>
          <cell r="D988" t="e">
            <v>#DIV/0!</v>
          </cell>
          <cell r="E988" t="e">
            <v>#DIV/0!</v>
          </cell>
        </row>
        <row r="989">
          <cell r="A989">
            <v>40433</v>
          </cell>
          <cell r="B989" t="str">
            <v>#Calc</v>
          </cell>
          <cell r="C989" t="e">
            <v>#DIV/0!</v>
          </cell>
          <cell r="D989" t="e">
            <v>#DIV/0!</v>
          </cell>
          <cell r="E989" t="e">
            <v>#DIV/0!</v>
          </cell>
        </row>
        <row r="990">
          <cell r="A990">
            <v>40434</v>
          </cell>
          <cell r="B990" t="str">
            <v>#Calc</v>
          </cell>
          <cell r="C990" t="e">
            <v>#DIV/0!</v>
          </cell>
          <cell r="D990" t="e">
            <v>#DIV/0!</v>
          </cell>
          <cell r="E990" t="e">
            <v>#DIV/0!</v>
          </cell>
        </row>
        <row r="991">
          <cell r="A991">
            <v>40435</v>
          </cell>
          <cell r="B991" t="str">
            <v>#Calc</v>
          </cell>
          <cell r="C991" t="e">
            <v>#DIV/0!</v>
          </cell>
          <cell r="D991" t="e">
            <v>#DIV/0!</v>
          </cell>
          <cell r="E991" t="e">
            <v>#DIV/0!</v>
          </cell>
        </row>
        <row r="992">
          <cell r="A992">
            <v>40436</v>
          </cell>
          <cell r="B992" t="str">
            <v>#Calc</v>
          </cell>
          <cell r="C992" t="e">
            <v>#DIV/0!</v>
          </cell>
          <cell r="D992" t="e">
            <v>#DIV/0!</v>
          </cell>
          <cell r="E992" t="e">
            <v>#DIV/0!</v>
          </cell>
        </row>
        <row r="993">
          <cell r="A993">
            <v>40437</v>
          </cell>
          <cell r="B993" t="str">
            <v>#Calc</v>
          </cell>
          <cell r="C993" t="e">
            <v>#DIV/0!</v>
          </cell>
          <cell r="D993" t="e">
            <v>#DIV/0!</v>
          </cell>
          <cell r="E993" t="e">
            <v>#DIV/0!</v>
          </cell>
        </row>
        <row r="994">
          <cell r="A994">
            <v>40438</v>
          </cell>
          <cell r="B994" t="str">
            <v>#Calc</v>
          </cell>
          <cell r="C994" t="e">
            <v>#DIV/0!</v>
          </cell>
          <cell r="D994" t="e">
            <v>#DIV/0!</v>
          </cell>
          <cell r="E994" t="e">
            <v>#DIV/0!</v>
          </cell>
        </row>
        <row r="995">
          <cell r="A995">
            <v>40439</v>
          </cell>
          <cell r="B995" t="str">
            <v>#Calc</v>
          </cell>
          <cell r="C995" t="e">
            <v>#DIV/0!</v>
          </cell>
          <cell r="D995" t="e">
            <v>#DIV/0!</v>
          </cell>
          <cell r="E995" t="e">
            <v>#DIV/0!</v>
          </cell>
        </row>
        <row r="996">
          <cell r="A996">
            <v>40440</v>
          </cell>
          <cell r="B996" t="str">
            <v>#Calc</v>
          </cell>
          <cell r="C996" t="e">
            <v>#DIV/0!</v>
          </cell>
          <cell r="D996" t="e">
            <v>#DIV/0!</v>
          </cell>
          <cell r="E996" t="e">
            <v>#DIV/0!</v>
          </cell>
        </row>
        <row r="997">
          <cell r="A997">
            <v>40441</v>
          </cell>
          <cell r="B997" t="str">
            <v>#Calc</v>
          </cell>
          <cell r="C997" t="e">
            <v>#DIV/0!</v>
          </cell>
          <cell r="D997" t="e">
            <v>#DIV/0!</v>
          </cell>
          <cell r="E997" t="e">
            <v>#DIV/0!</v>
          </cell>
        </row>
        <row r="998">
          <cell r="A998">
            <v>40442</v>
          </cell>
          <cell r="B998" t="str">
            <v>#Calc</v>
          </cell>
          <cell r="C998" t="e">
            <v>#DIV/0!</v>
          </cell>
          <cell r="D998" t="e">
            <v>#DIV/0!</v>
          </cell>
          <cell r="E998" t="e">
            <v>#DIV/0!</v>
          </cell>
        </row>
        <row r="999">
          <cell r="A999">
            <v>40443</v>
          </cell>
          <cell r="B999" t="str">
            <v>#Calc</v>
          </cell>
          <cell r="C999" t="e">
            <v>#DIV/0!</v>
          </cell>
          <cell r="D999" t="e">
            <v>#DIV/0!</v>
          </cell>
          <cell r="E999" t="e">
            <v>#DIV/0!</v>
          </cell>
        </row>
        <row r="1000">
          <cell r="A1000">
            <v>40444</v>
          </cell>
          <cell r="B1000" t="str">
            <v>#Calc</v>
          </cell>
          <cell r="C1000" t="e">
            <v>#DIV/0!</v>
          </cell>
          <cell r="D1000" t="e">
            <v>#DIV/0!</v>
          </cell>
          <cell r="E1000" t="e">
            <v>#DIV/0!</v>
          </cell>
        </row>
        <row r="1001">
          <cell r="A1001">
            <v>40445</v>
          </cell>
          <cell r="B1001" t="str">
            <v>#Calc</v>
          </cell>
          <cell r="C1001" t="e">
            <v>#DIV/0!</v>
          </cell>
          <cell r="D1001" t="e">
            <v>#DIV/0!</v>
          </cell>
          <cell r="E1001" t="e">
            <v>#DIV/0!</v>
          </cell>
        </row>
        <row r="1002">
          <cell r="A1002">
            <v>40446</v>
          </cell>
          <cell r="B1002" t="str">
            <v>#Calc</v>
          </cell>
          <cell r="C1002" t="e">
            <v>#DIV/0!</v>
          </cell>
          <cell r="D1002" t="e">
            <v>#DIV/0!</v>
          </cell>
          <cell r="E1002" t="e">
            <v>#DIV/0!</v>
          </cell>
        </row>
        <row r="1003">
          <cell r="A1003">
            <v>40447</v>
          </cell>
          <cell r="B1003" t="str">
            <v>#Calc</v>
          </cell>
          <cell r="C1003" t="e">
            <v>#DIV/0!</v>
          </cell>
          <cell r="D1003" t="e">
            <v>#DIV/0!</v>
          </cell>
          <cell r="E1003" t="e">
            <v>#DIV/0!</v>
          </cell>
        </row>
        <row r="1004">
          <cell r="A1004">
            <v>40448</v>
          </cell>
          <cell r="B1004" t="str">
            <v>#Calc</v>
          </cell>
          <cell r="C1004" t="e">
            <v>#DIV/0!</v>
          </cell>
          <cell r="D1004" t="e">
            <v>#DIV/0!</v>
          </cell>
          <cell r="E1004" t="e">
            <v>#DIV/0!</v>
          </cell>
        </row>
        <row r="1005">
          <cell r="A1005">
            <v>40449</v>
          </cell>
          <cell r="B1005" t="str">
            <v>#Calc</v>
          </cell>
          <cell r="C1005" t="e">
            <v>#DIV/0!</v>
          </cell>
          <cell r="D1005" t="e">
            <v>#DIV/0!</v>
          </cell>
          <cell r="E1005" t="e">
            <v>#DIV/0!</v>
          </cell>
        </row>
        <row r="1006">
          <cell r="A1006">
            <v>40450</v>
          </cell>
          <cell r="B1006" t="str">
            <v>#Calc</v>
          </cell>
          <cell r="C1006" t="e">
            <v>#DIV/0!</v>
          </cell>
          <cell r="D1006" t="e">
            <v>#DIV/0!</v>
          </cell>
          <cell r="E1006" t="e">
            <v>#DIV/0!</v>
          </cell>
        </row>
        <row r="1007">
          <cell r="A1007">
            <v>40451</v>
          </cell>
          <cell r="B1007" t="str">
            <v>#Calc</v>
          </cell>
          <cell r="C1007" t="e">
            <v>#DIV/0!</v>
          </cell>
          <cell r="D1007" t="e">
            <v>#DIV/0!</v>
          </cell>
          <cell r="E1007" t="e">
            <v>#DIV/0!</v>
          </cell>
        </row>
        <row r="1008">
          <cell r="A1008">
            <v>40452</v>
          </cell>
          <cell r="B1008" t="str">
            <v>#Calc</v>
          </cell>
          <cell r="C1008" t="e">
            <v>#DIV/0!</v>
          </cell>
          <cell r="D1008" t="e">
            <v>#DIV/0!</v>
          </cell>
          <cell r="E1008" t="e">
            <v>#DIV/0!</v>
          </cell>
        </row>
        <row r="1009">
          <cell r="A1009">
            <v>40453</v>
          </cell>
          <cell r="B1009" t="str">
            <v>#Calc</v>
          </cell>
          <cell r="C1009" t="e">
            <v>#DIV/0!</v>
          </cell>
          <cell r="D1009" t="e">
            <v>#DIV/0!</v>
          </cell>
          <cell r="E1009" t="e">
            <v>#DIV/0!</v>
          </cell>
        </row>
        <row r="1010">
          <cell r="A1010">
            <v>40454</v>
          </cell>
          <cell r="B1010" t="str">
            <v>#Calc</v>
          </cell>
          <cell r="C1010" t="e">
            <v>#DIV/0!</v>
          </cell>
          <cell r="D1010" t="e">
            <v>#DIV/0!</v>
          </cell>
          <cell r="E1010" t="e">
            <v>#DIV/0!</v>
          </cell>
        </row>
        <row r="1011">
          <cell r="A1011">
            <v>40455</v>
          </cell>
          <cell r="B1011" t="str">
            <v>#Calc</v>
          </cell>
          <cell r="C1011" t="e">
            <v>#DIV/0!</v>
          </cell>
          <cell r="D1011" t="e">
            <v>#DIV/0!</v>
          </cell>
          <cell r="E1011" t="e">
            <v>#DIV/0!</v>
          </cell>
        </row>
        <row r="1012">
          <cell r="A1012">
            <v>40456</v>
          </cell>
          <cell r="B1012" t="str">
            <v>#Calc</v>
          </cell>
          <cell r="C1012" t="e">
            <v>#DIV/0!</v>
          </cell>
          <cell r="D1012" t="e">
            <v>#DIV/0!</v>
          </cell>
          <cell r="E1012" t="e">
            <v>#DIV/0!</v>
          </cell>
        </row>
        <row r="1013">
          <cell r="A1013">
            <v>40457</v>
          </cell>
          <cell r="B1013" t="str">
            <v>#Calc</v>
          </cell>
          <cell r="C1013" t="e">
            <v>#DIV/0!</v>
          </cell>
          <cell r="D1013" t="e">
            <v>#DIV/0!</v>
          </cell>
          <cell r="E1013" t="e">
            <v>#DIV/0!</v>
          </cell>
        </row>
        <row r="1014">
          <cell r="A1014">
            <v>40458</v>
          </cell>
          <cell r="B1014" t="str">
            <v>#Calc</v>
          </cell>
          <cell r="C1014" t="e">
            <v>#DIV/0!</v>
          </cell>
          <cell r="D1014" t="e">
            <v>#DIV/0!</v>
          </cell>
          <cell r="E1014" t="e">
            <v>#DIV/0!</v>
          </cell>
        </row>
        <row r="1015">
          <cell r="A1015">
            <v>40459</v>
          </cell>
          <cell r="B1015" t="str">
            <v>#Calc</v>
          </cell>
          <cell r="C1015" t="e">
            <v>#DIV/0!</v>
          </cell>
          <cell r="D1015" t="e">
            <v>#DIV/0!</v>
          </cell>
          <cell r="E1015" t="e">
            <v>#DIV/0!</v>
          </cell>
        </row>
        <row r="1016">
          <cell r="A1016">
            <v>40460</v>
          </cell>
          <cell r="B1016" t="str">
            <v>#Calc</v>
          </cell>
          <cell r="C1016" t="e">
            <v>#DIV/0!</v>
          </cell>
          <cell r="D1016" t="e">
            <v>#DIV/0!</v>
          </cell>
          <cell r="E1016" t="e">
            <v>#DIV/0!</v>
          </cell>
        </row>
        <row r="1017">
          <cell r="A1017">
            <v>40461</v>
          </cell>
          <cell r="B1017" t="str">
            <v>#Calc</v>
          </cell>
          <cell r="C1017" t="e">
            <v>#DIV/0!</v>
          </cell>
          <cell r="D1017" t="e">
            <v>#DIV/0!</v>
          </cell>
          <cell r="E1017" t="e">
            <v>#DIV/0!</v>
          </cell>
        </row>
        <row r="1018">
          <cell r="A1018">
            <v>40462</v>
          </cell>
          <cell r="B1018" t="str">
            <v>#Calc</v>
          </cell>
          <cell r="C1018" t="e">
            <v>#DIV/0!</v>
          </cell>
          <cell r="D1018" t="e">
            <v>#DIV/0!</v>
          </cell>
          <cell r="E1018" t="e">
            <v>#DIV/0!</v>
          </cell>
        </row>
        <row r="1019">
          <cell r="A1019">
            <v>40463</v>
          </cell>
          <cell r="B1019" t="str">
            <v>#Calc</v>
          </cell>
          <cell r="C1019" t="e">
            <v>#DIV/0!</v>
          </cell>
          <cell r="D1019" t="e">
            <v>#DIV/0!</v>
          </cell>
          <cell r="E1019" t="e">
            <v>#DIV/0!</v>
          </cell>
        </row>
        <row r="1020">
          <cell r="A1020">
            <v>40464</v>
          </cell>
          <cell r="B1020" t="str">
            <v>#Calc</v>
          </cell>
          <cell r="C1020" t="e">
            <v>#DIV/0!</v>
          </cell>
          <cell r="D1020" t="e">
            <v>#DIV/0!</v>
          </cell>
          <cell r="E1020" t="e">
            <v>#DIV/0!</v>
          </cell>
        </row>
        <row r="1021">
          <cell r="A1021">
            <v>40465</v>
          </cell>
          <cell r="B1021" t="str">
            <v>#Calc</v>
          </cell>
          <cell r="C1021" t="e">
            <v>#DIV/0!</v>
          </cell>
          <cell r="D1021" t="e">
            <v>#DIV/0!</v>
          </cell>
          <cell r="E1021" t="e">
            <v>#DIV/0!</v>
          </cell>
        </row>
        <row r="1022">
          <cell r="A1022">
            <v>40466</v>
          </cell>
          <cell r="B1022" t="str">
            <v>#Calc</v>
          </cell>
          <cell r="C1022" t="e">
            <v>#DIV/0!</v>
          </cell>
          <cell r="D1022" t="e">
            <v>#DIV/0!</v>
          </cell>
          <cell r="E1022" t="e">
            <v>#DIV/0!</v>
          </cell>
        </row>
        <row r="1023">
          <cell r="A1023">
            <v>40467</v>
          </cell>
          <cell r="B1023" t="str">
            <v>#Calc</v>
          </cell>
          <cell r="C1023" t="e">
            <v>#DIV/0!</v>
          </cell>
          <cell r="D1023" t="e">
            <v>#DIV/0!</v>
          </cell>
          <cell r="E1023" t="e">
            <v>#DIV/0!</v>
          </cell>
        </row>
        <row r="1024">
          <cell r="A1024">
            <v>40468</v>
          </cell>
          <cell r="B1024" t="str">
            <v>#Calc</v>
          </cell>
          <cell r="C1024" t="e">
            <v>#DIV/0!</v>
          </cell>
          <cell r="D1024" t="e">
            <v>#DIV/0!</v>
          </cell>
          <cell r="E1024" t="e">
            <v>#DIV/0!</v>
          </cell>
        </row>
        <row r="1025">
          <cell r="A1025">
            <v>40469</v>
          </cell>
          <cell r="B1025" t="str">
            <v>#Calc</v>
          </cell>
          <cell r="C1025" t="e">
            <v>#DIV/0!</v>
          </cell>
          <cell r="D1025" t="e">
            <v>#DIV/0!</v>
          </cell>
          <cell r="E1025" t="e">
            <v>#DIV/0!</v>
          </cell>
        </row>
        <row r="1026">
          <cell r="A1026">
            <v>40470</v>
          </cell>
          <cell r="B1026" t="str">
            <v>#Calc</v>
          </cell>
          <cell r="C1026" t="e">
            <v>#DIV/0!</v>
          </cell>
          <cell r="D1026" t="e">
            <v>#DIV/0!</v>
          </cell>
          <cell r="E1026" t="e">
            <v>#DIV/0!</v>
          </cell>
        </row>
        <row r="1027">
          <cell r="A1027">
            <v>40471</v>
          </cell>
          <cell r="B1027" t="str">
            <v>#Calc</v>
          </cell>
          <cell r="C1027" t="e">
            <v>#DIV/0!</v>
          </cell>
          <cell r="D1027" t="e">
            <v>#DIV/0!</v>
          </cell>
          <cell r="E1027" t="e">
            <v>#DIV/0!</v>
          </cell>
        </row>
        <row r="1028">
          <cell r="A1028">
            <v>40472</v>
          </cell>
          <cell r="B1028" t="str">
            <v>#Calc</v>
          </cell>
          <cell r="C1028" t="e">
            <v>#DIV/0!</v>
          </cell>
          <cell r="D1028" t="e">
            <v>#DIV/0!</v>
          </cell>
          <cell r="E1028" t="e">
            <v>#DIV/0!</v>
          </cell>
        </row>
        <row r="1029">
          <cell r="A1029">
            <v>40473</v>
          </cell>
          <cell r="B1029" t="str">
            <v>#Calc</v>
          </cell>
          <cell r="C1029" t="e">
            <v>#DIV/0!</v>
          </cell>
          <cell r="D1029" t="e">
            <v>#DIV/0!</v>
          </cell>
          <cell r="E1029" t="e">
            <v>#DIV/0!</v>
          </cell>
        </row>
      </sheetData>
      <sheetData sheetId="3"/>
      <sheetData sheetId="4">
        <row r="2">
          <cell r="B2" t="str">
            <v>1Q11 Estimates vs. Actual</v>
          </cell>
        </row>
        <row r="3">
          <cell r="B3" t="str">
            <v>R$ MN</v>
          </cell>
          <cell r="C3" t="str">
            <v>1Q11a</v>
          </cell>
          <cell r="D3" t="str">
            <v>1Q11e</v>
          </cell>
          <cell r="E3" t="str">
            <v>4Q10a</v>
          </cell>
          <cell r="F3" t="str">
            <v>1Q10a</v>
          </cell>
          <cell r="G3" t="str">
            <v>A/E</v>
          </cell>
          <cell r="H3" t="str">
            <v>Q/Q</v>
          </cell>
          <cell r="I3" t="str">
            <v>Y/Y</v>
          </cell>
          <cell r="L3" t="str">
            <v>Conference Call</v>
          </cell>
        </row>
        <row r="4">
          <cell r="B4" t="str">
            <v>Net Revenue</v>
          </cell>
          <cell r="C4">
            <v>521.27099999999996</v>
          </cell>
          <cell r="D4">
            <v>562.76286990113567</v>
          </cell>
          <cell r="E4">
            <v>521.27099999999996</v>
          </cell>
          <cell r="F4">
            <v>492.94900000000001</v>
          </cell>
          <cell r="G4">
            <v>-7.3728868978909179E-2</v>
          </cell>
          <cell r="H4">
            <v>0</v>
          </cell>
          <cell r="I4">
            <v>5.7454219402006901E-2</v>
          </cell>
          <cell r="M4" t="str">
            <v>Time</v>
          </cell>
          <cell r="N4" t="str">
            <v>Number</v>
          </cell>
          <cell r="O4" t="str">
            <v>Code</v>
          </cell>
          <cell r="Q4">
            <v>518.6</v>
          </cell>
          <cell r="R4">
            <v>5.1504049363670923E-3</v>
          </cell>
        </row>
        <row r="5">
          <cell r="B5" t="str">
            <v xml:space="preserve">Ebitda </v>
          </cell>
          <cell r="C5">
            <v>22.228000000000002</v>
          </cell>
          <cell r="D5">
            <v>39.820279156020241</v>
          </cell>
          <cell r="E5">
            <v>22.228000000000002</v>
          </cell>
          <cell r="F5">
            <v>46.963999999999999</v>
          </cell>
          <cell r="G5">
            <v>-0.44179195949610883</v>
          </cell>
          <cell r="H5">
            <v>0</v>
          </cell>
          <cell r="I5">
            <v>-0.52670130312579844</v>
          </cell>
          <cell r="L5" t="str">
            <v>Portuguese</v>
          </cell>
          <cell r="M5" t="str">
            <v>9 AM EST</v>
          </cell>
          <cell r="N5" t="str">
            <v>+55 (11) 2188-0155</v>
          </cell>
          <cell r="O5" t="str">
            <v xml:space="preserve">Drogasil </v>
          </cell>
          <cell r="Q5">
            <v>37.075000000000003</v>
          </cell>
          <cell r="R5">
            <v>-0.40045853000674314</v>
          </cell>
        </row>
        <row r="6">
          <cell r="B6" t="str">
            <v>Ebitda margin</v>
          </cell>
          <cell r="C6">
            <v>4.2641927135789258E-2</v>
          </cell>
          <cell r="D6">
            <v>7.0758540205425671E-2</v>
          </cell>
          <cell r="E6">
            <v>4.2641927135789258E-2</v>
          </cell>
          <cell r="F6">
            <v>9.5271518960379262E-2</v>
          </cell>
          <cell r="L6" t="str">
            <v>English</v>
          </cell>
          <cell r="M6" t="str">
            <v>11 AM EST</v>
          </cell>
          <cell r="N6" t="str">
            <v>+1 (412) 317-6776</v>
          </cell>
          <cell r="O6" t="str">
            <v xml:space="preserve">Drogasil </v>
          </cell>
          <cell r="Q6">
            <v>7.1490551484766685E-2</v>
          </cell>
        </row>
        <row r="7">
          <cell r="B7" t="str">
            <v>Net Income</v>
          </cell>
          <cell r="C7">
            <v>11.587</v>
          </cell>
          <cell r="D7">
            <v>23.465601346226261</v>
          </cell>
          <cell r="E7">
            <v>11.629</v>
          </cell>
          <cell r="F7">
            <v>29.033999999999999</v>
          </cell>
          <cell r="G7">
            <v>-0.50621337893548501</v>
          </cell>
          <cell r="H7">
            <v>-3.6116605039125949E-3</v>
          </cell>
          <cell r="I7">
            <v>-0.60091616725218711</v>
          </cell>
          <cell r="L7" t="str">
            <v>Key Themes: SSS growth, margins and M&amp;A pipeline</v>
          </cell>
          <cell r="Q7">
            <v>21.875</v>
          </cell>
          <cell r="R7">
            <v>-0.47030857142857141</v>
          </cell>
        </row>
        <row r="9">
          <cell r="B9" t="str">
            <v>Source: Company Data, Morgan Stanley Research</v>
          </cell>
        </row>
        <row r="16">
          <cell r="B16" t="str">
            <v>DROG3.SA</v>
          </cell>
          <cell r="C16" t="str">
            <v>11Q1</v>
          </cell>
        </row>
        <row r="17">
          <cell r="B17" t="str">
            <v>Net Revenue</v>
          </cell>
          <cell r="C17">
            <v>533.28600000000006</v>
          </cell>
          <cell r="D17">
            <v>-2.2530124548553854E-2</v>
          </cell>
        </row>
        <row r="18">
          <cell r="B18" t="str">
            <v>Ebitda</v>
          </cell>
          <cell r="C18">
            <v>24.766999999999999</v>
          </cell>
          <cell r="D18">
            <v>-0.10251544393749734</v>
          </cell>
        </row>
        <row r="19">
          <cell r="B19" t="str">
            <v>Net Income</v>
          </cell>
          <cell r="C19">
            <v>14.25</v>
          </cell>
          <cell r="D19">
            <v>-0.1868771929824562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Product Mix 100%"/>
      <sheetName val="Traditional &amp; Other"/>
      <sheetName val="Per Pharma Traditional &amp; Biolog"/>
      <sheetName val="MW-Cache"/>
      <sheetName val="__FDSCACHE__"/>
      <sheetName val="2010PE"/>
      <sheetName val="2010PE_Ex BMY"/>
      <sheetName val="2012PE"/>
      <sheetName val="2012PE_Ex BMY"/>
      <sheetName val="short IS"/>
      <sheetName val="cost savings"/>
      <sheetName val="2015 top 10"/>
      <sheetName val="2010 top 10"/>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PFE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932.42080930800876</v>
          </cell>
          <cell r="E12">
            <v>1421.1035914094464</v>
          </cell>
          <cell r="F12">
            <v>1765.8870921994021</v>
          </cell>
          <cell r="G12">
            <v>1055.7675672663318</v>
          </cell>
          <cell r="H12">
            <v>577.39612356401631</v>
          </cell>
          <cell r="BA12" t="str">
            <v>.</v>
          </cell>
        </row>
        <row r="13">
          <cell r="C13" t="str">
            <v>Pipeline products launching 2010–2015</v>
          </cell>
          <cell r="D13">
            <v>488.88851560750004</v>
          </cell>
          <cell r="E13">
            <v>1032.6222136879819</v>
          </cell>
          <cell r="F13">
            <v>1194.3879881319788</v>
          </cell>
          <cell r="G13">
            <v>1586.9809373847056</v>
          </cell>
          <cell r="H13">
            <v>1912.159684759381</v>
          </cell>
          <cell r="BA13" t="str">
            <v>.</v>
          </cell>
        </row>
        <row r="14">
          <cell r="C14" t="str">
            <v>Products expiring 2010–15</v>
          </cell>
          <cell r="D14">
            <v>-3093.4238533699972</v>
          </cell>
          <cell r="E14">
            <v>-9244.3086322740019</v>
          </cell>
          <cell r="F14">
            <v>-2500.25038596167</v>
          </cell>
          <cell r="G14">
            <v>-2111.4680686893898</v>
          </cell>
          <cell r="H14">
            <v>-2273.0544201852699</v>
          </cell>
          <cell r="BA14" t="str">
            <v>.</v>
          </cell>
        </row>
        <row r="15">
          <cell r="C15" t="str">
            <v>Net YOY change</v>
          </cell>
          <cell r="D15">
            <v>-1672.1145284544909</v>
          </cell>
          <cell r="E15">
            <v>-6790.582827176564</v>
          </cell>
          <cell r="F15">
            <v>460.02469436970568</v>
          </cell>
          <cell r="G15">
            <v>531.28043596164935</v>
          </cell>
          <cell r="H15">
            <v>216.50138813813101</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ow r="1">
          <cell r="Y1" t="str">
            <v>SmartCharts</v>
          </cell>
          <cell r="BH1" t="str">
            <v>.</v>
          </cell>
        </row>
        <row r="2">
          <cell r="BH2" t="str">
            <v>.</v>
          </cell>
        </row>
        <row r="3">
          <cell r="BH3" t="str">
            <v>.</v>
          </cell>
        </row>
        <row r="6">
          <cell r="C6" t="str">
            <v>Input starting data point here:</v>
          </cell>
        </row>
        <row r="7">
          <cell r="C7" t="str">
            <v>2010E</v>
          </cell>
          <cell r="D7">
            <v>67.2</v>
          </cell>
        </row>
        <row r="8">
          <cell r="M8" t="str">
            <v>inv series</v>
          </cell>
          <cell r="P8" t="str">
            <v>clean labels</v>
          </cell>
        </row>
        <row r="9">
          <cell r="M9" t="str">
            <v>for labels</v>
          </cell>
        </row>
        <row r="10">
          <cell r="C10" t="str">
            <v>Input increments here:</v>
          </cell>
          <cell r="G10">
            <v>3</v>
          </cell>
          <cell r="H10" t="str">
            <v>Invisible</v>
          </cell>
          <cell r="I10" t="str">
            <v>Final</v>
          </cell>
          <cell r="J10" t="str">
            <v>Minus</v>
          </cell>
          <cell r="K10" t="str">
            <v>Plus</v>
          </cell>
          <cell r="L10" t="str">
            <v>Initial</v>
          </cell>
          <cell r="M10" t="str">
            <v>inside1</v>
          </cell>
          <cell r="N10" t="str">
            <v>inside2</v>
          </cell>
          <cell r="O10" t="str">
            <v>outside</v>
          </cell>
          <cell r="P10" t="str">
            <v>labfinal</v>
          </cell>
          <cell r="Q10" t="str">
            <v>labminus</v>
          </cell>
          <cell r="R10" t="str">
            <v>labplus</v>
          </cell>
          <cell r="S10" t="str">
            <v>labinitial</v>
          </cell>
          <cell r="T10" t="str">
            <v>labinside1</v>
          </cell>
          <cell r="U10" t="str">
            <v>labinside2</v>
          </cell>
        </row>
        <row r="11">
          <cell r="H11">
            <v>0</v>
          </cell>
        </row>
        <row r="12">
          <cell r="L12">
            <v>67.2</v>
          </cell>
          <cell r="M12">
            <v>0</v>
          </cell>
          <cell r="N12">
            <v>0</v>
          </cell>
          <cell r="O12">
            <v>0</v>
          </cell>
          <cell r="P12">
            <v>0</v>
          </cell>
          <cell r="Q12">
            <v>0</v>
          </cell>
          <cell r="R12">
            <v>0</v>
          </cell>
          <cell r="S12">
            <v>67.2</v>
          </cell>
          <cell r="T12" t="str">
            <v>2010E</v>
          </cell>
        </row>
        <row r="13">
          <cell r="C13" t="str">
            <v>In-Line Products</v>
          </cell>
          <cell r="D13">
            <v>5.8</v>
          </cell>
          <cell r="G13">
            <v>1</v>
          </cell>
          <cell r="H13">
            <v>67.2</v>
          </cell>
          <cell r="I13">
            <v>0</v>
          </cell>
          <cell r="J13">
            <v>0</v>
          </cell>
          <cell r="K13">
            <v>5.8</v>
          </cell>
          <cell r="M13">
            <v>0</v>
          </cell>
          <cell r="N13">
            <v>0</v>
          </cell>
          <cell r="O13">
            <v>0</v>
          </cell>
          <cell r="P13">
            <v>0</v>
          </cell>
          <cell r="Q13">
            <v>0</v>
          </cell>
          <cell r="R13">
            <v>5.8</v>
          </cell>
          <cell r="S13">
            <v>0</v>
          </cell>
          <cell r="T13">
            <v>0</v>
          </cell>
          <cell r="U13" t="str">
            <v>In-Line Products</v>
          </cell>
        </row>
        <row r="14">
          <cell r="C14" t="str">
            <v>Pipeline</v>
          </cell>
          <cell r="D14">
            <v>6.2</v>
          </cell>
          <cell r="G14">
            <v>2</v>
          </cell>
          <cell r="H14">
            <v>73</v>
          </cell>
          <cell r="I14">
            <v>0</v>
          </cell>
          <cell r="J14">
            <v>0</v>
          </cell>
          <cell r="K14">
            <v>6.2</v>
          </cell>
          <cell r="M14">
            <v>0</v>
          </cell>
          <cell r="N14">
            <v>0</v>
          </cell>
          <cell r="O14">
            <v>0</v>
          </cell>
          <cell r="P14">
            <v>0</v>
          </cell>
          <cell r="Q14">
            <v>0</v>
          </cell>
          <cell r="R14">
            <v>6.2</v>
          </cell>
          <cell r="S14">
            <v>0</v>
          </cell>
          <cell r="T14">
            <v>0</v>
          </cell>
          <cell r="U14" t="str">
            <v>Pipeline</v>
          </cell>
        </row>
        <row r="15">
          <cell r="C15" t="str">
            <v>Expirations</v>
          </cell>
          <cell r="D15">
            <v>-19.2</v>
          </cell>
          <cell r="G15">
            <v>3</v>
          </cell>
          <cell r="H15">
            <v>60</v>
          </cell>
          <cell r="I15">
            <v>0</v>
          </cell>
          <cell r="J15">
            <v>19.2</v>
          </cell>
          <cell r="K15">
            <v>0</v>
          </cell>
          <cell r="M15">
            <v>0</v>
          </cell>
          <cell r="N15">
            <v>0</v>
          </cell>
          <cell r="O15">
            <v>0</v>
          </cell>
          <cell r="P15">
            <v>0</v>
          </cell>
          <cell r="Q15">
            <v>-19.2</v>
          </cell>
          <cell r="R15">
            <v>0</v>
          </cell>
          <cell r="S15">
            <v>0</v>
          </cell>
          <cell r="T15">
            <v>0</v>
          </cell>
          <cell r="U15" t="str">
            <v>Expirations</v>
          </cell>
        </row>
        <row r="16">
          <cell r="G16">
            <v>4</v>
          </cell>
          <cell r="H16">
            <v>0</v>
          </cell>
          <cell r="I16">
            <v>60</v>
          </cell>
          <cell r="J16">
            <v>0</v>
          </cell>
          <cell r="K16">
            <v>0</v>
          </cell>
          <cell r="M16">
            <v>0</v>
          </cell>
          <cell r="N16">
            <v>0</v>
          </cell>
          <cell r="O16">
            <v>0</v>
          </cell>
          <cell r="P16">
            <v>60</v>
          </cell>
          <cell r="Q16">
            <v>0</v>
          </cell>
          <cell r="R16">
            <v>0</v>
          </cell>
          <cell r="S16">
            <v>0</v>
          </cell>
          <cell r="T16" t="str">
            <v>2015E</v>
          </cell>
          <cell r="U16">
            <v>0</v>
          </cell>
        </row>
        <row r="17">
          <cell r="G17">
            <v>5</v>
          </cell>
          <cell r="H17">
            <v>0</v>
          </cell>
          <cell r="I17">
            <v>0</v>
          </cell>
          <cell r="J17">
            <v>0</v>
          </cell>
          <cell r="K17">
            <v>0</v>
          </cell>
          <cell r="M17">
            <v>0</v>
          </cell>
          <cell r="N17">
            <v>0</v>
          </cell>
          <cell r="O17">
            <v>0</v>
          </cell>
          <cell r="P17">
            <v>0</v>
          </cell>
          <cell r="Q17">
            <v>0</v>
          </cell>
          <cell r="R17">
            <v>0</v>
          </cell>
          <cell r="S17">
            <v>0</v>
          </cell>
          <cell r="T17">
            <v>0</v>
          </cell>
          <cell r="U17">
            <v>0</v>
          </cell>
        </row>
        <row r="18">
          <cell r="G18">
            <v>6</v>
          </cell>
          <cell r="H18">
            <v>0</v>
          </cell>
          <cell r="I18">
            <v>0</v>
          </cell>
          <cell r="J18">
            <v>0</v>
          </cell>
          <cell r="K18">
            <v>0</v>
          </cell>
          <cell r="M18">
            <v>0</v>
          </cell>
          <cell r="N18">
            <v>0</v>
          </cell>
          <cell r="O18">
            <v>0</v>
          </cell>
          <cell r="P18">
            <v>0</v>
          </cell>
          <cell r="Q18">
            <v>0</v>
          </cell>
          <cell r="R18">
            <v>0</v>
          </cell>
          <cell r="S18">
            <v>0</v>
          </cell>
          <cell r="T18">
            <v>0</v>
          </cell>
          <cell r="U18">
            <v>0</v>
          </cell>
        </row>
        <row r="19">
          <cell r="G19">
            <v>7</v>
          </cell>
          <cell r="H19">
            <v>0</v>
          </cell>
          <cell r="I19">
            <v>0</v>
          </cell>
          <cell r="J19">
            <v>0</v>
          </cell>
          <cell r="K19">
            <v>0</v>
          </cell>
          <cell r="M19">
            <v>0</v>
          </cell>
          <cell r="N19">
            <v>0</v>
          </cell>
          <cell r="O19">
            <v>0</v>
          </cell>
          <cell r="P19">
            <v>0</v>
          </cell>
          <cell r="Q19">
            <v>0</v>
          </cell>
          <cell r="R19">
            <v>0</v>
          </cell>
          <cell r="S19">
            <v>0</v>
          </cell>
          <cell r="T19">
            <v>0</v>
          </cell>
          <cell r="U19">
            <v>0</v>
          </cell>
        </row>
        <row r="20">
          <cell r="G20">
            <v>8</v>
          </cell>
          <cell r="H20">
            <v>0</v>
          </cell>
          <cell r="I20">
            <v>0</v>
          </cell>
          <cell r="J20">
            <v>0</v>
          </cell>
          <cell r="K20">
            <v>0</v>
          </cell>
          <cell r="M20">
            <v>0</v>
          </cell>
          <cell r="N20">
            <v>0</v>
          </cell>
          <cell r="O20">
            <v>0</v>
          </cell>
          <cell r="P20">
            <v>0</v>
          </cell>
          <cell r="Q20">
            <v>0</v>
          </cell>
          <cell r="R20">
            <v>0</v>
          </cell>
          <cell r="S20">
            <v>0</v>
          </cell>
          <cell r="T20">
            <v>0</v>
          </cell>
          <cell r="U20">
            <v>0</v>
          </cell>
        </row>
        <row r="21">
          <cell r="G21">
            <v>9</v>
          </cell>
          <cell r="H21">
            <v>0</v>
          </cell>
          <cell r="I21">
            <v>0</v>
          </cell>
          <cell r="J21">
            <v>0</v>
          </cell>
          <cell r="K21">
            <v>0</v>
          </cell>
          <cell r="M21">
            <v>0</v>
          </cell>
          <cell r="N21">
            <v>0</v>
          </cell>
          <cell r="O21">
            <v>0</v>
          </cell>
          <cell r="P21">
            <v>0</v>
          </cell>
          <cell r="Q21">
            <v>0</v>
          </cell>
          <cell r="R21">
            <v>0</v>
          </cell>
          <cell r="S21">
            <v>0</v>
          </cell>
          <cell r="T21">
            <v>0</v>
          </cell>
          <cell r="U21">
            <v>0</v>
          </cell>
        </row>
        <row r="22">
          <cell r="G22">
            <v>10</v>
          </cell>
          <cell r="H22">
            <v>0</v>
          </cell>
          <cell r="I22">
            <v>0</v>
          </cell>
          <cell r="J22">
            <v>0</v>
          </cell>
          <cell r="K22">
            <v>0</v>
          </cell>
          <cell r="M22">
            <v>0</v>
          </cell>
          <cell r="N22">
            <v>0</v>
          </cell>
          <cell r="O22">
            <v>0</v>
          </cell>
          <cell r="P22">
            <v>0</v>
          </cell>
          <cell r="Q22">
            <v>0</v>
          </cell>
          <cell r="R22">
            <v>0</v>
          </cell>
          <cell r="S22">
            <v>0</v>
          </cell>
          <cell r="T22">
            <v>0</v>
          </cell>
          <cell r="U22">
            <v>0</v>
          </cell>
        </row>
        <row r="23">
          <cell r="G23">
            <v>11</v>
          </cell>
          <cell r="H23">
            <v>0</v>
          </cell>
          <cell r="I23">
            <v>0</v>
          </cell>
          <cell r="M23">
            <v>0</v>
          </cell>
          <cell r="N23">
            <v>0</v>
          </cell>
          <cell r="O23">
            <v>0</v>
          </cell>
          <cell r="P23">
            <v>0</v>
          </cell>
          <cell r="Q23">
            <v>0</v>
          </cell>
          <cell r="R23">
            <v>0</v>
          </cell>
          <cell r="S23">
            <v>0</v>
          </cell>
          <cell r="T23">
            <v>0</v>
          </cell>
          <cell r="U23">
            <v>0</v>
          </cell>
        </row>
        <row r="24">
          <cell r="G24">
            <v>12</v>
          </cell>
          <cell r="H24">
            <v>0</v>
          </cell>
          <cell r="I24">
            <v>0</v>
          </cell>
          <cell r="M24">
            <v>0</v>
          </cell>
          <cell r="N24">
            <v>0</v>
          </cell>
          <cell r="O24">
            <v>0</v>
          </cell>
          <cell r="P24">
            <v>0</v>
          </cell>
          <cell r="Q24">
            <v>0</v>
          </cell>
          <cell r="R24">
            <v>0</v>
          </cell>
          <cell r="S24">
            <v>0</v>
          </cell>
          <cell r="T24">
            <v>0</v>
          </cell>
          <cell r="U24">
            <v>0</v>
          </cell>
        </row>
        <row r="25">
          <cell r="H25" t="str">
            <v>net chg</v>
          </cell>
          <cell r="I25">
            <v>-7.2</v>
          </cell>
        </row>
        <row r="27">
          <cell r="C27" t="str">
            <v>Input label for end point here:</v>
          </cell>
        </row>
        <row r="28">
          <cell r="C28" t="str">
            <v>2015E</v>
          </cell>
        </row>
        <row r="30">
          <cell r="C30" t="str">
            <v xml:space="preserve">End data value 
</v>
          </cell>
          <cell r="D30">
            <v>0</v>
          </cell>
        </row>
        <row r="31">
          <cell r="C31" t="str">
            <v>is calculated</v>
          </cell>
        </row>
        <row r="32">
          <cell r="C32" t="str">
            <v>automatically</v>
          </cell>
        </row>
        <row r="1002">
          <cell r="A1002" t="str">
            <v>.</v>
          </cell>
          <cell r="B1002" t="str">
            <v>.</v>
          </cell>
          <cell r="C1002" t="str">
            <v>.</v>
          </cell>
        </row>
      </sheetData>
      <sheetData sheetId="3">
        <row r="1">
          <cell r="S1" t="str">
            <v>SmartCharts</v>
          </cell>
          <cell r="BB1" t="str">
            <v>.</v>
          </cell>
        </row>
        <row r="2">
          <cell r="BB2" t="str">
            <v>.</v>
          </cell>
        </row>
        <row r="3">
          <cell r="BB3" t="str">
            <v>.</v>
          </cell>
        </row>
        <row r="4">
          <cell r="BB4" t="str">
            <v>.</v>
          </cell>
        </row>
        <row r="5">
          <cell r="C5" t="str">
            <v>Define value axis here:</v>
          </cell>
        </row>
        <row r="6">
          <cell r="C6" t="str">
            <v>PFE/WYE Revenue Contribution per Segment</v>
          </cell>
        </row>
        <row r="10">
          <cell r="C10" t="str">
            <v>Input your data here:</v>
          </cell>
          <cell r="BB10" t="str">
            <v>.</v>
          </cell>
        </row>
        <row r="11">
          <cell r="D11" t="str">
            <v>Other</v>
          </cell>
          <cell r="E11" t="str">
            <v>Nutritionals</v>
          </cell>
          <cell r="F11" t="str">
            <v>Animal</v>
          </cell>
          <cell r="G11" t="str">
            <v>CHC</v>
          </cell>
          <cell r="H11" t="str">
            <v>Biologic</v>
          </cell>
          <cell r="I11" t="str">
            <v>Traditional</v>
          </cell>
          <cell r="BB11" t="str">
            <v>.</v>
          </cell>
        </row>
        <row r="12">
          <cell r="C12">
            <v>2010</v>
          </cell>
          <cell r="D12">
            <v>7.3922836848778701E-3</v>
          </cell>
          <cell r="E12">
            <v>3.9694505637046879E-2</v>
          </cell>
          <cell r="F12">
            <v>4.9542591862029917E-2</v>
          </cell>
          <cell r="G12">
            <v>4.5134290951814274E-2</v>
          </cell>
          <cell r="H12">
            <v>0.15079210822131184</v>
          </cell>
          <cell r="I12">
            <v>0.70744421964291904</v>
          </cell>
          <cell r="BB12" t="str">
            <v>.</v>
          </cell>
        </row>
        <row r="13">
          <cell r="C13">
            <v>2011</v>
          </cell>
          <cell r="D13">
            <v>7.8621358780429015E-3</v>
          </cell>
          <cell r="E13">
            <v>4.3501848606407156E-2</v>
          </cell>
          <cell r="F13">
            <v>5.2892461739374758E-2</v>
          </cell>
          <cell r="G13">
            <v>4.7788394858716006E-2</v>
          </cell>
          <cell r="H13">
            <v>0.16335309234331286</v>
          </cell>
          <cell r="I13">
            <v>0.68460206657414613</v>
          </cell>
          <cell r="BB13" t="str">
            <v>.</v>
          </cell>
        </row>
        <row r="14">
          <cell r="C14">
            <v>2012</v>
          </cell>
          <cell r="D14">
            <v>9.0894156599119914E-3</v>
          </cell>
          <cell r="E14">
            <v>5.1809888445371488E-2</v>
          </cell>
          <cell r="F14">
            <v>6.1361732478238944E-2</v>
          </cell>
          <cell r="G14">
            <v>5.4948172167998723E-2</v>
          </cell>
          <cell r="H14">
            <v>0.2064642573378605</v>
          </cell>
          <cell r="I14">
            <v>0.61632653391061831</v>
          </cell>
          <cell r="BB14" t="str">
            <v>.</v>
          </cell>
        </row>
        <row r="15">
          <cell r="C15">
            <v>2013</v>
          </cell>
          <cell r="D15">
            <v>9.3639207719231066E-3</v>
          </cell>
          <cell r="E15">
            <v>5.4972084194039497E-2</v>
          </cell>
          <cell r="F15">
            <v>6.3414379086380118E-2</v>
          </cell>
          <cell r="G15">
            <v>5.6314339157607203E-2</v>
          </cell>
          <cell r="H15">
            <v>0.22546494243949647</v>
          </cell>
          <cell r="I15">
            <v>0.59047033435055385</v>
          </cell>
          <cell r="BB15" t="str">
            <v>.</v>
          </cell>
        </row>
        <row r="16">
          <cell r="C16">
            <v>2014</v>
          </cell>
          <cell r="D16">
            <v>9.6393304601885728E-3</v>
          </cell>
          <cell r="E16">
            <v>5.826952701183119E-2</v>
          </cell>
          <cell r="F16">
            <v>6.5465107357308594E-2</v>
          </cell>
          <cell r="G16">
            <v>5.766814515501012E-2</v>
          </cell>
          <cell r="H16">
            <v>0.23925277361350805</v>
          </cell>
          <cell r="I16">
            <v>0.56970511640215349</v>
          </cell>
          <cell r="BB16" t="str">
            <v>.</v>
          </cell>
        </row>
        <row r="17">
          <cell r="C17">
            <v>2015</v>
          </cell>
          <cell r="D17">
            <v>9.9799761432740278E-3</v>
          </cell>
          <cell r="E17">
            <v>6.2107028447675697E-2</v>
          </cell>
          <cell r="F17">
            <v>6.7950841022483971E-2</v>
          </cell>
          <cell r="G17">
            <v>5.9392717383289405E-2</v>
          </cell>
          <cell r="H17">
            <v>0.25421323458932704</v>
          </cell>
          <cell r="I17">
            <v>0.54635620241394955</v>
          </cell>
          <cell r="BB17" t="str">
            <v>.</v>
          </cell>
        </row>
        <row r="18">
          <cell r="BB18" t="str">
            <v>.</v>
          </cell>
        </row>
        <row r="20">
          <cell r="BB20" t="str">
            <v>.</v>
          </cell>
        </row>
        <row r="21">
          <cell r="BB21" t="str">
            <v>.</v>
          </cell>
        </row>
        <row r="22">
          <cell r="BB22" t="str">
            <v>.</v>
          </cell>
        </row>
        <row r="23">
          <cell r="BB23" t="str">
            <v>.</v>
          </cell>
        </row>
        <row r="24">
          <cell r="BB24" t="str">
            <v>.</v>
          </cell>
        </row>
        <row r="25">
          <cell r="BB25" t="str">
            <v>.</v>
          </cell>
        </row>
        <row r="26">
          <cell r="BB26" t="str">
            <v>.</v>
          </cell>
        </row>
        <row r="27">
          <cell r="BB27" t="str">
            <v>.</v>
          </cell>
        </row>
        <row r="28">
          <cell r="BB28" t="str">
            <v>.</v>
          </cell>
        </row>
        <row r="29">
          <cell r="BB29" t="str">
            <v>.</v>
          </cell>
        </row>
        <row r="30">
          <cell r="BB30" t="str">
            <v>.</v>
          </cell>
        </row>
        <row r="31">
          <cell r="BB31" t="str">
            <v>.</v>
          </cell>
        </row>
        <row r="32">
          <cell r="BB32" t="str">
            <v>.</v>
          </cell>
        </row>
        <row r="33">
          <cell r="BB33" t="str">
            <v>.</v>
          </cell>
        </row>
        <row r="34">
          <cell r="BB34" t="str">
            <v>.</v>
          </cell>
        </row>
        <row r="35">
          <cell r="BB35" t="str">
            <v>.</v>
          </cell>
        </row>
        <row r="36">
          <cell r="BB36" t="str">
            <v>.</v>
          </cell>
        </row>
        <row r="37">
          <cell r="K37" t="str">
            <v>Do not change the width of the exhibit or font sizes (they are optimized for export to Word).</v>
          </cell>
          <cell r="BB37" t="str">
            <v>.</v>
          </cell>
        </row>
        <row r="38">
          <cell r="BB38" t="str">
            <v>.</v>
          </cell>
        </row>
        <row r="39">
          <cell r="K39" t="str">
            <v>Do not delete any rows or columns (some gray cells are used for calculations).</v>
          </cell>
          <cell r="BB39" t="str">
            <v>.</v>
          </cell>
        </row>
        <row r="40">
          <cell r="BB40" t="str">
            <v>.</v>
          </cell>
        </row>
        <row r="41">
          <cell r="BB41" t="str">
            <v>.</v>
          </cell>
        </row>
        <row r="42">
          <cell r="BB42" t="str">
            <v>.</v>
          </cell>
        </row>
        <row r="43">
          <cell r="BB43" t="str">
            <v>.</v>
          </cell>
        </row>
        <row r="44">
          <cell r="BB44" t="str">
            <v>.</v>
          </cell>
        </row>
        <row r="45">
          <cell r="BB45" t="str">
            <v>.</v>
          </cell>
        </row>
        <row r="46">
          <cell r="BB46" t="str">
            <v>.</v>
          </cell>
        </row>
        <row r="47">
          <cell r="BB47" t="str">
            <v>.</v>
          </cell>
        </row>
        <row r="48">
          <cell r="BB48" t="str">
            <v>.</v>
          </cell>
        </row>
        <row r="49">
          <cell r="BB49" t="str">
            <v>.</v>
          </cell>
        </row>
        <row r="50">
          <cell r="BB50" t="str">
            <v>.</v>
          </cell>
        </row>
        <row r="51">
          <cell r="BB51" t="str">
            <v>.</v>
          </cell>
        </row>
        <row r="52">
          <cell r="BB52" t="str">
            <v>.</v>
          </cell>
        </row>
        <row r="53">
          <cell r="BB53" t="str">
            <v>.</v>
          </cell>
        </row>
        <row r="54">
          <cell r="BB54" t="str">
            <v>.</v>
          </cell>
        </row>
        <row r="55">
          <cell r="BB55" t="str">
            <v>.</v>
          </cell>
        </row>
        <row r="56">
          <cell r="BB56" t="str">
            <v>.</v>
          </cell>
        </row>
        <row r="57">
          <cell r="BB57" t="str">
            <v>.</v>
          </cell>
        </row>
        <row r="58">
          <cell r="BB58" t="str">
            <v>.</v>
          </cell>
        </row>
        <row r="59">
          <cell r="BB59" t="str">
            <v>.</v>
          </cell>
        </row>
        <row r="60">
          <cell r="BB60" t="str">
            <v>.</v>
          </cell>
        </row>
        <row r="61">
          <cell r="BB61" t="str">
            <v>.</v>
          </cell>
        </row>
        <row r="62">
          <cell r="BB62" t="str">
            <v>.</v>
          </cell>
        </row>
        <row r="63">
          <cell r="BB63" t="str">
            <v>.</v>
          </cell>
        </row>
        <row r="64">
          <cell r="BB64" t="str">
            <v>.</v>
          </cell>
        </row>
        <row r="65">
          <cell r="BB65" t="str">
            <v>.</v>
          </cell>
        </row>
        <row r="66">
          <cell r="BB66" t="str">
            <v>.</v>
          </cell>
        </row>
        <row r="67">
          <cell r="BB67" t="str">
            <v>.</v>
          </cell>
        </row>
        <row r="68">
          <cell r="BB68" t="str">
            <v>.</v>
          </cell>
        </row>
        <row r="69">
          <cell r="BB69" t="str">
            <v>.</v>
          </cell>
        </row>
        <row r="70">
          <cell r="BB70" t="str">
            <v>.</v>
          </cell>
        </row>
        <row r="71">
          <cell r="BB71" t="str">
            <v>.</v>
          </cell>
        </row>
        <row r="72">
          <cell r="BB72" t="str">
            <v>.</v>
          </cell>
        </row>
        <row r="73">
          <cell r="BB73" t="str">
            <v>.</v>
          </cell>
        </row>
        <row r="74">
          <cell r="BB74" t="str">
            <v>.</v>
          </cell>
        </row>
        <row r="75">
          <cell r="BB75" t="str">
            <v>.</v>
          </cell>
        </row>
        <row r="76">
          <cell r="BB76" t="str">
            <v>.</v>
          </cell>
        </row>
        <row r="77">
          <cell r="BB77" t="str">
            <v>.</v>
          </cell>
        </row>
        <row r="78">
          <cell r="BB78" t="str">
            <v>.</v>
          </cell>
        </row>
        <row r="79">
          <cell r="BB79" t="str">
            <v>.</v>
          </cell>
        </row>
        <row r="80">
          <cell r="BB80" t="str">
            <v>.</v>
          </cell>
        </row>
        <row r="81">
          <cell r="BB81" t="str">
            <v>.</v>
          </cell>
        </row>
        <row r="82">
          <cell r="BB82" t="str">
            <v>.</v>
          </cell>
        </row>
        <row r="83">
          <cell r="BB83" t="str">
            <v>.</v>
          </cell>
        </row>
        <row r="84">
          <cell r="BB84" t="str">
            <v>.</v>
          </cell>
        </row>
        <row r="85">
          <cell r="BB85" t="str">
            <v>.</v>
          </cell>
        </row>
        <row r="86">
          <cell r="BB86" t="str">
            <v>.</v>
          </cell>
        </row>
        <row r="87">
          <cell r="BB87" t="str">
            <v>.</v>
          </cell>
        </row>
        <row r="88">
          <cell r="BB88" t="str">
            <v>.</v>
          </cell>
        </row>
        <row r="89">
          <cell r="BB89" t="str">
            <v>.</v>
          </cell>
        </row>
        <row r="90">
          <cell r="BB90" t="str">
            <v>.</v>
          </cell>
        </row>
        <row r="91">
          <cell r="BB91" t="str">
            <v>.</v>
          </cell>
        </row>
        <row r="92">
          <cell r="BB92" t="str">
            <v>.</v>
          </cell>
        </row>
        <row r="93">
          <cell r="BB93" t="str">
            <v>.</v>
          </cell>
        </row>
        <row r="94">
          <cell r="BB94" t="str">
            <v>.</v>
          </cell>
        </row>
        <row r="95">
          <cell r="BB95" t="str">
            <v>.</v>
          </cell>
        </row>
        <row r="96">
          <cell r="BB96" t="str">
            <v>.</v>
          </cell>
        </row>
        <row r="97">
          <cell r="BB97" t="str">
            <v>.</v>
          </cell>
        </row>
        <row r="98">
          <cell r="BB98" t="str">
            <v>.</v>
          </cell>
        </row>
        <row r="99">
          <cell r="BB99" t="str">
            <v>.</v>
          </cell>
        </row>
        <row r="100">
          <cell r="BB100" t="str">
            <v>.</v>
          </cell>
        </row>
        <row r="101">
          <cell r="BB101" t="str">
            <v>.</v>
          </cell>
        </row>
        <row r="102">
          <cell r="BB102" t="str">
            <v>.</v>
          </cell>
        </row>
        <row r="103">
          <cell r="BB103" t="str">
            <v>.</v>
          </cell>
        </row>
        <row r="104">
          <cell r="BB104" t="str">
            <v>.</v>
          </cell>
        </row>
        <row r="105">
          <cell r="BB105" t="str">
            <v>.</v>
          </cell>
        </row>
        <row r="106">
          <cell r="BB106" t="str">
            <v>.</v>
          </cell>
        </row>
        <row r="107">
          <cell r="BB107" t="str">
            <v>.</v>
          </cell>
        </row>
        <row r="108">
          <cell r="BB108" t="str">
            <v>.</v>
          </cell>
        </row>
        <row r="109">
          <cell r="BB109" t="str">
            <v>.</v>
          </cell>
        </row>
        <row r="110">
          <cell r="BB110" t="str">
            <v>.</v>
          </cell>
        </row>
        <row r="111">
          <cell r="BB111" t="str">
            <v>.</v>
          </cell>
        </row>
        <row r="112">
          <cell r="BB112" t="str">
            <v>.</v>
          </cell>
        </row>
        <row r="113">
          <cell r="BB113" t="str">
            <v>.</v>
          </cell>
        </row>
        <row r="114">
          <cell r="BB114" t="str">
            <v>.</v>
          </cell>
        </row>
        <row r="115">
          <cell r="BB115" t="str">
            <v>.</v>
          </cell>
        </row>
        <row r="116">
          <cell r="BB116" t="str">
            <v>.</v>
          </cell>
        </row>
        <row r="117">
          <cell r="BB117" t="str">
            <v>.</v>
          </cell>
        </row>
        <row r="118">
          <cell r="BB118" t="str">
            <v>.</v>
          </cell>
        </row>
        <row r="119">
          <cell r="BB119" t="str">
            <v>.</v>
          </cell>
        </row>
        <row r="120">
          <cell r="BB120" t="str">
            <v>.</v>
          </cell>
        </row>
        <row r="121">
          <cell r="BB121" t="str">
            <v>.</v>
          </cell>
        </row>
        <row r="122">
          <cell r="BB122" t="str">
            <v>.</v>
          </cell>
        </row>
        <row r="123">
          <cell r="BB123" t="str">
            <v>.</v>
          </cell>
        </row>
        <row r="124">
          <cell r="BB124" t="str">
            <v>.</v>
          </cell>
        </row>
        <row r="125">
          <cell r="BB125" t="str">
            <v>.</v>
          </cell>
        </row>
        <row r="126">
          <cell r="BB126" t="str">
            <v>.</v>
          </cell>
        </row>
        <row r="127">
          <cell r="BB127" t="str">
            <v>.</v>
          </cell>
        </row>
        <row r="128">
          <cell r="BB128" t="str">
            <v>.</v>
          </cell>
        </row>
        <row r="129">
          <cell r="BB129" t="str">
            <v>.</v>
          </cell>
        </row>
        <row r="130">
          <cell r="BB130" t="str">
            <v>.</v>
          </cell>
        </row>
        <row r="131">
          <cell r="BB131" t="str">
            <v>.</v>
          </cell>
        </row>
        <row r="132">
          <cell r="BB132" t="str">
            <v>.</v>
          </cell>
        </row>
        <row r="133">
          <cell r="BB133" t="str">
            <v>.</v>
          </cell>
        </row>
        <row r="134">
          <cell r="BB134" t="str">
            <v>.</v>
          </cell>
        </row>
        <row r="135">
          <cell r="BB135" t="str">
            <v>.</v>
          </cell>
        </row>
        <row r="136">
          <cell r="BB136" t="str">
            <v>.</v>
          </cell>
        </row>
        <row r="137">
          <cell r="BB137" t="str">
            <v>.</v>
          </cell>
        </row>
        <row r="138">
          <cell r="BB138" t="str">
            <v>.</v>
          </cell>
        </row>
        <row r="139">
          <cell r="BB139" t="str">
            <v>.</v>
          </cell>
        </row>
        <row r="140">
          <cell r="BB140" t="str">
            <v>.</v>
          </cell>
        </row>
        <row r="141">
          <cell r="BB141" t="str">
            <v>.</v>
          </cell>
        </row>
        <row r="142">
          <cell r="BB142" t="str">
            <v>.</v>
          </cell>
        </row>
        <row r="143">
          <cell r="BB143" t="str">
            <v>.</v>
          </cell>
        </row>
        <row r="144">
          <cell r="BB144" t="str">
            <v>.</v>
          </cell>
        </row>
        <row r="145">
          <cell r="BB145" t="str">
            <v>.</v>
          </cell>
        </row>
        <row r="146">
          <cell r="BB146" t="str">
            <v>.</v>
          </cell>
        </row>
        <row r="147">
          <cell r="BB147" t="str">
            <v>.</v>
          </cell>
        </row>
        <row r="148">
          <cell r="BB148" t="str">
            <v>.</v>
          </cell>
        </row>
        <row r="149">
          <cell r="BB149" t="str">
            <v>.</v>
          </cell>
        </row>
        <row r="150">
          <cell r="BB150" t="str">
            <v>.</v>
          </cell>
        </row>
        <row r="151">
          <cell r="BB151" t="str">
            <v>.</v>
          </cell>
        </row>
        <row r="152">
          <cell r="BB152" t="str">
            <v>.</v>
          </cell>
        </row>
        <row r="153">
          <cell r="BB153" t="str">
            <v>.</v>
          </cell>
        </row>
        <row r="154">
          <cell r="BB154" t="str">
            <v>.</v>
          </cell>
        </row>
        <row r="155">
          <cell r="BB155" t="str">
            <v>.</v>
          </cell>
        </row>
        <row r="156">
          <cell r="BB156" t="str">
            <v>.</v>
          </cell>
        </row>
        <row r="157">
          <cell r="BB157" t="str">
            <v>.</v>
          </cell>
        </row>
        <row r="158">
          <cell r="BB158" t="str">
            <v>.</v>
          </cell>
        </row>
        <row r="159">
          <cell r="BB159" t="str">
            <v>.</v>
          </cell>
        </row>
        <row r="160">
          <cell r="BB160" t="str">
            <v>.</v>
          </cell>
        </row>
        <row r="161">
          <cell r="BB161" t="str">
            <v>.</v>
          </cell>
        </row>
        <row r="162">
          <cell r="BB162" t="str">
            <v>.</v>
          </cell>
        </row>
        <row r="163">
          <cell r="BB163" t="str">
            <v>.</v>
          </cell>
        </row>
        <row r="164">
          <cell r="BB164" t="str">
            <v>.</v>
          </cell>
        </row>
        <row r="165">
          <cell r="BB165" t="str">
            <v>.</v>
          </cell>
        </row>
        <row r="166">
          <cell r="BB166" t="str">
            <v>.</v>
          </cell>
        </row>
        <row r="167">
          <cell r="BB167" t="str">
            <v>.</v>
          </cell>
        </row>
        <row r="168">
          <cell r="BB168" t="str">
            <v>.</v>
          </cell>
        </row>
        <row r="169">
          <cell r="BB169" t="str">
            <v>.</v>
          </cell>
        </row>
        <row r="170">
          <cell r="BB170" t="str">
            <v>.</v>
          </cell>
        </row>
        <row r="171">
          <cell r="BB171" t="str">
            <v>.</v>
          </cell>
        </row>
        <row r="172">
          <cell r="BB172" t="str">
            <v>.</v>
          </cell>
        </row>
        <row r="173">
          <cell r="BB173" t="str">
            <v>.</v>
          </cell>
        </row>
        <row r="174">
          <cell r="BB174" t="str">
            <v>.</v>
          </cell>
        </row>
        <row r="175">
          <cell r="BB175" t="str">
            <v>.</v>
          </cell>
        </row>
        <row r="176">
          <cell r="BB176" t="str">
            <v>.</v>
          </cell>
        </row>
        <row r="177">
          <cell r="BB177" t="str">
            <v>.</v>
          </cell>
        </row>
        <row r="178">
          <cell r="BB178" t="str">
            <v>.</v>
          </cell>
        </row>
        <row r="179">
          <cell r="BB179" t="str">
            <v>.</v>
          </cell>
        </row>
        <row r="180">
          <cell r="BB180" t="str">
            <v>.</v>
          </cell>
        </row>
        <row r="181">
          <cell r="BB181" t="str">
            <v>.</v>
          </cell>
        </row>
        <row r="182">
          <cell r="BB182" t="str">
            <v>.</v>
          </cell>
        </row>
        <row r="183">
          <cell r="BB183" t="str">
            <v>.</v>
          </cell>
        </row>
        <row r="184">
          <cell r="BB184" t="str">
            <v>.</v>
          </cell>
        </row>
        <row r="185">
          <cell r="BB185" t="str">
            <v>.</v>
          </cell>
        </row>
        <row r="186">
          <cell r="BB186" t="str">
            <v>.</v>
          </cell>
        </row>
        <row r="187">
          <cell r="BB187" t="str">
            <v>.</v>
          </cell>
        </row>
        <row r="188">
          <cell r="BB188" t="str">
            <v>.</v>
          </cell>
        </row>
        <row r="189">
          <cell r="BB189" t="str">
            <v>.</v>
          </cell>
        </row>
        <row r="190">
          <cell r="BB190" t="str">
            <v>.</v>
          </cell>
        </row>
        <row r="191">
          <cell r="BB191" t="str">
            <v>.</v>
          </cell>
        </row>
        <row r="192">
          <cell r="BB192" t="str">
            <v>.</v>
          </cell>
        </row>
        <row r="193">
          <cell r="BB193" t="str">
            <v>.</v>
          </cell>
        </row>
        <row r="194">
          <cell r="BB194" t="str">
            <v>.</v>
          </cell>
        </row>
        <row r="195">
          <cell r="BB195" t="str">
            <v>.</v>
          </cell>
        </row>
        <row r="196">
          <cell r="BB196" t="str">
            <v>.</v>
          </cell>
        </row>
        <row r="197">
          <cell r="BB197" t="str">
            <v>.</v>
          </cell>
        </row>
        <row r="198">
          <cell r="BB198" t="str">
            <v>.</v>
          </cell>
        </row>
        <row r="199">
          <cell r="BB199" t="str">
            <v>.</v>
          </cell>
        </row>
        <row r="200">
          <cell r="BB200" t="str">
            <v>.</v>
          </cell>
        </row>
        <row r="201">
          <cell r="BB201" t="str">
            <v>.</v>
          </cell>
        </row>
        <row r="202">
          <cell r="BB202" t="str">
            <v>.</v>
          </cell>
        </row>
        <row r="203">
          <cell r="BB203" t="str">
            <v>.</v>
          </cell>
        </row>
        <row r="204">
          <cell r="BB204" t="str">
            <v>.</v>
          </cell>
        </row>
        <row r="205">
          <cell r="BB205" t="str">
            <v>.</v>
          </cell>
        </row>
        <row r="206">
          <cell r="BB206" t="str">
            <v>.</v>
          </cell>
        </row>
        <row r="207">
          <cell r="BB207" t="str">
            <v>.</v>
          </cell>
        </row>
        <row r="208">
          <cell r="BB208" t="str">
            <v>.</v>
          </cell>
        </row>
        <row r="209">
          <cell r="BB209" t="str">
            <v>.</v>
          </cell>
        </row>
        <row r="210">
          <cell r="BB210" t="str">
            <v>.</v>
          </cell>
        </row>
        <row r="211">
          <cell r="BB211" t="str">
            <v>.</v>
          </cell>
        </row>
        <row r="212">
          <cell r="BB212" t="str">
            <v>.</v>
          </cell>
        </row>
        <row r="213">
          <cell r="BB213" t="str">
            <v>.</v>
          </cell>
        </row>
        <row r="214">
          <cell r="BB214" t="str">
            <v>.</v>
          </cell>
        </row>
        <row r="215">
          <cell r="BB215" t="str">
            <v>.</v>
          </cell>
        </row>
        <row r="216">
          <cell r="BB216" t="str">
            <v>.</v>
          </cell>
        </row>
        <row r="217">
          <cell r="BB217" t="str">
            <v>.</v>
          </cell>
        </row>
        <row r="218">
          <cell r="BB218" t="str">
            <v>.</v>
          </cell>
        </row>
        <row r="219">
          <cell r="BB219" t="str">
            <v>.</v>
          </cell>
        </row>
        <row r="220">
          <cell r="BB220" t="str">
            <v>.</v>
          </cell>
        </row>
        <row r="221">
          <cell r="BB221" t="str">
            <v>.</v>
          </cell>
        </row>
        <row r="222">
          <cell r="BB222" t="str">
            <v>.</v>
          </cell>
        </row>
        <row r="223">
          <cell r="BB223" t="str">
            <v>.</v>
          </cell>
        </row>
        <row r="224">
          <cell r="BB224" t="str">
            <v>.</v>
          </cell>
        </row>
        <row r="225">
          <cell r="BB225" t="str">
            <v>.</v>
          </cell>
        </row>
        <row r="226">
          <cell r="BB226" t="str">
            <v>.</v>
          </cell>
        </row>
        <row r="227">
          <cell r="BB227" t="str">
            <v>.</v>
          </cell>
        </row>
        <row r="228">
          <cell r="BB228" t="str">
            <v>.</v>
          </cell>
        </row>
        <row r="229">
          <cell r="BB229" t="str">
            <v>.</v>
          </cell>
        </row>
        <row r="230">
          <cell r="BB230" t="str">
            <v>.</v>
          </cell>
        </row>
        <row r="231">
          <cell r="BB231" t="str">
            <v>.</v>
          </cell>
        </row>
        <row r="232">
          <cell r="BB232" t="str">
            <v>.</v>
          </cell>
        </row>
        <row r="233">
          <cell r="BB233" t="str">
            <v>.</v>
          </cell>
        </row>
        <row r="234">
          <cell r="BB234" t="str">
            <v>.</v>
          </cell>
        </row>
        <row r="235">
          <cell r="BB235" t="str">
            <v>.</v>
          </cell>
        </row>
        <row r="236">
          <cell r="BB236" t="str">
            <v>.</v>
          </cell>
        </row>
        <row r="237">
          <cell r="BB237" t="str">
            <v>.</v>
          </cell>
        </row>
        <row r="238">
          <cell r="BB238" t="str">
            <v>.</v>
          </cell>
        </row>
        <row r="239">
          <cell r="BB239" t="str">
            <v>.</v>
          </cell>
        </row>
        <row r="240">
          <cell r="BB240" t="str">
            <v>.</v>
          </cell>
        </row>
        <row r="241">
          <cell r="BB241" t="str">
            <v>.</v>
          </cell>
        </row>
        <row r="242">
          <cell r="BB242" t="str">
            <v>.</v>
          </cell>
        </row>
        <row r="243">
          <cell r="BB243" t="str">
            <v>.</v>
          </cell>
        </row>
        <row r="244">
          <cell r="BB244" t="str">
            <v>.</v>
          </cell>
        </row>
        <row r="245">
          <cell r="BB245" t="str">
            <v>.</v>
          </cell>
        </row>
        <row r="246">
          <cell r="BB246" t="str">
            <v>.</v>
          </cell>
        </row>
        <row r="247">
          <cell r="BB247" t="str">
            <v>.</v>
          </cell>
        </row>
        <row r="248">
          <cell r="BB248" t="str">
            <v>.</v>
          </cell>
        </row>
        <row r="249">
          <cell r="BB249" t="str">
            <v>.</v>
          </cell>
        </row>
        <row r="250">
          <cell r="BB250" t="str">
            <v>.</v>
          </cell>
        </row>
        <row r="251">
          <cell r="BB251" t="str">
            <v>.</v>
          </cell>
        </row>
        <row r="252">
          <cell r="BB252" t="str">
            <v>.</v>
          </cell>
        </row>
        <row r="253">
          <cell r="BB253" t="str">
            <v>.</v>
          </cell>
        </row>
        <row r="254">
          <cell r="BB254" t="str">
            <v>.</v>
          </cell>
        </row>
        <row r="255">
          <cell r="BB255" t="str">
            <v>.</v>
          </cell>
        </row>
        <row r="256">
          <cell r="BB256" t="str">
            <v>.</v>
          </cell>
        </row>
        <row r="257">
          <cell r="BB257" t="str">
            <v>.</v>
          </cell>
        </row>
        <row r="258">
          <cell r="BB258" t="str">
            <v>.</v>
          </cell>
        </row>
        <row r="259">
          <cell r="BB259" t="str">
            <v>.</v>
          </cell>
        </row>
        <row r="260">
          <cell r="BB260" t="str">
            <v>.</v>
          </cell>
        </row>
        <row r="261">
          <cell r="BB261" t="str">
            <v>.</v>
          </cell>
        </row>
        <row r="262">
          <cell r="BB262" t="str">
            <v>.</v>
          </cell>
        </row>
        <row r="263">
          <cell r="BB263" t="str">
            <v>.</v>
          </cell>
        </row>
        <row r="264">
          <cell r="BB264" t="str">
            <v>.</v>
          </cell>
        </row>
        <row r="265">
          <cell r="BB265" t="str">
            <v>.</v>
          </cell>
        </row>
        <row r="266">
          <cell r="BB266" t="str">
            <v>.</v>
          </cell>
        </row>
        <row r="267">
          <cell r="BB267" t="str">
            <v>.</v>
          </cell>
        </row>
        <row r="268">
          <cell r="BB268" t="str">
            <v>.</v>
          </cell>
        </row>
        <row r="269">
          <cell r="BB269" t="str">
            <v>.</v>
          </cell>
        </row>
        <row r="270">
          <cell r="BB270" t="str">
            <v>.</v>
          </cell>
        </row>
        <row r="271">
          <cell r="BB271" t="str">
            <v>.</v>
          </cell>
        </row>
        <row r="272">
          <cell r="BB272" t="str">
            <v>.</v>
          </cell>
        </row>
        <row r="273">
          <cell r="BB273" t="str">
            <v>.</v>
          </cell>
        </row>
        <row r="274">
          <cell r="BB274" t="str">
            <v>.</v>
          </cell>
        </row>
        <row r="275">
          <cell r="BB275" t="str">
            <v>.</v>
          </cell>
        </row>
        <row r="276">
          <cell r="BB276" t="str">
            <v>.</v>
          </cell>
        </row>
        <row r="277">
          <cell r="BB277" t="str">
            <v>.</v>
          </cell>
        </row>
        <row r="278">
          <cell r="BB278" t="str">
            <v>.</v>
          </cell>
        </row>
        <row r="279">
          <cell r="BB279" t="str">
            <v>.</v>
          </cell>
        </row>
        <row r="280">
          <cell r="BB280" t="str">
            <v>.</v>
          </cell>
        </row>
        <row r="281">
          <cell r="BB281" t="str">
            <v>.</v>
          </cell>
        </row>
        <row r="282">
          <cell r="BB282" t="str">
            <v>.</v>
          </cell>
        </row>
        <row r="283">
          <cell r="BB283" t="str">
            <v>.</v>
          </cell>
        </row>
        <row r="284">
          <cell r="BB284" t="str">
            <v>.</v>
          </cell>
        </row>
        <row r="285">
          <cell r="BB285" t="str">
            <v>.</v>
          </cell>
        </row>
        <row r="286">
          <cell r="BB286" t="str">
            <v>.</v>
          </cell>
        </row>
        <row r="287">
          <cell r="BB287" t="str">
            <v>.</v>
          </cell>
        </row>
        <row r="288">
          <cell r="BB288" t="str">
            <v>.</v>
          </cell>
        </row>
        <row r="289">
          <cell r="BB289" t="str">
            <v>.</v>
          </cell>
        </row>
        <row r="290">
          <cell r="BB290" t="str">
            <v>.</v>
          </cell>
        </row>
        <row r="291">
          <cell r="BB291" t="str">
            <v>.</v>
          </cell>
        </row>
        <row r="292">
          <cell r="BB292" t="str">
            <v>.</v>
          </cell>
        </row>
        <row r="293">
          <cell r="BB293" t="str">
            <v>.</v>
          </cell>
        </row>
        <row r="294">
          <cell r="BB294" t="str">
            <v>.</v>
          </cell>
        </row>
        <row r="295">
          <cell r="BB295" t="str">
            <v>.</v>
          </cell>
        </row>
        <row r="296">
          <cell r="BB296" t="str">
            <v>.</v>
          </cell>
        </row>
        <row r="297">
          <cell r="BB297" t="str">
            <v>.</v>
          </cell>
        </row>
        <row r="298">
          <cell r="BB298" t="str">
            <v>.</v>
          </cell>
        </row>
        <row r="299">
          <cell r="BB299" t="str">
            <v>.</v>
          </cell>
        </row>
        <row r="300">
          <cell r="BB300" t="str">
            <v>.</v>
          </cell>
        </row>
        <row r="301">
          <cell r="BB301" t="str">
            <v>.</v>
          </cell>
        </row>
        <row r="302">
          <cell r="BB302" t="str">
            <v>.</v>
          </cell>
        </row>
        <row r="303">
          <cell r="BB303" t="str">
            <v>.</v>
          </cell>
        </row>
        <row r="304">
          <cell r="BB304" t="str">
            <v>.</v>
          </cell>
        </row>
        <row r="305">
          <cell r="BB305" t="str">
            <v>.</v>
          </cell>
        </row>
        <row r="306">
          <cell r="BB306" t="str">
            <v>.</v>
          </cell>
        </row>
        <row r="307">
          <cell r="BB307" t="str">
            <v>.</v>
          </cell>
        </row>
        <row r="308">
          <cell r="BB308" t="str">
            <v>.</v>
          </cell>
        </row>
        <row r="309">
          <cell r="BB309" t="str">
            <v>.</v>
          </cell>
        </row>
        <row r="310">
          <cell r="BB310" t="str">
            <v>.</v>
          </cell>
        </row>
        <row r="311">
          <cell r="BB311" t="str">
            <v>.</v>
          </cell>
        </row>
        <row r="312">
          <cell r="BB312" t="str">
            <v>.</v>
          </cell>
        </row>
        <row r="313">
          <cell r="BB313" t="str">
            <v>.</v>
          </cell>
        </row>
        <row r="314">
          <cell r="BB314" t="str">
            <v>.</v>
          </cell>
        </row>
        <row r="315">
          <cell r="BB315" t="str">
            <v>.</v>
          </cell>
        </row>
        <row r="316">
          <cell r="BB316" t="str">
            <v>.</v>
          </cell>
        </row>
        <row r="317">
          <cell r="BB317" t="str">
            <v>.</v>
          </cell>
        </row>
        <row r="318">
          <cell r="BB318" t="str">
            <v>.</v>
          </cell>
        </row>
        <row r="319">
          <cell r="BB319" t="str">
            <v>.</v>
          </cell>
        </row>
        <row r="320">
          <cell r="BB320" t="str">
            <v>.</v>
          </cell>
        </row>
        <row r="321">
          <cell r="BB321" t="str">
            <v>.</v>
          </cell>
        </row>
        <row r="322">
          <cell r="BB322" t="str">
            <v>.</v>
          </cell>
        </row>
        <row r="323">
          <cell r="BB323" t="str">
            <v>.</v>
          </cell>
        </row>
        <row r="324">
          <cell r="BB324" t="str">
            <v>.</v>
          </cell>
        </row>
        <row r="325">
          <cell r="BB325" t="str">
            <v>.</v>
          </cell>
        </row>
        <row r="326">
          <cell r="BB326" t="str">
            <v>.</v>
          </cell>
        </row>
        <row r="327">
          <cell r="BB327" t="str">
            <v>.</v>
          </cell>
        </row>
        <row r="328">
          <cell r="BB328" t="str">
            <v>.</v>
          </cell>
        </row>
        <row r="329">
          <cell r="BB329" t="str">
            <v>.</v>
          </cell>
        </row>
        <row r="330">
          <cell r="BB330" t="str">
            <v>.</v>
          </cell>
        </row>
        <row r="331">
          <cell r="BB331" t="str">
            <v>.</v>
          </cell>
        </row>
        <row r="332">
          <cell r="BB332" t="str">
            <v>.</v>
          </cell>
        </row>
        <row r="333">
          <cell r="BB333" t="str">
            <v>.</v>
          </cell>
        </row>
        <row r="334">
          <cell r="BB334" t="str">
            <v>.</v>
          </cell>
        </row>
        <row r="335">
          <cell r="BB335" t="str">
            <v>.</v>
          </cell>
        </row>
        <row r="336">
          <cell r="BB336" t="str">
            <v>.</v>
          </cell>
        </row>
        <row r="337">
          <cell r="BB337" t="str">
            <v>.</v>
          </cell>
        </row>
        <row r="338">
          <cell r="BB338" t="str">
            <v>.</v>
          </cell>
        </row>
        <row r="339">
          <cell r="BB339" t="str">
            <v>.</v>
          </cell>
        </row>
        <row r="340">
          <cell r="BB340" t="str">
            <v>.</v>
          </cell>
        </row>
        <row r="341">
          <cell r="BB341" t="str">
            <v>.</v>
          </cell>
        </row>
        <row r="342">
          <cell r="BB342" t="str">
            <v>.</v>
          </cell>
        </row>
        <row r="343">
          <cell r="BB343" t="str">
            <v>.</v>
          </cell>
        </row>
        <row r="344">
          <cell r="BB344" t="str">
            <v>.</v>
          </cell>
        </row>
        <row r="345">
          <cell r="BB345" t="str">
            <v>.</v>
          </cell>
        </row>
        <row r="346">
          <cell r="BB346" t="str">
            <v>.</v>
          </cell>
        </row>
        <row r="347">
          <cell r="BB347" t="str">
            <v>.</v>
          </cell>
        </row>
        <row r="348">
          <cell r="BB348" t="str">
            <v>.</v>
          </cell>
        </row>
        <row r="349">
          <cell r="BB349" t="str">
            <v>.</v>
          </cell>
        </row>
        <row r="350">
          <cell r="BB350" t="str">
            <v>.</v>
          </cell>
        </row>
        <row r="351">
          <cell r="BB351" t="str">
            <v>.</v>
          </cell>
        </row>
        <row r="352">
          <cell r="BB352" t="str">
            <v>.</v>
          </cell>
        </row>
        <row r="353">
          <cell r="BB353" t="str">
            <v>.</v>
          </cell>
        </row>
        <row r="354">
          <cell r="BB354" t="str">
            <v>.</v>
          </cell>
        </row>
        <row r="355">
          <cell r="BB355" t="str">
            <v>.</v>
          </cell>
        </row>
        <row r="356">
          <cell r="BB356" t="str">
            <v>.</v>
          </cell>
        </row>
        <row r="357">
          <cell r="BB357" t="str">
            <v>.</v>
          </cell>
        </row>
        <row r="358">
          <cell r="BB358" t="str">
            <v>.</v>
          </cell>
        </row>
        <row r="359">
          <cell r="BB359" t="str">
            <v>.</v>
          </cell>
        </row>
        <row r="360">
          <cell r="BB360" t="str">
            <v>.</v>
          </cell>
        </row>
        <row r="361">
          <cell r="BB361" t="str">
            <v>.</v>
          </cell>
        </row>
        <row r="362">
          <cell r="BB362" t="str">
            <v>.</v>
          </cell>
        </row>
        <row r="363">
          <cell r="BB363" t="str">
            <v>.</v>
          </cell>
        </row>
        <row r="364">
          <cell r="BB364" t="str">
            <v>.</v>
          </cell>
        </row>
        <row r="365">
          <cell r="BB365" t="str">
            <v>.</v>
          </cell>
        </row>
        <row r="366">
          <cell r="BB366" t="str">
            <v>.</v>
          </cell>
        </row>
        <row r="367">
          <cell r="BB367" t="str">
            <v>.</v>
          </cell>
        </row>
        <row r="368">
          <cell r="BB368" t="str">
            <v>.</v>
          </cell>
        </row>
        <row r="369">
          <cell r="BB369" t="str">
            <v>.</v>
          </cell>
        </row>
        <row r="370">
          <cell r="BB370" t="str">
            <v>.</v>
          </cell>
        </row>
        <row r="371">
          <cell r="BB371" t="str">
            <v>.</v>
          </cell>
        </row>
        <row r="372">
          <cell r="BB372" t="str">
            <v>.</v>
          </cell>
        </row>
        <row r="373">
          <cell r="BB373" t="str">
            <v>.</v>
          </cell>
        </row>
        <row r="374">
          <cell r="BB374" t="str">
            <v>.</v>
          </cell>
        </row>
        <row r="375">
          <cell r="BB375" t="str">
            <v>.</v>
          </cell>
        </row>
        <row r="376">
          <cell r="BB376" t="str">
            <v>.</v>
          </cell>
        </row>
        <row r="377">
          <cell r="BB377" t="str">
            <v>.</v>
          </cell>
        </row>
        <row r="378">
          <cell r="BB378" t="str">
            <v>.</v>
          </cell>
        </row>
        <row r="379">
          <cell r="BB379" t="str">
            <v>.</v>
          </cell>
        </row>
        <row r="380">
          <cell r="BB380" t="str">
            <v>.</v>
          </cell>
        </row>
        <row r="381">
          <cell r="BB381" t="str">
            <v>.</v>
          </cell>
        </row>
        <row r="382">
          <cell r="BB382" t="str">
            <v>.</v>
          </cell>
        </row>
        <row r="383">
          <cell r="BB383" t="str">
            <v>.</v>
          </cell>
        </row>
        <row r="384">
          <cell r="BB384" t="str">
            <v>.</v>
          </cell>
        </row>
        <row r="385">
          <cell r="BB385" t="str">
            <v>.</v>
          </cell>
        </row>
        <row r="386">
          <cell r="BB386" t="str">
            <v>.</v>
          </cell>
        </row>
        <row r="387">
          <cell r="BB387" t="str">
            <v>.</v>
          </cell>
        </row>
        <row r="388">
          <cell r="BB388" t="str">
            <v>.</v>
          </cell>
        </row>
        <row r="389">
          <cell r="BB389" t="str">
            <v>.</v>
          </cell>
        </row>
        <row r="390">
          <cell r="BB390" t="str">
            <v>.</v>
          </cell>
        </row>
        <row r="391">
          <cell r="BB391" t="str">
            <v>.</v>
          </cell>
        </row>
        <row r="392">
          <cell r="BB392" t="str">
            <v>.</v>
          </cell>
        </row>
        <row r="393">
          <cell r="BB393" t="str">
            <v>.</v>
          </cell>
        </row>
        <row r="394">
          <cell r="BB394" t="str">
            <v>.</v>
          </cell>
        </row>
        <row r="395">
          <cell r="BB395" t="str">
            <v>.</v>
          </cell>
        </row>
        <row r="396">
          <cell r="BB396" t="str">
            <v>.</v>
          </cell>
        </row>
        <row r="397">
          <cell r="BB397" t="str">
            <v>.</v>
          </cell>
        </row>
        <row r="398">
          <cell r="BB398" t="str">
            <v>.</v>
          </cell>
        </row>
        <row r="399">
          <cell r="BB399" t="str">
            <v>.</v>
          </cell>
        </row>
        <row r="400">
          <cell r="BB400" t="str">
            <v>.</v>
          </cell>
        </row>
        <row r="401">
          <cell r="BB401" t="str">
            <v>.</v>
          </cell>
        </row>
        <row r="402">
          <cell r="BB402" t="str">
            <v>.</v>
          </cell>
        </row>
        <row r="403">
          <cell r="BB403" t="str">
            <v>.</v>
          </cell>
        </row>
        <row r="404">
          <cell r="BB404" t="str">
            <v>.</v>
          </cell>
        </row>
        <row r="405">
          <cell r="BB405" t="str">
            <v>.</v>
          </cell>
        </row>
        <row r="406">
          <cell r="BB406" t="str">
            <v>.</v>
          </cell>
        </row>
        <row r="407">
          <cell r="BB407" t="str">
            <v>.</v>
          </cell>
        </row>
        <row r="408">
          <cell r="BB408" t="str">
            <v>.</v>
          </cell>
        </row>
        <row r="409">
          <cell r="BB409" t="str">
            <v>.</v>
          </cell>
        </row>
        <row r="410">
          <cell r="BB410" t="str">
            <v>.</v>
          </cell>
        </row>
        <row r="411">
          <cell r="BB411" t="str">
            <v>.</v>
          </cell>
        </row>
        <row r="412">
          <cell r="BB412" t="str">
            <v>.</v>
          </cell>
        </row>
        <row r="413">
          <cell r="BB413" t="str">
            <v>.</v>
          </cell>
        </row>
        <row r="414">
          <cell r="BB414" t="str">
            <v>.</v>
          </cell>
        </row>
        <row r="415">
          <cell r="BB415" t="str">
            <v>.</v>
          </cell>
        </row>
        <row r="416">
          <cell r="BB416" t="str">
            <v>.</v>
          </cell>
        </row>
        <row r="417">
          <cell r="BB417" t="str">
            <v>.</v>
          </cell>
        </row>
        <row r="418">
          <cell r="BB418" t="str">
            <v>.</v>
          </cell>
        </row>
        <row r="419">
          <cell r="BB419" t="str">
            <v>.</v>
          </cell>
        </row>
        <row r="420">
          <cell r="BB420" t="str">
            <v>.</v>
          </cell>
        </row>
        <row r="421">
          <cell r="BB421" t="str">
            <v>.</v>
          </cell>
        </row>
        <row r="422">
          <cell r="BB422" t="str">
            <v>.</v>
          </cell>
        </row>
        <row r="423">
          <cell r="BB423" t="str">
            <v>.</v>
          </cell>
        </row>
        <row r="424">
          <cell r="BB424" t="str">
            <v>.</v>
          </cell>
        </row>
        <row r="425">
          <cell r="BB425" t="str">
            <v>.</v>
          </cell>
        </row>
        <row r="426">
          <cell r="BB426" t="str">
            <v>.</v>
          </cell>
        </row>
        <row r="427">
          <cell r="BB427" t="str">
            <v>.</v>
          </cell>
        </row>
        <row r="428">
          <cell r="BB428" t="str">
            <v>.</v>
          </cell>
        </row>
        <row r="429">
          <cell r="BB429" t="str">
            <v>.</v>
          </cell>
        </row>
        <row r="430">
          <cell r="BB430" t="str">
            <v>.</v>
          </cell>
        </row>
        <row r="431">
          <cell r="BB431" t="str">
            <v>.</v>
          </cell>
        </row>
        <row r="432">
          <cell r="BB432" t="str">
            <v>.</v>
          </cell>
        </row>
        <row r="433">
          <cell r="BB433" t="str">
            <v>.</v>
          </cell>
        </row>
        <row r="434">
          <cell r="BB434" t="str">
            <v>.</v>
          </cell>
        </row>
        <row r="435">
          <cell r="BB435" t="str">
            <v>.</v>
          </cell>
        </row>
        <row r="436">
          <cell r="BB436" t="str">
            <v>.</v>
          </cell>
        </row>
        <row r="437">
          <cell r="BB437" t="str">
            <v>.</v>
          </cell>
        </row>
        <row r="438">
          <cell r="BB438" t="str">
            <v>.</v>
          </cell>
        </row>
        <row r="439">
          <cell r="BB439" t="str">
            <v>.</v>
          </cell>
        </row>
        <row r="440">
          <cell r="BB440" t="str">
            <v>.</v>
          </cell>
        </row>
        <row r="441">
          <cell r="BB441" t="str">
            <v>.</v>
          </cell>
        </row>
        <row r="442">
          <cell r="BB442" t="str">
            <v>.</v>
          </cell>
        </row>
        <row r="443">
          <cell r="BB443" t="str">
            <v>.</v>
          </cell>
        </row>
        <row r="444">
          <cell r="BB444" t="str">
            <v>.</v>
          </cell>
        </row>
        <row r="445">
          <cell r="BB445" t="str">
            <v>.</v>
          </cell>
        </row>
        <row r="446">
          <cell r="BB446" t="str">
            <v>.</v>
          </cell>
        </row>
        <row r="447">
          <cell r="BB447" t="str">
            <v>.</v>
          </cell>
        </row>
        <row r="448">
          <cell r="BB448" t="str">
            <v>.</v>
          </cell>
        </row>
        <row r="449">
          <cell r="BB449" t="str">
            <v>.</v>
          </cell>
        </row>
        <row r="450">
          <cell r="BB450" t="str">
            <v>.</v>
          </cell>
        </row>
        <row r="451">
          <cell r="BB451" t="str">
            <v>.</v>
          </cell>
        </row>
        <row r="452">
          <cell r="BB452" t="str">
            <v>.</v>
          </cell>
        </row>
        <row r="453">
          <cell r="BB453" t="str">
            <v>.</v>
          </cell>
        </row>
        <row r="454">
          <cell r="BB454" t="str">
            <v>.</v>
          </cell>
        </row>
        <row r="455">
          <cell r="BB455" t="str">
            <v>.</v>
          </cell>
        </row>
        <row r="456">
          <cell r="BB456" t="str">
            <v>.</v>
          </cell>
        </row>
        <row r="457">
          <cell r="BB457" t="str">
            <v>.</v>
          </cell>
        </row>
        <row r="458">
          <cell r="BB458" t="str">
            <v>.</v>
          </cell>
        </row>
        <row r="459">
          <cell r="BB459" t="str">
            <v>.</v>
          </cell>
        </row>
        <row r="460">
          <cell r="BB460" t="str">
            <v>.</v>
          </cell>
        </row>
        <row r="461">
          <cell r="BB461" t="str">
            <v>.</v>
          </cell>
        </row>
        <row r="462">
          <cell r="BB462" t="str">
            <v>.</v>
          </cell>
        </row>
        <row r="463">
          <cell r="BB463" t="str">
            <v>.</v>
          </cell>
        </row>
        <row r="464">
          <cell r="BB464" t="str">
            <v>.</v>
          </cell>
        </row>
        <row r="465">
          <cell r="BB465" t="str">
            <v>.</v>
          </cell>
        </row>
        <row r="466">
          <cell r="BB466" t="str">
            <v>.</v>
          </cell>
        </row>
        <row r="467">
          <cell r="BB467" t="str">
            <v>.</v>
          </cell>
        </row>
        <row r="468">
          <cell r="BB468" t="str">
            <v>.</v>
          </cell>
        </row>
        <row r="469">
          <cell r="BB469" t="str">
            <v>.</v>
          </cell>
        </row>
        <row r="470">
          <cell r="BB470" t="str">
            <v>.</v>
          </cell>
        </row>
        <row r="471">
          <cell r="BB471" t="str">
            <v>.</v>
          </cell>
        </row>
        <row r="472">
          <cell r="BB472" t="str">
            <v>.</v>
          </cell>
        </row>
        <row r="473">
          <cell r="BB473" t="str">
            <v>.</v>
          </cell>
        </row>
        <row r="474">
          <cell r="BB474" t="str">
            <v>.</v>
          </cell>
        </row>
        <row r="475">
          <cell r="BB475" t="str">
            <v>.</v>
          </cell>
        </row>
        <row r="476">
          <cell r="BB476" t="str">
            <v>.</v>
          </cell>
        </row>
        <row r="477">
          <cell r="BB477" t="str">
            <v>.</v>
          </cell>
        </row>
        <row r="478">
          <cell r="BB478" t="str">
            <v>.</v>
          </cell>
        </row>
        <row r="479">
          <cell r="BB479" t="str">
            <v>.</v>
          </cell>
        </row>
        <row r="480">
          <cell r="BB480" t="str">
            <v>.</v>
          </cell>
        </row>
        <row r="481">
          <cell r="BB481" t="str">
            <v>.</v>
          </cell>
        </row>
        <row r="482">
          <cell r="BB482" t="str">
            <v>.</v>
          </cell>
        </row>
        <row r="483">
          <cell r="BB483" t="str">
            <v>.</v>
          </cell>
        </row>
        <row r="484">
          <cell r="BB484" t="str">
            <v>.</v>
          </cell>
        </row>
        <row r="485">
          <cell r="BB485" t="str">
            <v>.</v>
          </cell>
        </row>
        <row r="486">
          <cell r="BB486" t="str">
            <v>.</v>
          </cell>
        </row>
        <row r="487">
          <cell r="BB487" t="str">
            <v>.</v>
          </cell>
        </row>
        <row r="488">
          <cell r="BB488" t="str">
            <v>.</v>
          </cell>
        </row>
        <row r="489">
          <cell r="BB489" t="str">
            <v>.</v>
          </cell>
        </row>
        <row r="490">
          <cell r="BB490" t="str">
            <v>.</v>
          </cell>
        </row>
        <row r="491">
          <cell r="BB491" t="str">
            <v>.</v>
          </cell>
        </row>
        <row r="492">
          <cell r="BB492" t="str">
            <v>.</v>
          </cell>
        </row>
        <row r="493">
          <cell r="BB493" t="str">
            <v>.</v>
          </cell>
        </row>
        <row r="494">
          <cell r="BB494" t="str">
            <v>.</v>
          </cell>
        </row>
        <row r="495">
          <cell r="BB495" t="str">
            <v>.</v>
          </cell>
        </row>
        <row r="496">
          <cell r="BB496" t="str">
            <v>.</v>
          </cell>
        </row>
        <row r="497">
          <cell r="BB497" t="str">
            <v>.</v>
          </cell>
        </row>
        <row r="498">
          <cell r="BB498" t="str">
            <v>.</v>
          </cell>
        </row>
        <row r="499">
          <cell r="BB499" t="str">
            <v>.</v>
          </cell>
        </row>
        <row r="500">
          <cell r="BB500" t="str">
            <v>.</v>
          </cell>
        </row>
        <row r="501">
          <cell r="BB501" t="str">
            <v>.</v>
          </cell>
        </row>
        <row r="502">
          <cell r="BB502" t="str">
            <v>.</v>
          </cell>
        </row>
        <row r="503">
          <cell r="BB503" t="str">
            <v>.</v>
          </cell>
        </row>
        <row r="504">
          <cell r="BB504" t="str">
            <v>.</v>
          </cell>
        </row>
        <row r="505">
          <cell r="BB505" t="str">
            <v>.</v>
          </cell>
        </row>
        <row r="506">
          <cell r="BB506" t="str">
            <v>.</v>
          </cell>
        </row>
        <row r="507">
          <cell r="BB507" t="str">
            <v>.</v>
          </cell>
        </row>
        <row r="508">
          <cell r="BB508" t="str">
            <v>.</v>
          </cell>
        </row>
        <row r="509">
          <cell r="BB509" t="str">
            <v>.</v>
          </cell>
        </row>
        <row r="510">
          <cell r="BB510" t="str">
            <v>.</v>
          </cell>
        </row>
        <row r="511">
          <cell r="BB511" t="str">
            <v>.</v>
          </cell>
        </row>
        <row r="512">
          <cell r="BB512" t="str">
            <v>.</v>
          </cell>
        </row>
        <row r="513">
          <cell r="BB513" t="str">
            <v>.</v>
          </cell>
        </row>
        <row r="514">
          <cell r="BB514" t="str">
            <v>.</v>
          </cell>
        </row>
        <row r="515">
          <cell r="BB515" t="str">
            <v>.</v>
          </cell>
        </row>
        <row r="516">
          <cell r="BB516" t="str">
            <v>.</v>
          </cell>
        </row>
        <row r="517">
          <cell r="BB517" t="str">
            <v>.</v>
          </cell>
        </row>
        <row r="518">
          <cell r="BB518" t="str">
            <v>.</v>
          </cell>
        </row>
        <row r="519">
          <cell r="BB519" t="str">
            <v>.</v>
          </cell>
        </row>
        <row r="520">
          <cell r="BB520" t="str">
            <v>.</v>
          </cell>
        </row>
        <row r="521">
          <cell r="BB521" t="str">
            <v>.</v>
          </cell>
        </row>
        <row r="522">
          <cell r="BB522" t="str">
            <v>.</v>
          </cell>
        </row>
        <row r="523">
          <cell r="BB523" t="str">
            <v>.</v>
          </cell>
        </row>
        <row r="524">
          <cell r="BB524" t="str">
            <v>.</v>
          </cell>
        </row>
        <row r="525">
          <cell r="BB525" t="str">
            <v>.</v>
          </cell>
        </row>
        <row r="526">
          <cell r="BB526" t="str">
            <v>.</v>
          </cell>
        </row>
        <row r="527">
          <cell r="BB527" t="str">
            <v>.</v>
          </cell>
        </row>
        <row r="528">
          <cell r="BB528" t="str">
            <v>.</v>
          </cell>
        </row>
        <row r="529">
          <cell r="BB529" t="str">
            <v>.</v>
          </cell>
        </row>
        <row r="530">
          <cell r="BB530" t="str">
            <v>.</v>
          </cell>
        </row>
        <row r="531">
          <cell r="BB531" t="str">
            <v>.</v>
          </cell>
        </row>
        <row r="532">
          <cell r="BB532" t="str">
            <v>.</v>
          </cell>
        </row>
        <row r="533">
          <cell r="BB533" t="str">
            <v>.</v>
          </cell>
        </row>
        <row r="534">
          <cell r="BB534" t="str">
            <v>.</v>
          </cell>
        </row>
        <row r="535">
          <cell r="BB535" t="str">
            <v>.</v>
          </cell>
        </row>
        <row r="536">
          <cell r="BB536" t="str">
            <v>.</v>
          </cell>
        </row>
        <row r="537">
          <cell r="BB537" t="str">
            <v>.</v>
          </cell>
        </row>
        <row r="538">
          <cell r="BB538" t="str">
            <v>.</v>
          </cell>
        </row>
        <row r="539">
          <cell r="BB539" t="str">
            <v>.</v>
          </cell>
        </row>
        <row r="540">
          <cell r="BB540" t="str">
            <v>.</v>
          </cell>
        </row>
        <row r="541">
          <cell r="BB541" t="str">
            <v>.</v>
          </cell>
        </row>
        <row r="542">
          <cell r="BB542" t="str">
            <v>.</v>
          </cell>
        </row>
        <row r="543">
          <cell r="BB543" t="str">
            <v>.</v>
          </cell>
        </row>
        <row r="544">
          <cell r="BB544" t="str">
            <v>.</v>
          </cell>
        </row>
        <row r="545">
          <cell r="BB545" t="str">
            <v>.</v>
          </cell>
        </row>
        <row r="546">
          <cell r="BB546" t="str">
            <v>.</v>
          </cell>
        </row>
        <row r="547">
          <cell r="BB547" t="str">
            <v>.</v>
          </cell>
        </row>
        <row r="548">
          <cell r="BB548" t="str">
            <v>.</v>
          </cell>
        </row>
        <row r="549">
          <cell r="BB549" t="str">
            <v>.</v>
          </cell>
        </row>
        <row r="550">
          <cell r="BB550" t="str">
            <v>.</v>
          </cell>
        </row>
        <row r="551">
          <cell r="BB551" t="str">
            <v>.</v>
          </cell>
        </row>
        <row r="552">
          <cell r="BB552" t="str">
            <v>.</v>
          </cell>
        </row>
        <row r="553">
          <cell r="BB553" t="str">
            <v>.</v>
          </cell>
        </row>
        <row r="554">
          <cell r="BB554" t="str">
            <v>.</v>
          </cell>
        </row>
        <row r="555">
          <cell r="BB555" t="str">
            <v>.</v>
          </cell>
        </row>
        <row r="556">
          <cell r="BB556" t="str">
            <v>.</v>
          </cell>
        </row>
        <row r="557">
          <cell r="BB557" t="str">
            <v>.</v>
          </cell>
        </row>
        <row r="558">
          <cell r="BB558" t="str">
            <v>.</v>
          </cell>
        </row>
        <row r="559">
          <cell r="BB559" t="str">
            <v>.</v>
          </cell>
        </row>
        <row r="560">
          <cell r="BB560" t="str">
            <v>.</v>
          </cell>
        </row>
        <row r="561">
          <cell r="BB561" t="str">
            <v>.</v>
          </cell>
        </row>
        <row r="562">
          <cell r="BB562" t="str">
            <v>.</v>
          </cell>
        </row>
        <row r="563">
          <cell r="BB563" t="str">
            <v>.</v>
          </cell>
        </row>
        <row r="564">
          <cell r="BB564" t="str">
            <v>.</v>
          </cell>
        </row>
        <row r="565">
          <cell r="BB565" t="str">
            <v>.</v>
          </cell>
        </row>
        <row r="566">
          <cell r="BB566" t="str">
            <v>.</v>
          </cell>
        </row>
        <row r="567">
          <cell r="BB567" t="str">
            <v>.</v>
          </cell>
        </row>
        <row r="568">
          <cell r="BB568" t="str">
            <v>.</v>
          </cell>
        </row>
        <row r="569">
          <cell r="BB569" t="str">
            <v>.</v>
          </cell>
        </row>
        <row r="570">
          <cell r="BB570" t="str">
            <v>.</v>
          </cell>
        </row>
        <row r="571">
          <cell r="BB571" t="str">
            <v>.</v>
          </cell>
        </row>
        <row r="572">
          <cell r="BB572" t="str">
            <v>.</v>
          </cell>
        </row>
        <row r="573">
          <cell r="BB573" t="str">
            <v>.</v>
          </cell>
        </row>
        <row r="574">
          <cell r="BB574" t="str">
            <v>.</v>
          </cell>
        </row>
        <row r="575">
          <cell r="BB575" t="str">
            <v>.</v>
          </cell>
        </row>
        <row r="576">
          <cell r="BB576" t="str">
            <v>.</v>
          </cell>
        </row>
        <row r="577">
          <cell r="BB577" t="str">
            <v>.</v>
          </cell>
        </row>
        <row r="578">
          <cell r="BB578" t="str">
            <v>.</v>
          </cell>
        </row>
        <row r="579">
          <cell r="BB579" t="str">
            <v>.</v>
          </cell>
        </row>
        <row r="580">
          <cell r="BB580" t="str">
            <v>.</v>
          </cell>
        </row>
        <row r="581">
          <cell r="BB581" t="str">
            <v>.</v>
          </cell>
        </row>
        <row r="582">
          <cell r="BB582" t="str">
            <v>.</v>
          </cell>
        </row>
        <row r="583">
          <cell r="BB583" t="str">
            <v>.</v>
          </cell>
        </row>
        <row r="584">
          <cell r="BB584" t="str">
            <v>.</v>
          </cell>
        </row>
        <row r="585">
          <cell r="BB585" t="str">
            <v>.</v>
          </cell>
        </row>
        <row r="586">
          <cell r="BB586" t="str">
            <v>.</v>
          </cell>
        </row>
        <row r="587">
          <cell r="BB587" t="str">
            <v>.</v>
          </cell>
        </row>
        <row r="588">
          <cell r="BB588" t="str">
            <v>.</v>
          </cell>
        </row>
        <row r="589">
          <cell r="BB589" t="str">
            <v>.</v>
          </cell>
        </row>
        <row r="590">
          <cell r="BB590" t="str">
            <v>.</v>
          </cell>
        </row>
        <row r="591">
          <cell r="BB591" t="str">
            <v>.</v>
          </cell>
        </row>
        <row r="592">
          <cell r="BB592" t="str">
            <v>.</v>
          </cell>
        </row>
        <row r="593">
          <cell r="BB593" t="str">
            <v>.</v>
          </cell>
        </row>
        <row r="594">
          <cell r="BB594" t="str">
            <v>.</v>
          </cell>
        </row>
        <row r="595">
          <cell r="BB595" t="str">
            <v>.</v>
          </cell>
        </row>
        <row r="596">
          <cell r="BB596" t="str">
            <v>.</v>
          </cell>
        </row>
        <row r="597">
          <cell r="BB597" t="str">
            <v>.</v>
          </cell>
        </row>
        <row r="598">
          <cell r="BB598" t="str">
            <v>.</v>
          </cell>
        </row>
        <row r="599">
          <cell r="BB599" t="str">
            <v>.</v>
          </cell>
        </row>
        <row r="600">
          <cell r="BB600" t="str">
            <v>.</v>
          </cell>
        </row>
        <row r="601">
          <cell r="BB601" t="str">
            <v>.</v>
          </cell>
        </row>
        <row r="602">
          <cell r="BB602" t="str">
            <v>.</v>
          </cell>
        </row>
        <row r="603">
          <cell r="BB603" t="str">
            <v>.</v>
          </cell>
        </row>
        <row r="604">
          <cell r="BB604" t="str">
            <v>.</v>
          </cell>
        </row>
        <row r="605">
          <cell r="BB605" t="str">
            <v>.</v>
          </cell>
        </row>
        <row r="606">
          <cell r="BB606" t="str">
            <v>.</v>
          </cell>
        </row>
        <row r="607">
          <cell r="BB607" t="str">
            <v>.</v>
          </cell>
        </row>
        <row r="608">
          <cell r="BB608" t="str">
            <v>.</v>
          </cell>
        </row>
        <row r="609">
          <cell r="BB609" t="str">
            <v>.</v>
          </cell>
        </row>
        <row r="610">
          <cell r="BB610" t="str">
            <v>.</v>
          </cell>
        </row>
        <row r="611">
          <cell r="BB611" t="str">
            <v>.</v>
          </cell>
        </row>
        <row r="612">
          <cell r="BB612" t="str">
            <v>.</v>
          </cell>
        </row>
        <row r="613">
          <cell r="BB613" t="str">
            <v>.</v>
          </cell>
        </row>
        <row r="614">
          <cell r="BB614" t="str">
            <v>.</v>
          </cell>
        </row>
        <row r="615">
          <cell r="BB615" t="str">
            <v>.</v>
          </cell>
        </row>
        <row r="616">
          <cell r="BB616" t="str">
            <v>.</v>
          </cell>
        </row>
        <row r="617">
          <cell r="BB617" t="str">
            <v>.</v>
          </cell>
        </row>
        <row r="618">
          <cell r="BB618" t="str">
            <v>.</v>
          </cell>
        </row>
        <row r="619">
          <cell r="BB619" t="str">
            <v>.</v>
          </cell>
        </row>
        <row r="620">
          <cell r="BB620" t="str">
            <v>.</v>
          </cell>
        </row>
        <row r="621">
          <cell r="BB621" t="str">
            <v>.</v>
          </cell>
        </row>
        <row r="622">
          <cell r="BB622" t="str">
            <v>.</v>
          </cell>
        </row>
        <row r="623">
          <cell r="BB623" t="str">
            <v>.</v>
          </cell>
        </row>
        <row r="624">
          <cell r="BB624" t="str">
            <v>.</v>
          </cell>
        </row>
        <row r="625">
          <cell r="BB625" t="str">
            <v>.</v>
          </cell>
        </row>
        <row r="626">
          <cell r="BB626" t="str">
            <v>.</v>
          </cell>
        </row>
        <row r="627">
          <cell r="BB627" t="str">
            <v>.</v>
          </cell>
        </row>
        <row r="628">
          <cell r="BB628" t="str">
            <v>.</v>
          </cell>
        </row>
        <row r="629">
          <cell r="BB629" t="str">
            <v>.</v>
          </cell>
        </row>
        <row r="630">
          <cell r="BB630" t="str">
            <v>.</v>
          </cell>
        </row>
        <row r="631">
          <cell r="BB631" t="str">
            <v>.</v>
          </cell>
        </row>
        <row r="632">
          <cell r="BB632" t="str">
            <v>.</v>
          </cell>
        </row>
        <row r="633">
          <cell r="BB633" t="str">
            <v>.</v>
          </cell>
        </row>
        <row r="634">
          <cell r="BB634" t="str">
            <v>.</v>
          </cell>
        </row>
        <row r="635">
          <cell r="BB635" t="str">
            <v>.</v>
          </cell>
        </row>
        <row r="636">
          <cell r="BB636" t="str">
            <v>.</v>
          </cell>
        </row>
        <row r="637">
          <cell r="BB637" t="str">
            <v>.</v>
          </cell>
        </row>
        <row r="638">
          <cell r="BB638" t="str">
            <v>.</v>
          </cell>
        </row>
        <row r="639">
          <cell r="BB639" t="str">
            <v>.</v>
          </cell>
        </row>
        <row r="640">
          <cell r="BB640" t="str">
            <v>.</v>
          </cell>
        </row>
        <row r="641">
          <cell r="BB641" t="str">
            <v>.</v>
          </cell>
        </row>
        <row r="642">
          <cell r="BB642" t="str">
            <v>.</v>
          </cell>
        </row>
        <row r="643">
          <cell r="BB643" t="str">
            <v>.</v>
          </cell>
        </row>
        <row r="644">
          <cell r="BB644" t="str">
            <v>.</v>
          </cell>
        </row>
        <row r="645">
          <cell r="BB645" t="str">
            <v>.</v>
          </cell>
        </row>
        <row r="646">
          <cell r="BB646" t="str">
            <v>.</v>
          </cell>
        </row>
        <row r="647">
          <cell r="BB647" t="str">
            <v>.</v>
          </cell>
        </row>
        <row r="648">
          <cell r="BB648" t="str">
            <v>.</v>
          </cell>
        </row>
        <row r="649">
          <cell r="BB649" t="str">
            <v>.</v>
          </cell>
        </row>
        <row r="650">
          <cell r="BB650" t="str">
            <v>.</v>
          </cell>
        </row>
        <row r="651">
          <cell r="BB651" t="str">
            <v>.</v>
          </cell>
        </row>
        <row r="652">
          <cell r="BB652" t="str">
            <v>.</v>
          </cell>
        </row>
        <row r="653">
          <cell r="BB653" t="str">
            <v>.</v>
          </cell>
        </row>
        <row r="654">
          <cell r="BB654" t="str">
            <v>.</v>
          </cell>
        </row>
        <row r="655">
          <cell r="BB655" t="str">
            <v>.</v>
          </cell>
        </row>
        <row r="656">
          <cell r="BB656" t="str">
            <v>.</v>
          </cell>
        </row>
        <row r="657">
          <cell r="BB657" t="str">
            <v>.</v>
          </cell>
        </row>
        <row r="658">
          <cell r="BB658" t="str">
            <v>.</v>
          </cell>
        </row>
        <row r="659">
          <cell r="BB659" t="str">
            <v>.</v>
          </cell>
        </row>
        <row r="660">
          <cell r="BB660" t="str">
            <v>.</v>
          </cell>
        </row>
        <row r="661">
          <cell r="BB661" t="str">
            <v>.</v>
          </cell>
        </row>
        <row r="662">
          <cell r="BB662" t="str">
            <v>.</v>
          </cell>
        </row>
        <row r="663">
          <cell r="BB663" t="str">
            <v>.</v>
          </cell>
        </row>
        <row r="664">
          <cell r="BB664" t="str">
            <v>.</v>
          </cell>
        </row>
        <row r="665">
          <cell r="BB665" t="str">
            <v>.</v>
          </cell>
        </row>
        <row r="666">
          <cell r="BB666" t="str">
            <v>.</v>
          </cell>
        </row>
        <row r="667">
          <cell r="BB667" t="str">
            <v>.</v>
          </cell>
        </row>
        <row r="668">
          <cell r="BB668" t="str">
            <v>.</v>
          </cell>
        </row>
        <row r="669">
          <cell r="BB669" t="str">
            <v>.</v>
          </cell>
        </row>
        <row r="670">
          <cell r="BB670" t="str">
            <v>.</v>
          </cell>
        </row>
        <row r="671">
          <cell r="BB671" t="str">
            <v>.</v>
          </cell>
        </row>
        <row r="672">
          <cell r="BB672" t="str">
            <v>.</v>
          </cell>
        </row>
        <row r="673">
          <cell r="BB673" t="str">
            <v>.</v>
          </cell>
        </row>
        <row r="674">
          <cell r="BB674" t="str">
            <v>.</v>
          </cell>
        </row>
        <row r="675">
          <cell r="BB675" t="str">
            <v>.</v>
          </cell>
        </row>
        <row r="676">
          <cell r="BB676" t="str">
            <v>.</v>
          </cell>
        </row>
        <row r="677">
          <cell r="BB677" t="str">
            <v>.</v>
          </cell>
        </row>
        <row r="678">
          <cell r="BB678" t="str">
            <v>.</v>
          </cell>
        </row>
        <row r="679">
          <cell r="BB679" t="str">
            <v>.</v>
          </cell>
        </row>
        <row r="680">
          <cell r="BB680" t="str">
            <v>.</v>
          </cell>
        </row>
        <row r="681">
          <cell r="BB681" t="str">
            <v>.</v>
          </cell>
        </row>
        <row r="682">
          <cell r="BB682" t="str">
            <v>.</v>
          </cell>
        </row>
        <row r="683">
          <cell r="BB683" t="str">
            <v>.</v>
          </cell>
        </row>
        <row r="684">
          <cell r="BB684" t="str">
            <v>.</v>
          </cell>
        </row>
        <row r="685">
          <cell r="BB685" t="str">
            <v>.</v>
          </cell>
        </row>
        <row r="686">
          <cell r="BB686" t="str">
            <v>.</v>
          </cell>
        </row>
        <row r="687">
          <cell r="BB687" t="str">
            <v>.</v>
          </cell>
        </row>
        <row r="688">
          <cell r="BB688" t="str">
            <v>.</v>
          </cell>
        </row>
        <row r="689">
          <cell r="BB689" t="str">
            <v>.</v>
          </cell>
        </row>
        <row r="690">
          <cell r="BB690" t="str">
            <v>.</v>
          </cell>
        </row>
        <row r="691">
          <cell r="BB691" t="str">
            <v>.</v>
          </cell>
        </row>
        <row r="692">
          <cell r="BB692" t="str">
            <v>.</v>
          </cell>
        </row>
        <row r="693">
          <cell r="BB693" t="str">
            <v>.</v>
          </cell>
        </row>
        <row r="694">
          <cell r="BB694" t="str">
            <v>.</v>
          </cell>
        </row>
        <row r="695">
          <cell r="BB695" t="str">
            <v>.</v>
          </cell>
        </row>
        <row r="696">
          <cell r="BB696" t="str">
            <v>.</v>
          </cell>
        </row>
        <row r="697">
          <cell r="BB697" t="str">
            <v>.</v>
          </cell>
        </row>
        <row r="698">
          <cell r="BB698" t="str">
            <v>.</v>
          </cell>
        </row>
        <row r="699">
          <cell r="BB699" t="str">
            <v>.</v>
          </cell>
        </row>
        <row r="700">
          <cell r="BB700" t="str">
            <v>.</v>
          </cell>
        </row>
        <row r="701">
          <cell r="BB701" t="str">
            <v>.</v>
          </cell>
        </row>
        <row r="702">
          <cell r="BB702" t="str">
            <v>.</v>
          </cell>
        </row>
        <row r="703">
          <cell r="BB703" t="str">
            <v>.</v>
          </cell>
        </row>
        <row r="704">
          <cell r="BB704" t="str">
            <v>.</v>
          </cell>
        </row>
        <row r="705">
          <cell r="BB705" t="str">
            <v>.</v>
          </cell>
        </row>
        <row r="706">
          <cell r="BB706" t="str">
            <v>.</v>
          </cell>
        </row>
        <row r="707">
          <cell r="BB707" t="str">
            <v>.</v>
          </cell>
        </row>
        <row r="708">
          <cell r="BB708" t="str">
            <v>.</v>
          </cell>
        </row>
        <row r="709">
          <cell r="BB709" t="str">
            <v>.</v>
          </cell>
        </row>
        <row r="710">
          <cell r="BB710" t="str">
            <v>.</v>
          </cell>
        </row>
        <row r="711">
          <cell r="BB711" t="str">
            <v>.</v>
          </cell>
        </row>
        <row r="712">
          <cell r="BB712" t="str">
            <v>.</v>
          </cell>
        </row>
        <row r="713">
          <cell r="BB713" t="str">
            <v>.</v>
          </cell>
        </row>
        <row r="714">
          <cell r="BB714" t="str">
            <v>.</v>
          </cell>
        </row>
        <row r="715">
          <cell r="BB715" t="str">
            <v>.</v>
          </cell>
        </row>
        <row r="716">
          <cell r="BB716" t="str">
            <v>.</v>
          </cell>
        </row>
        <row r="717">
          <cell r="BB717" t="str">
            <v>.</v>
          </cell>
        </row>
        <row r="718">
          <cell r="BB718" t="str">
            <v>.</v>
          </cell>
        </row>
        <row r="719">
          <cell r="BB719" t="str">
            <v>.</v>
          </cell>
        </row>
        <row r="720">
          <cell r="BB720" t="str">
            <v>.</v>
          </cell>
        </row>
        <row r="721">
          <cell r="BB721" t="str">
            <v>.</v>
          </cell>
        </row>
        <row r="722">
          <cell r="BB722" t="str">
            <v>.</v>
          </cell>
        </row>
        <row r="723">
          <cell r="BB723" t="str">
            <v>.</v>
          </cell>
        </row>
        <row r="724">
          <cell r="BB724" t="str">
            <v>.</v>
          </cell>
        </row>
        <row r="725">
          <cell r="BB725" t="str">
            <v>.</v>
          </cell>
        </row>
        <row r="726">
          <cell r="BB726" t="str">
            <v>.</v>
          </cell>
        </row>
        <row r="727">
          <cell r="BB727" t="str">
            <v>.</v>
          </cell>
        </row>
        <row r="728">
          <cell r="BB728" t="str">
            <v>.</v>
          </cell>
        </row>
        <row r="729">
          <cell r="BB729" t="str">
            <v>.</v>
          </cell>
        </row>
        <row r="730">
          <cell r="BB730" t="str">
            <v>.</v>
          </cell>
        </row>
        <row r="731">
          <cell r="BB731" t="str">
            <v>.</v>
          </cell>
        </row>
        <row r="732">
          <cell r="BB732" t="str">
            <v>.</v>
          </cell>
        </row>
        <row r="733">
          <cell r="BB733" t="str">
            <v>.</v>
          </cell>
        </row>
        <row r="734">
          <cell r="BB734" t="str">
            <v>.</v>
          </cell>
        </row>
        <row r="735">
          <cell r="BB735" t="str">
            <v>.</v>
          </cell>
        </row>
        <row r="736">
          <cell r="BB736" t="str">
            <v>.</v>
          </cell>
        </row>
        <row r="737">
          <cell r="BB737" t="str">
            <v>.</v>
          </cell>
        </row>
        <row r="738">
          <cell r="BB738" t="str">
            <v>.</v>
          </cell>
        </row>
        <row r="739">
          <cell r="BB739" t="str">
            <v>.</v>
          </cell>
        </row>
        <row r="740">
          <cell r="BB740" t="str">
            <v>.</v>
          </cell>
        </row>
        <row r="741">
          <cell r="BB741" t="str">
            <v>.</v>
          </cell>
        </row>
        <row r="742">
          <cell r="BB742" t="str">
            <v>.</v>
          </cell>
        </row>
        <row r="743">
          <cell r="BB743" t="str">
            <v>.</v>
          </cell>
        </row>
        <row r="744">
          <cell r="BB744" t="str">
            <v>.</v>
          </cell>
        </row>
        <row r="745">
          <cell r="BB745" t="str">
            <v>.</v>
          </cell>
        </row>
        <row r="746">
          <cell r="BB746" t="str">
            <v>.</v>
          </cell>
        </row>
        <row r="747">
          <cell r="BB747" t="str">
            <v>.</v>
          </cell>
        </row>
        <row r="748">
          <cell r="BB748" t="str">
            <v>.</v>
          </cell>
        </row>
        <row r="749">
          <cell r="BB749" t="str">
            <v>.</v>
          </cell>
        </row>
        <row r="750">
          <cell r="BB750" t="str">
            <v>.</v>
          </cell>
        </row>
        <row r="751">
          <cell r="BB751" t="str">
            <v>.</v>
          </cell>
        </row>
        <row r="752">
          <cell r="BB752" t="str">
            <v>.</v>
          </cell>
        </row>
        <row r="753">
          <cell r="BB753" t="str">
            <v>.</v>
          </cell>
        </row>
        <row r="754">
          <cell r="BB754" t="str">
            <v>.</v>
          </cell>
        </row>
        <row r="755">
          <cell r="BB755" t="str">
            <v>.</v>
          </cell>
        </row>
        <row r="756">
          <cell r="BB756" t="str">
            <v>.</v>
          </cell>
        </row>
        <row r="757">
          <cell r="BB757" t="str">
            <v>.</v>
          </cell>
        </row>
        <row r="758">
          <cell r="BB758" t="str">
            <v>.</v>
          </cell>
        </row>
        <row r="759">
          <cell r="BB759" t="str">
            <v>.</v>
          </cell>
        </row>
        <row r="760">
          <cell r="BB760" t="str">
            <v>.</v>
          </cell>
        </row>
        <row r="761">
          <cell r="BB761" t="str">
            <v>.</v>
          </cell>
        </row>
        <row r="762">
          <cell r="BB762" t="str">
            <v>.</v>
          </cell>
        </row>
        <row r="763">
          <cell r="BB763" t="str">
            <v>.</v>
          </cell>
        </row>
        <row r="764">
          <cell r="BB764" t="str">
            <v>.</v>
          </cell>
        </row>
        <row r="765">
          <cell r="BB765" t="str">
            <v>.</v>
          </cell>
        </row>
        <row r="766">
          <cell r="BB766" t="str">
            <v>.</v>
          </cell>
        </row>
        <row r="767">
          <cell r="BB767" t="str">
            <v>.</v>
          </cell>
        </row>
        <row r="768">
          <cell r="BB768" t="str">
            <v>.</v>
          </cell>
        </row>
        <row r="769">
          <cell r="BB769" t="str">
            <v>.</v>
          </cell>
        </row>
        <row r="770">
          <cell r="BB770" t="str">
            <v>.</v>
          </cell>
        </row>
        <row r="771">
          <cell r="BB771" t="str">
            <v>.</v>
          </cell>
        </row>
        <row r="772">
          <cell r="BB772" t="str">
            <v>.</v>
          </cell>
        </row>
        <row r="773">
          <cell r="BB773" t="str">
            <v>.</v>
          </cell>
        </row>
        <row r="774">
          <cell r="BB774" t="str">
            <v>.</v>
          </cell>
        </row>
        <row r="775">
          <cell r="BB775" t="str">
            <v>.</v>
          </cell>
        </row>
        <row r="776">
          <cell r="BB776" t="str">
            <v>.</v>
          </cell>
        </row>
        <row r="777">
          <cell r="BB777" t="str">
            <v>.</v>
          </cell>
        </row>
        <row r="778">
          <cell r="BB778" t="str">
            <v>.</v>
          </cell>
        </row>
        <row r="779">
          <cell r="BB779" t="str">
            <v>.</v>
          </cell>
        </row>
        <row r="780">
          <cell r="BB780" t="str">
            <v>.</v>
          </cell>
        </row>
        <row r="781">
          <cell r="BB781" t="str">
            <v>.</v>
          </cell>
        </row>
        <row r="782">
          <cell r="BB782" t="str">
            <v>.</v>
          </cell>
        </row>
        <row r="783">
          <cell r="BB783" t="str">
            <v>.</v>
          </cell>
        </row>
        <row r="784">
          <cell r="BB784" t="str">
            <v>.</v>
          </cell>
        </row>
        <row r="785">
          <cell r="BB785" t="str">
            <v>.</v>
          </cell>
        </row>
        <row r="786">
          <cell r="BB786" t="str">
            <v>.</v>
          </cell>
        </row>
        <row r="787">
          <cell r="BB787" t="str">
            <v>.</v>
          </cell>
        </row>
        <row r="788">
          <cell r="BB788" t="str">
            <v>.</v>
          </cell>
        </row>
        <row r="789">
          <cell r="BB789" t="str">
            <v>.</v>
          </cell>
        </row>
        <row r="790">
          <cell r="BB790" t="str">
            <v>.</v>
          </cell>
        </row>
        <row r="791">
          <cell r="BB791" t="str">
            <v>.</v>
          </cell>
        </row>
        <row r="792">
          <cell r="BB792" t="str">
            <v>.</v>
          </cell>
        </row>
        <row r="793">
          <cell r="BB793" t="str">
            <v>.</v>
          </cell>
        </row>
        <row r="794">
          <cell r="BB794" t="str">
            <v>.</v>
          </cell>
        </row>
        <row r="795">
          <cell r="BB795" t="str">
            <v>.</v>
          </cell>
        </row>
        <row r="796">
          <cell r="BB796" t="str">
            <v>.</v>
          </cell>
        </row>
        <row r="797">
          <cell r="BB797" t="str">
            <v>.</v>
          </cell>
        </row>
        <row r="798">
          <cell r="BB798" t="str">
            <v>.</v>
          </cell>
        </row>
        <row r="799">
          <cell r="BB799" t="str">
            <v>.</v>
          </cell>
        </row>
        <row r="800">
          <cell r="BB800" t="str">
            <v>.</v>
          </cell>
        </row>
        <row r="801">
          <cell r="BB801" t="str">
            <v>.</v>
          </cell>
        </row>
        <row r="802">
          <cell r="BB802" t="str">
            <v>.</v>
          </cell>
        </row>
        <row r="803">
          <cell r="BB803" t="str">
            <v>.</v>
          </cell>
        </row>
        <row r="804">
          <cell r="BB804" t="str">
            <v>.</v>
          </cell>
        </row>
        <row r="805">
          <cell r="BB805" t="str">
            <v>.</v>
          </cell>
        </row>
        <row r="806">
          <cell r="BB806" t="str">
            <v>.</v>
          </cell>
        </row>
        <row r="807">
          <cell r="BB807" t="str">
            <v>.</v>
          </cell>
        </row>
        <row r="808">
          <cell r="BB808" t="str">
            <v>.</v>
          </cell>
        </row>
        <row r="809">
          <cell r="BB809" t="str">
            <v>.</v>
          </cell>
        </row>
        <row r="810">
          <cell r="BB810" t="str">
            <v>.</v>
          </cell>
        </row>
        <row r="811">
          <cell r="BB811" t="str">
            <v>.</v>
          </cell>
        </row>
        <row r="812">
          <cell r="BB812" t="str">
            <v>.</v>
          </cell>
        </row>
        <row r="813">
          <cell r="BB813" t="str">
            <v>.</v>
          </cell>
        </row>
        <row r="814">
          <cell r="BB814" t="str">
            <v>.</v>
          </cell>
        </row>
        <row r="815">
          <cell r="BB815" t="str">
            <v>.</v>
          </cell>
        </row>
        <row r="816">
          <cell r="BB816" t="str">
            <v>.</v>
          </cell>
        </row>
        <row r="817">
          <cell r="BB817" t="str">
            <v>.</v>
          </cell>
        </row>
        <row r="818">
          <cell r="BB818" t="str">
            <v>.</v>
          </cell>
        </row>
        <row r="819">
          <cell r="BB819" t="str">
            <v>.</v>
          </cell>
        </row>
        <row r="820">
          <cell r="BB820" t="str">
            <v>.</v>
          </cell>
        </row>
        <row r="821">
          <cell r="BB821" t="str">
            <v>.</v>
          </cell>
        </row>
        <row r="822">
          <cell r="BB822" t="str">
            <v>.</v>
          </cell>
        </row>
        <row r="823">
          <cell r="BB823" t="str">
            <v>.</v>
          </cell>
        </row>
        <row r="824">
          <cell r="BB824" t="str">
            <v>.</v>
          </cell>
        </row>
        <row r="825">
          <cell r="BB825" t="str">
            <v>.</v>
          </cell>
        </row>
        <row r="826">
          <cell r="BB826" t="str">
            <v>.</v>
          </cell>
        </row>
        <row r="827">
          <cell r="BB827" t="str">
            <v>.</v>
          </cell>
        </row>
        <row r="828">
          <cell r="BB828" t="str">
            <v>.</v>
          </cell>
        </row>
        <row r="829">
          <cell r="BB829" t="str">
            <v>.</v>
          </cell>
        </row>
        <row r="830">
          <cell r="BB830" t="str">
            <v>.</v>
          </cell>
        </row>
        <row r="831">
          <cell r="BB831" t="str">
            <v>.</v>
          </cell>
        </row>
        <row r="832">
          <cell r="BB832" t="str">
            <v>.</v>
          </cell>
        </row>
        <row r="833">
          <cell r="BB833" t="str">
            <v>.</v>
          </cell>
        </row>
        <row r="834">
          <cell r="BB834" t="str">
            <v>.</v>
          </cell>
        </row>
        <row r="835">
          <cell r="BB835" t="str">
            <v>.</v>
          </cell>
        </row>
        <row r="836">
          <cell r="BB836" t="str">
            <v>.</v>
          </cell>
        </row>
        <row r="837">
          <cell r="BB837" t="str">
            <v>.</v>
          </cell>
        </row>
        <row r="838">
          <cell r="BB838" t="str">
            <v>.</v>
          </cell>
        </row>
        <row r="839">
          <cell r="BB839" t="str">
            <v>.</v>
          </cell>
        </row>
        <row r="840">
          <cell r="BB840" t="str">
            <v>.</v>
          </cell>
        </row>
        <row r="841">
          <cell r="BB841" t="str">
            <v>.</v>
          </cell>
        </row>
        <row r="842">
          <cell r="BB842" t="str">
            <v>.</v>
          </cell>
        </row>
        <row r="843">
          <cell r="BB843" t="str">
            <v>.</v>
          </cell>
        </row>
        <row r="844">
          <cell r="BB844" t="str">
            <v>.</v>
          </cell>
        </row>
        <row r="845">
          <cell r="BB845" t="str">
            <v>.</v>
          </cell>
        </row>
        <row r="846">
          <cell r="BB846" t="str">
            <v>.</v>
          </cell>
        </row>
        <row r="847">
          <cell r="BB847" t="str">
            <v>.</v>
          </cell>
        </row>
        <row r="848">
          <cell r="BB848" t="str">
            <v>.</v>
          </cell>
        </row>
        <row r="849">
          <cell r="BB849" t="str">
            <v>.</v>
          </cell>
        </row>
        <row r="850">
          <cell r="BB850" t="str">
            <v>.</v>
          </cell>
        </row>
        <row r="851">
          <cell r="BB851" t="str">
            <v>.</v>
          </cell>
        </row>
        <row r="852">
          <cell r="BB852" t="str">
            <v>.</v>
          </cell>
        </row>
        <row r="853">
          <cell r="BB853" t="str">
            <v>.</v>
          </cell>
        </row>
        <row r="854">
          <cell r="BB854" t="str">
            <v>.</v>
          </cell>
        </row>
        <row r="855">
          <cell r="BB855" t="str">
            <v>.</v>
          </cell>
        </row>
        <row r="856">
          <cell r="BB856" t="str">
            <v>.</v>
          </cell>
        </row>
        <row r="857">
          <cell r="BB857" t="str">
            <v>.</v>
          </cell>
        </row>
        <row r="858">
          <cell r="BB858" t="str">
            <v>.</v>
          </cell>
        </row>
        <row r="859">
          <cell r="BB859" t="str">
            <v>.</v>
          </cell>
        </row>
        <row r="860">
          <cell r="BB860" t="str">
            <v>.</v>
          </cell>
        </row>
        <row r="861">
          <cell r="BB861" t="str">
            <v>.</v>
          </cell>
        </row>
        <row r="862">
          <cell r="BB862" t="str">
            <v>.</v>
          </cell>
        </row>
        <row r="863">
          <cell r="BB863" t="str">
            <v>.</v>
          </cell>
        </row>
        <row r="864">
          <cell r="BB864" t="str">
            <v>.</v>
          </cell>
        </row>
        <row r="865">
          <cell r="BB865" t="str">
            <v>.</v>
          </cell>
        </row>
        <row r="866">
          <cell r="BB866" t="str">
            <v>.</v>
          </cell>
        </row>
        <row r="867">
          <cell r="BB867" t="str">
            <v>.</v>
          </cell>
        </row>
        <row r="868">
          <cell r="BB868" t="str">
            <v>.</v>
          </cell>
        </row>
        <row r="869">
          <cell r="BB869" t="str">
            <v>.</v>
          </cell>
        </row>
        <row r="870">
          <cell r="BB870" t="str">
            <v>.</v>
          </cell>
        </row>
        <row r="871">
          <cell r="BB871" t="str">
            <v>.</v>
          </cell>
        </row>
        <row r="872">
          <cell r="BB872" t="str">
            <v>.</v>
          </cell>
        </row>
        <row r="873">
          <cell r="BB873" t="str">
            <v>.</v>
          </cell>
        </row>
        <row r="874">
          <cell r="BB874" t="str">
            <v>.</v>
          </cell>
        </row>
        <row r="875">
          <cell r="BB875" t="str">
            <v>.</v>
          </cell>
        </row>
        <row r="876">
          <cell r="BB876" t="str">
            <v>.</v>
          </cell>
        </row>
        <row r="877">
          <cell r="BB877" t="str">
            <v>.</v>
          </cell>
        </row>
        <row r="878">
          <cell r="BB878" t="str">
            <v>.</v>
          </cell>
        </row>
        <row r="879">
          <cell r="BB879" t="str">
            <v>.</v>
          </cell>
        </row>
        <row r="880">
          <cell r="BB880" t="str">
            <v>.</v>
          </cell>
        </row>
        <row r="881">
          <cell r="BB881" t="str">
            <v>.</v>
          </cell>
        </row>
        <row r="882">
          <cell r="BB882" t="str">
            <v>.</v>
          </cell>
        </row>
        <row r="883">
          <cell r="BB883" t="str">
            <v>.</v>
          </cell>
        </row>
        <row r="884">
          <cell r="BB884" t="str">
            <v>.</v>
          </cell>
        </row>
        <row r="885">
          <cell r="BB885" t="str">
            <v>.</v>
          </cell>
        </row>
        <row r="886">
          <cell r="BB886" t="str">
            <v>.</v>
          </cell>
        </row>
        <row r="887">
          <cell r="BB887" t="str">
            <v>.</v>
          </cell>
        </row>
        <row r="888">
          <cell r="BB888" t="str">
            <v>.</v>
          </cell>
        </row>
        <row r="889">
          <cell r="BB889" t="str">
            <v>.</v>
          </cell>
        </row>
        <row r="890">
          <cell r="BB890" t="str">
            <v>.</v>
          </cell>
        </row>
        <row r="891">
          <cell r="BB891" t="str">
            <v>.</v>
          </cell>
        </row>
        <row r="892">
          <cell r="BB892" t="str">
            <v>.</v>
          </cell>
        </row>
        <row r="893">
          <cell r="BB893" t="str">
            <v>.</v>
          </cell>
        </row>
        <row r="894">
          <cell r="BB894" t="str">
            <v>.</v>
          </cell>
        </row>
        <row r="895">
          <cell r="BB895" t="str">
            <v>.</v>
          </cell>
        </row>
        <row r="896">
          <cell r="BB896" t="str">
            <v>.</v>
          </cell>
        </row>
        <row r="897">
          <cell r="BB897" t="str">
            <v>.</v>
          </cell>
        </row>
        <row r="898">
          <cell r="BB898" t="str">
            <v>.</v>
          </cell>
        </row>
        <row r="899">
          <cell r="BB899" t="str">
            <v>.</v>
          </cell>
        </row>
        <row r="900">
          <cell r="BB900" t="str">
            <v>.</v>
          </cell>
        </row>
        <row r="901">
          <cell r="BB901" t="str">
            <v>.</v>
          </cell>
        </row>
        <row r="902">
          <cell r="BB902" t="str">
            <v>.</v>
          </cell>
        </row>
        <row r="903">
          <cell r="BB903" t="str">
            <v>.</v>
          </cell>
        </row>
        <row r="904">
          <cell r="BB904" t="str">
            <v>.</v>
          </cell>
        </row>
        <row r="905">
          <cell r="BB905" t="str">
            <v>.</v>
          </cell>
        </row>
        <row r="906">
          <cell r="BB906" t="str">
            <v>.</v>
          </cell>
        </row>
        <row r="907">
          <cell r="BB907" t="str">
            <v>.</v>
          </cell>
        </row>
        <row r="908">
          <cell r="BB908" t="str">
            <v>.</v>
          </cell>
        </row>
        <row r="909">
          <cell r="BB909" t="str">
            <v>.</v>
          </cell>
        </row>
        <row r="910">
          <cell r="BB910" t="str">
            <v>.</v>
          </cell>
        </row>
        <row r="911">
          <cell r="BB911" t="str">
            <v>.</v>
          </cell>
        </row>
        <row r="912">
          <cell r="BB912" t="str">
            <v>.</v>
          </cell>
        </row>
        <row r="913">
          <cell r="BB913" t="str">
            <v>.</v>
          </cell>
        </row>
        <row r="914">
          <cell r="BB914" t="str">
            <v>.</v>
          </cell>
        </row>
        <row r="915">
          <cell r="BB915" t="str">
            <v>.</v>
          </cell>
        </row>
        <row r="916">
          <cell r="BB916" t="str">
            <v>.</v>
          </cell>
        </row>
        <row r="917">
          <cell r="BB917" t="str">
            <v>.</v>
          </cell>
        </row>
        <row r="918">
          <cell r="BB918" t="str">
            <v>.</v>
          </cell>
        </row>
        <row r="919">
          <cell r="BB919" t="str">
            <v>.</v>
          </cell>
        </row>
        <row r="920">
          <cell r="BB920" t="str">
            <v>.</v>
          </cell>
        </row>
        <row r="921">
          <cell r="BB921" t="str">
            <v>.</v>
          </cell>
        </row>
        <row r="922">
          <cell r="BB922" t="str">
            <v>.</v>
          </cell>
        </row>
        <row r="923">
          <cell r="BB923" t="str">
            <v>.</v>
          </cell>
        </row>
        <row r="924">
          <cell r="BB924" t="str">
            <v>.</v>
          </cell>
        </row>
        <row r="925">
          <cell r="BB925" t="str">
            <v>.</v>
          </cell>
        </row>
        <row r="926">
          <cell r="BB926" t="str">
            <v>.</v>
          </cell>
        </row>
        <row r="927">
          <cell r="BB927" t="str">
            <v>.</v>
          </cell>
        </row>
        <row r="928">
          <cell r="BB928" t="str">
            <v>.</v>
          </cell>
        </row>
        <row r="929">
          <cell r="BB929" t="str">
            <v>.</v>
          </cell>
        </row>
        <row r="930">
          <cell r="BB930" t="str">
            <v>.</v>
          </cell>
        </row>
        <row r="931">
          <cell r="BB931" t="str">
            <v>.</v>
          </cell>
        </row>
        <row r="932">
          <cell r="BB932" t="str">
            <v>.</v>
          </cell>
        </row>
        <row r="933">
          <cell r="BB933" t="str">
            <v>.</v>
          </cell>
        </row>
        <row r="934">
          <cell r="BB934" t="str">
            <v>.</v>
          </cell>
        </row>
        <row r="935">
          <cell r="BB935" t="str">
            <v>.</v>
          </cell>
        </row>
        <row r="936">
          <cell r="BB936" t="str">
            <v>.</v>
          </cell>
        </row>
        <row r="937">
          <cell r="BB937" t="str">
            <v>.</v>
          </cell>
        </row>
        <row r="938">
          <cell r="BB938" t="str">
            <v>.</v>
          </cell>
        </row>
        <row r="939">
          <cell r="BB939" t="str">
            <v>.</v>
          </cell>
        </row>
        <row r="940">
          <cell r="BB940" t="str">
            <v>.</v>
          </cell>
        </row>
        <row r="941">
          <cell r="BB941" t="str">
            <v>.</v>
          </cell>
        </row>
        <row r="942">
          <cell r="BB942" t="str">
            <v>.</v>
          </cell>
        </row>
        <row r="943">
          <cell r="BB943" t="str">
            <v>.</v>
          </cell>
        </row>
        <row r="944">
          <cell r="BB944" t="str">
            <v>.</v>
          </cell>
        </row>
        <row r="945">
          <cell r="BB945" t="str">
            <v>.</v>
          </cell>
        </row>
        <row r="946">
          <cell r="BB946" t="str">
            <v>.</v>
          </cell>
        </row>
        <row r="947">
          <cell r="BB947" t="str">
            <v>.</v>
          </cell>
        </row>
        <row r="948">
          <cell r="BB948" t="str">
            <v>.</v>
          </cell>
        </row>
        <row r="949">
          <cell r="BB949" t="str">
            <v>.</v>
          </cell>
        </row>
        <row r="950">
          <cell r="BB950" t="str">
            <v>.</v>
          </cell>
        </row>
        <row r="951">
          <cell r="BB951" t="str">
            <v>.</v>
          </cell>
        </row>
        <row r="952">
          <cell r="BB952" t="str">
            <v>.</v>
          </cell>
        </row>
        <row r="953">
          <cell r="BB953" t="str">
            <v>.</v>
          </cell>
        </row>
        <row r="954">
          <cell r="BB954" t="str">
            <v>.</v>
          </cell>
        </row>
        <row r="955">
          <cell r="BB955" t="str">
            <v>.</v>
          </cell>
        </row>
        <row r="956">
          <cell r="BB956" t="str">
            <v>.</v>
          </cell>
        </row>
        <row r="957">
          <cell r="BB957" t="str">
            <v>.</v>
          </cell>
        </row>
        <row r="958">
          <cell r="BB958" t="str">
            <v>.</v>
          </cell>
        </row>
        <row r="959">
          <cell r="BB959" t="str">
            <v>.</v>
          </cell>
        </row>
        <row r="960">
          <cell r="BB960" t="str">
            <v>.</v>
          </cell>
        </row>
        <row r="961">
          <cell r="BB961" t="str">
            <v>.</v>
          </cell>
        </row>
        <row r="962">
          <cell r="BB962" t="str">
            <v>.</v>
          </cell>
        </row>
        <row r="963">
          <cell r="BB963" t="str">
            <v>.</v>
          </cell>
        </row>
        <row r="964">
          <cell r="BB964" t="str">
            <v>.</v>
          </cell>
        </row>
        <row r="965">
          <cell r="BB965" t="str">
            <v>.</v>
          </cell>
        </row>
        <row r="966">
          <cell r="BB966" t="str">
            <v>.</v>
          </cell>
        </row>
        <row r="967">
          <cell r="BB967" t="str">
            <v>.</v>
          </cell>
        </row>
        <row r="968">
          <cell r="BB968" t="str">
            <v>.</v>
          </cell>
        </row>
        <row r="969">
          <cell r="BB969" t="str">
            <v>.</v>
          </cell>
        </row>
        <row r="970">
          <cell r="BB970" t="str">
            <v>.</v>
          </cell>
        </row>
        <row r="971">
          <cell r="BB971" t="str">
            <v>.</v>
          </cell>
        </row>
        <row r="972">
          <cell r="BB972" t="str">
            <v>.</v>
          </cell>
        </row>
        <row r="973">
          <cell r="BB973" t="str">
            <v>.</v>
          </cell>
        </row>
        <row r="974">
          <cell r="BB974" t="str">
            <v>.</v>
          </cell>
        </row>
        <row r="975">
          <cell r="BB975" t="str">
            <v>.</v>
          </cell>
        </row>
        <row r="976">
          <cell r="BB976" t="str">
            <v>.</v>
          </cell>
        </row>
        <row r="977">
          <cell r="BB977" t="str">
            <v>.</v>
          </cell>
        </row>
        <row r="978">
          <cell r="BB978" t="str">
            <v>.</v>
          </cell>
        </row>
        <row r="979">
          <cell r="BB979" t="str">
            <v>.</v>
          </cell>
        </row>
        <row r="980">
          <cell r="BB980" t="str">
            <v>.</v>
          </cell>
        </row>
        <row r="981">
          <cell r="BB981" t="str">
            <v>.</v>
          </cell>
        </row>
        <row r="982">
          <cell r="BB982" t="str">
            <v>.</v>
          </cell>
        </row>
        <row r="983">
          <cell r="BB983" t="str">
            <v>.</v>
          </cell>
        </row>
        <row r="984">
          <cell r="BB984" t="str">
            <v>.</v>
          </cell>
        </row>
        <row r="985">
          <cell r="BB985" t="str">
            <v>.</v>
          </cell>
        </row>
        <row r="986">
          <cell r="BB986" t="str">
            <v>.</v>
          </cell>
        </row>
        <row r="987">
          <cell r="BB987" t="str">
            <v>.</v>
          </cell>
        </row>
        <row r="988">
          <cell r="BB988" t="str">
            <v>.</v>
          </cell>
        </row>
        <row r="989">
          <cell r="BB989" t="str">
            <v>.</v>
          </cell>
        </row>
        <row r="990">
          <cell r="BB990" t="str">
            <v>.</v>
          </cell>
        </row>
        <row r="991">
          <cell r="BB991" t="str">
            <v>.</v>
          </cell>
        </row>
        <row r="992">
          <cell r="BB992" t="str">
            <v>.</v>
          </cell>
        </row>
        <row r="993">
          <cell r="BB993" t="str">
            <v>.</v>
          </cell>
        </row>
        <row r="994">
          <cell r="BB994" t="str">
            <v>.</v>
          </cell>
        </row>
        <row r="995">
          <cell r="BB995" t="str">
            <v>.</v>
          </cell>
        </row>
        <row r="996">
          <cell r="BB996" t="str">
            <v>.</v>
          </cell>
        </row>
        <row r="997">
          <cell r="A997" t="str">
            <v>.</v>
          </cell>
          <cell r="B997" t="str">
            <v>.</v>
          </cell>
          <cell r="C997" t="str">
            <v>.</v>
          </cell>
          <cell r="D997" t="str">
            <v>.</v>
          </cell>
          <cell r="E997" t="str">
            <v>.</v>
          </cell>
          <cell r="F997" t="str">
            <v>.</v>
          </cell>
          <cell r="G997" t="str">
            <v>.</v>
          </cell>
          <cell r="I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row>
      </sheetData>
      <sheetData sheetId="4"/>
      <sheetData sheetId="5">
        <row r="1">
          <cell r="S1" t="str">
            <v>SmartCharts</v>
          </cell>
          <cell r="BB1" t="str">
            <v>.</v>
          </cell>
        </row>
        <row r="2">
          <cell r="BB2" t="str">
            <v>.</v>
          </cell>
        </row>
        <row r="3">
          <cell r="BB3" t="str">
            <v>.</v>
          </cell>
        </row>
        <row r="4">
          <cell r="BB4" t="str">
            <v>.</v>
          </cell>
        </row>
        <row r="5">
          <cell r="C5" t="str">
            <v>Define value axis here:</v>
          </cell>
        </row>
        <row r="6">
          <cell r="C6" t="str">
            <v>Pharmaceutical Revenue Contribution</v>
          </cell>
        </row>
        <row r="10">
          <cell r="C10" t="str">
            <v>Input your data here:</v>
          </cell>
          <cell r="BB10" t="str">
            <v>.</v>
          </cell>
        </row>
        <row r="11">
          <cell r="D11" t="str">
            <v>Traditional</v>
          </cell>
          <cell r="E11" t="str">
            <v>Biologic</v>
          </cell>
          <cell r="BB11" t="str">
            <v>.</v>
          </cell>
        </row>
        <row r="12">
          <cell r="C12">
            <v>2010</v>
          </cell>
          <cell r="D12">
            <v>0.82430001699349376</v>
          </cell>
          <cell r="E12">
            <v>0.17569998300650647</v>
          </cell>
          <cell r="BB12" t="str">
            <v>.</v>
          </cell>
        </row>
        <row r="13">
          <cell r="C13">
            <v>2011</v>
          </cell>
          <cell r="D13">
            <v>0.80735644965960518</v>
          </cell>
          <cell r="E13">
            <v>0.19264355034039463</v>
          </cell>
          <cell r="BB13" t="str">
            <v>.</v>
          </cell>
        </row>
        <row r="14">
          <cell r="C14">
            <v>2012</v>
          </cell>
          <cell r="D14">
            <v>0.74906834211819795</v>
          </cell>
          <cell r="E14">
            <v>0.25093165788180211</v>
          </cell>
          <cell r="BB14" t="str">
            <v>.</v>
          </cell>
        </row>
        <row r="15">
          <cell r="C15">
            <v>2013</v>
          </cell>
          <cell r="D15">
            <v>0.72367300587064676</v>
          </cell>
          <cell r="E15">
            <v>0.27632699412935324</v>
          </cell>
          <cell r="BB15" t="str">
            <v>.</v>
          </cell>
        </row>
        <row r="16">
          <cell r="C16">
            <v>2014</v>
          </cell>
          <cell r="D16">
            <v>0.70424570108479179</v>
          </cell>
          <cell r="E16">
            <v>0.29575429891520816</v>
          </cell>
          <cell r="BB16" t="str">
            <v>.</v>
          </cell>
        </row>
        <row r="17">
          <cell r="C17">
            <v>2015</v>
          </cell>
          <cell r="D17">
            <v>0.68245948091534925</v>
          </cell>
          <cell r="E17">
            <v>0.3175405190846507</v>
          </cell>
          <cell r="BB17" t="str">
            <v>.</v>
          </cell>
        </row>
        <row r="18">
          <cell r="BB18" t="str">
            <v>.</v>
          </cell>
        </row>
        <row r="20">
          <cell r="BB20" t="str">
            <v>.</v>
          </cell>
        </row>
        <row r="21">
          <cell r="BB21" t="str">
            <v>.</v>
          </cell>
        </row>
        <row r="22">
          <cell r="BB22" t="str">
            <v>.</v>
          </cell>
        </row>
        <row r="23">
          <cell r="BB23" t="str">
            <v>.</v>
          </cell>
        </row>
        <row r="24">
          <cell r="BB24" t="str">
            <v>.</v>
          </cell>
        </row>
        <row r="25">
          <cell r="BB25" t="str">
            <v>.</v>
          </cell>
        </row>
        <row r="26">
          <cell r="BB26" t="str">
            <v>.</v>
          </cell>
        </row>
        <row r="27">
          <cell r="BB27" t="str">
            <v>.</v>
          </cell>
        </row>
        <row r="28">
          <cell r="BB28" t="str">
            <v>.</v>
          </cell>
        </row>
        <row r="29">
          <cell r="BB29" t="str">
            <v>.</v>
          </cell>
        </row>
        <row r="30">
          <cell r="BB30" t="str">
            <v>.</v>
          </cell>
        </row>
        <row r="31">
          <cell r="BB31" t="str">
            <v>.</v>
          </cell>
        </row>
        <row r="32">
          <cell r="BB32" t="str">
            <v>.</v>
          </cell>
        </row>
        <row r="33">
          <cell r="BB33" t="str">
            <v>.</v>
          </cell>
        </row>
        <row r="34">
          <cell r="BB34" t="str">
            <v>.</v>
          </cell>
        </row>
        <row r="35">
          <cell r="BB35" t="str">
            <v>.</v>
          </cell>
        </row>
        <row r="36">
          <cell r="BB36" t="str">
            <v>.</v>
          </cell>
        </row>
        <row r="37">
          <cell r="K37" t="str">
            <v>Do not change the width of the exhibit or font sizes (they are optimized for export to Word).</v>
          </cell>
          <cell r="BB37" t="str">
            <v>.</v>
          </cell>
        </row>
        <row r="38">
          <cell r="BB38" t="str">
            <v>.</v>
          </cell>
        </row>
        <row r="39">
          <cell r="K39" t="str">
            <v>Do not delete any rows or columns (some gray cells are used for calculations).</v>
          </cell>
          <cell r="BB39" t="str">
            <v>.</v>
          </cell>
        </row>
        <row r="40">
          <cell r="BB40" t="str">
            <v>.</v>
          </cell>
        </row>
        <row r="41">
          <cell r="BB41" t="str">
            <v>.</v>
          </cell>
        </row>
        <row r="42">
          <cell r="BB42" t="str">
            <v>.</v>
          </cell>
        </row>
        <row r="43">
          <cell r="BB43" t="str">
            <v>.</v>
          </cell>
        </row>
        <row r="44">
          <cell r="BB44" t="str">
            <v>.</v>
          </cell>
        </row>
        <row r="45">
          <cell r="BB45" t="str">
            <v>.</v>
          </cell>
        </row>
        <row r="46">
          <cell r="BB46" t="str">
            <v>.</v>
          </cell>
        </row>
        <row r="47">
          <cell r="BB47" t="str">
            <v>.</v>
          </cell>
        </row>
        <row r="48">
          <cell r="BB48" t="str">
            <v>.</v>
          </cell>
        </row>
        <row r="49">
          <cell r="BB49" t="str">
            <v>.</v>
          </cell>
        </row>
        <row r="50">
          <cell r="BB50" t="str">
            <v>.</v>
          </cell>
        </row>
        <row r="51">
          <cell r="BB51" t="str">
            <v>.</v>
          </cell>
        </row>
        <row r="52">
          <cell r="BB52" t="str">
            <v>.</v>
          </cell>
        </row>
        <row r="53">
          <cell r="BB53" t="str">
            <v>.</v>
          </cell>
        </row>
        <row r="54">
          <cell r="BB54" t="str">
            <v>.</v>
          </cell>
        </row>
        <row r="55">
          <cell r="BB55" t="str">
            <v>.</v>
          </cell>
        </row>
        <row r="56">
          <cell r="BB56" t="str">
            <v>.</v>
          </cell>
        </row>
        <row r="57">
          <cell r="BB57" t="str">
            <v>.</v>
          </cell>
        </row>
        <row r="58">
          <cell r="BB58" t="str">
            <v>.</v>
          </cell>
        </row>
        <row r="59">
          <cell r="BB59" t="str">
            <v>.</v>
          </cell>
        </row>
        <row r="60">
          <cell r="BB60" t="str">
            <v>.</v>
          </cell>
        </row>
        <row r="61">
          <cell r="BB61" t="str">
            <v>.</v>
          </cell>
        </row>
        <row r="62">
          <cell r="BB62" t="str">
            <v>.</v>
          </cell>
        </row>
        <row r="63">
          <cell r="BB63" t="str">
            <v>.</v>
          </cell>
        </row>
        <row r="64">
          <cell r="BB64" t="str">
            <v>.</v>
          </cell>
        </row>
        <row r="65">
          <cell r="BB65" t="str">
            <v>.</v>
          </cell>
        </row>
        <row r="66">
          <cell r="BB66" t="str">
            <v>.</v>
          </cell>
        </row>
        <row r="67">
          <cell r="BB67" t="str">
            <v>.</v>
          </cell>
        </row>
        <row r="68">
          <cell r="BB68" t="str">
            <v>.</v>
          </cell>
        </row>
        <row r="69">
          <cell r="BB69" t="str">
            <v>.</v>
          </cell>
        </row>
        <row r="70">
          <cell r="BB70" t="str">
            <v>.</v>
          </cell>
        </row>
        <row r="71">
          <cell r="BB71" t="str">
            <v>.</v>
          </cell>
        </row>
        <row r="72">
          <cell r="BB72" t="str">
            <v>.</v>
          </cell>
        </row>
        <row r="73">
          <cell r="BB73" t="str">
            <v>.</v>
          </cell>
        </row>
        <row r="74">
          <cell r="BB74" t="str">
            <v>.</v>
          </cell>
        </row>
        <row r="75">
          <cell r="BB75" t="str">
            <v>.</v>
          </cell>
        </row>
        <row r="76">
          <cell r="BB76" t="str">
            <v>.</v>
          </cell>
        </row>
        <row r="77">
          <cell r="BB77" t="str">
            <v>.</v>
          </cell>
        </row>
        <row r="78">
          <cell r="BB78" t="str">
            <v>.</v>
          </cell>
        </row>
        <row r="79">
          <cell r="BB79" t="str">
            <v>.</v>
          </cell>
        </row>
        <row r="80">
          <cell r="BB80" t="str">
            <v>.</v>
          </cell>
        </row>
        <row r="81">
          <cell r="BB81" t="str">
            <v>.</v>
          </cell>
        </row>
        <row r="82">
          <cell r="BB82" t="str">
            <v>.</v>
          </cell>
        </row>
        <row r="83">
          <cell r="BB83" t="str">
            <v>.</v>
          </cell>
        </row>
        <row r="84">
          <cell r="BB84" t="str">
            <v>.</v>
          </cell>
        </row>
        <row r="85">
          <cell r="BB85" t="str">
            <v>.</v>
          </cell>
        </row>
        <row r="86">
          <cell r="BB86" t="str">
            <v>.</v>
          </cell>
        </row>
        <row r="87">
          <cell r="BB87" t="str">
            <v>.</v>
          </cell>
        </row>
        <row r="88">
          <cell r="BB88" t="str">
            <v>.</v>
          </cell>
        </row>
        <row r="89">
          <cell r="BB89" t="str">
            <v>.</v>
          </cell>
        </row>
        <row r="90">
          <cell r="BB90" t="str">
            <v>.</v>
          </cell>
        </row>
        <row r="91">
          <cell r="BB91" t="str">
            <v>.</v>
          </cell>
        </row>
        <row r="92">
          <cell r="BB92" t="str">
            <v>.</v>
          </cell>
        </row>
        <row r="93">
          <cell r="BB93" t="str">
            <v>.</v>
          </cell>
        </row>
        <row r="94">
          <cell r="BB94" t="str">
            <v>.</v>
          </cell>
        </row>
        <row r="95">
          <cell r="BB95" t="str">
            <v>.</v>
          </cell>
        </row>
        <row r="96">
          <cell r="BB96" t="str">
            <v>.</v>
          </cell>
        </row>
        <row r="97">
          <cell r="BB97" t="str">
            <v>.</v>
          </cell>
        </row>
        <row r="98">
          <cell r="BB98" t="str">
            <v>.</v>
          </cell>
        </row>
        <row r="99">
          <cell r="BB99" t="str">
            <v>.</v>
          </cell>
        </row>
        <row r="100">
          <cell r="BB100" t="str">
            <v>.</v>
          </cell>
        </row>
        <row r="101">
          <cell r="BB101" t="str">
            <v>.</v>
          </cell>
        </row>
        <row r="102">
          <cell r="BB102" t="str">
            <v>.</v>
          </cell>
        </row>
        <row r="103">
          <cell r="BB103" t="str">
            <v>.</v>
          </cell>
        </row>
        <row r="104">
          <cell r="BB104" t="str">
            <v>.</v>
          </cell>
        </row>
        <row r="105">
          <cell r="BB105" t="str">
            <v>.</v>
          </cell>
        </row>
        <row r="106">
          <cell r="BB106" t="str">
            <v>.</v>
          </cell>
        </row>
        <row r="107">
          <cell r="BB107" t="str">
            <v>.</v>
          </cell>
        </row>
        <row r="108">
          <cell r="BB108" t="str">
            <v>.</v>
          </cell>
        </row>
        <row r="109">
          <cell r="BB109" t="str">
            <v>.</v>
          </cell>
        </row>
        <row r="110">
          <cell r="BB110" t="str">
            <v>.</v>
          </cell>
        </row>
        <row r="111">
          <cell r="BB111" t="str">
            <v>.</v>
          </cell>
        </row>
        <row r="112">
          <cell r="BB112" t="str">
            <v>.</v>
          </cell>
        </row>
        <row r="113">
          <cell r="BB113" t="str">
            <v>.</v>
          </cell>
        </row>
        <row r="114">
          <cell r="BB114" t="str">
            <v>.</v>
          </cell>
        </row>
        <row r="115">
          <cell r="BB115" t="str">
            <v>.</v>
          </cell>
        </row>
        <row r="116">
          <cell r="BB116" t="str">
            <v>.</v>
          </cell>
        </row>
        <row r="117">
          <cell r="BB117" t="str">
            <v>.</v>
          </cell>
        </row>
        <row r="118">
          <cell r="BB118" t="str">
            <v>.</v>
          </cell>
        </row>
        <row r="119">
          <cell r="BB119" t="str">
            <v>.</v>
          </cell>
        </row>
        <row r="120">
          <cell r="BB120" t="str">
            <v>.</v>
          </cell>
        </row>
        <row r="121">
          <cell r="BB121" t="str">
            <v>.</v>
          </cell>
        </row>
        <row r="122">
          <cell r="BB122" t="str">
            <v>.</v>
          </cell>
        </row>
        <row r="123">
          <cell r="BB123" t="str">
            <v>.</v>
          </cell>
        </row>
        <row r="124">
          <cell r="BB124" t="str">
            <v>.</v>
          </cell>
        </row>
        <row r="125">
          <cell r="BB125" t="str">
            <v>.</v>
          </cell>
        </row>
        <row r="126">
          <cell r="BB126" t="str">
            <v>.</v>
          </cell>
        </row>
        <row r="127">
          <cell r="BB127" t="str">
            <v>.</v>
          </cell>
        </row>
        <row r="128">
          <cell r="BB128" t="str">
            <v>.</v>
          </cell>
        </row>
        <row r="129">
          <cell r="BB129" t="str">
            <v>.</v>
          </cell>
        </row>
        <row r="130">
          <cell r="BB130" t="str">
            <v>.</v>
          </cell>
        </row>
        <row r="131">
          <cell r="BB131" t="str">
            <v>.</v>
          </cell>
        </row>
        <row r="132">
          <cell r="BB132" t="str">
            <v>.</v>
          </cell>
        </row>
        <row r="133">
          <cell r="BB133" t="str">
            <v>.</v>
          </cell>
        </row>
        <row r="134">
          <cell r="BB134" t="str">
            <v>.</v>
          </cell>
        </row>
        <row r="135">
          <cell r="BB135" t="str">
            <v>.</v>
          </cell>
        </row>
        <row r="136">
          <cell r="BB136" t="str">
            <v>.</v>
          </cell>
        </row>
        <row r="137">
          <cell r="BB137" t="str">
            <v>.</v>
          </cell>
        </row>
        <row r="138">
          <cell r="BB138" t="str">
            <v>.</v>
          </cell>
        </row>
        <row r="139">
          <cell r="BB139" t="str">
            <v>.</v>
          </cell>
        </row>
        <row r="140">
          <cell r="BB140" t="str">
            <v>.</v>
          </cell>
        </row>
        <row r="141">
          <cell r="BB141" t="str">
            <v>.</v>
          </cell>
        </row>
        <row r="142">
          <cell r="BB142" t="str">
            <v>.</v>
          </cell>
        </row>
        <row r="143">
          <cell r="BB143" t="str">
            <v>.</v>
          </cell>
        </row>
        <row r="144">
          <cell r="BB144" t="str">
            <v>.</v>
          </cell>
        </row>
        <row r="145">
          <cell r="BB145" t="str">
            <v>.</v>
          </cell>
        </row>
        <row r="146">
          <cell r="BB146" t="str">
            <v>.</v>
          </cell>
        </row>
        <row r="147">
          <cell r="BB147" t="str">
            <v>.</v>
          </cell>
        </row>
        <row r="148">
          <cell r="BB148" t="str">
            <v>.</v>
          </cell>
        </row>
        <row r="149">
          <cell r="BB149" t="str">
            <v>.</v>
          </cell>
        </row>
        <row r="150">
          <cell r="BB150" t="str">
            <v>.</v>
          </cell>
        </row>
        <row r="151">
          <cell r="BB151" t="str">
            <v>.</v>
          </cell>
        </row>
        <row r="152">
          <cell r="BB152" t="str">
            <v>.</v>
          </cell>
        </row>
        <row r="153">
          <cell r="BB153" t="str">
            <v>.</v>
          </cell>
        </row>
        <row r="154">
          <cell r="BB154" t="str">
            <v>.</v>
          </cell>
        </row>
        <row r="155">
          <cell r="BB155" t="str">
            <v>.</v>
          </cell>
        </row>
        <row r="156">
          <cell r="BB156" t="str">
            <v>.</v>
          </cell>
        </row>
        <row r="157">
          <cell r="BB157" t="str">
            <v>.</v>
          </cell>
        </row>
        <row r="158">
          <cell r="BB158" t="str">
            <v>.</v>
          </cell>
        </row>
        <row r="159">
          <cell r="BB159" t="str">
            <v>.</v>
          </cell>
        </row>
        <row r="160">
          <cell r="BB160" t="str">
            <v>.</v>
          </cell>
        </row>
        <row r="161">
          <cell r="BB161" t="str">
            <v>.</v>
          </cell>
        </row>
        <row r="162">
          <cell r="BB162" t="str">
            <v>.</v>
          </cell>
        </row>
        <row r="163">
          <cell r="BB163" t="str">
            <v>.</v>
          </cell>
        </row>
        <row r="164">
          <cell r="BB164" t="str">
            <v>.</v>
          </cell>
        </row>
        <row r="165">
          <cell r="BB165" t="str">
            <v>.</v>
          </cell>
        </row>
        <row r="166">
          <cell r="BB166" t="str">
            <v>.</v>
          </cell>
        </row>
        <row r="167">
          <cell r="BB167" t="str">
            <v>.</v>
          </cell>
        </row>
        <row r="168">
          <cell r="BB168" t="str">
            <v>.</v>
          </cell>
        </row>
        <row r="169">
          <cell r="BB169" t="str">
            <v>.</v>
          </cell>
        </row>
        <row r="170">
          <cell r="BB170" t="str">
            <v>.</v>
          </cell>
        </row>
        <row r="171">
          <cell r="BB171" t="str">
            <v>.</v>
          </cell>
        </row>
        <row r="172">
          <cell r="BB172" t="str">
            <v>.</v>
          </cell>
        </row>
        <row r="173">
          <cell r="BB173" t="str">
            <v>.</v>
          </cell>
        </row>
        <row r="174">
          <cell r="BB174" t="str">
            <v>.</v>
          </cell>
        </row>
        <row r="175">
          <cell r="BB175" t="str">
            <v>.</v>
          </cell>
        </row>
        <row r="176">
          <cell r="BB176" t="str">
            <v>.</v>
          </cell>
        </row>
        <row r="177">
          <cell r="BB177" t="str">
            <v>.</v>
          </cell>
        </row>
        <row r="178">
          <cell r="BB178" t="str">
            <v>.</v>
          </cell>
        </row>
        <row r="179">
          <cell r="BB179" t="str">
            <v>.</v>
          </cell>
        </row>
        <row r="180">
          <cell r="BB180" t="str">
            <v>.</v>
          </cell>
        </row>
        <row r="181">
          <cell r="BB181" t="str">
            <v>.</v>
          </cell>
        </row>
        <row r="182">
          <cell r="BB182" t="str">
            <v>.</v>
          </cell>
        </row>
        <row r="183">
          <cell r="BB183" t="str">
            <v>.</v>
          </cell>
        </row>
        <row r="184">
          <cell r="BB184" t="str">
            <v>.</v>
          </cell>
        </row>
        <row r="185">
          <cell r="BB185" t="str">
            <v>.</v>
          </cell>
        </row>
        <row r="186">
          <cell r="BB186" t="str">
            <v>.</v>
          </cell>
        </row>
        <row r="187">
          <cell r="BB187" t="str">
            <v>.</v>
          </cell>
        </row>
        <row r="188">
          <cell r="BB188" t="str">
            <v>.</v>
          </cell>
        </row>
        <row r="189">
          <cell r="BB189" t="str">
            <v>.</v>
          </cell>
        </row>
        <row r="190">
          <cell r="BB190" t="str">
            <v>.</v>
          </cell>
        </row>
        <row r="191">
          <cell r="BB191" t="str">
            <v>.</v>
          </cell>
        </row>
        <row r="192">
          <cell r="BB192" t="str">
            <v>.</v>
          </cell>
        </row>
        <row r="193">
          <cell r="BB193" t="str">
            <v>.</v>
          </cell>
        </row>
        <row r="194">
          <cell r="BB194" t="str">
            <v>.</v>
          </cell>
        </row>
        <row r="195">
          <cell r="BB195" t="str">
            <v>.</v>
          </cell>
        </row>
        <row r="196">
          <cell r="BB196" t="str">
            <v>.</v>
          </cell>
        </row>
        <row r="197">
          <cell r="BB197" t="str">
            <v>.</v>
          </cell>
        </row>
        <row r="198">
          <cell r="BB198" t="str">
            <v>.</v>
          </cell>
        </row>
        <row r="199">
          <cell r="BB199" t="str">
            <v>.</v>
          </cell>
        </row>
        <row r="200">
          <cell r="BB200" t="str">
            <v>.</v>
          </cell>
        </row>
        <row r="201">
          <cell r="BB201" t="str">
            <v>.</v>
          </cell>
        </row>
        <row r="202">
          <cell r="BB202" t="str">
            <v>.</v>
          </cell>
        </row>
        <row r="203">
          <cell r="BB203" t="str">
            <v>.</v>
          </cell>
        </row>
        <row r="204">
          <cell r="BB204" t="str">
            <v>.</v>
          </cell>
        </row>
        <row r="205">
          <cell r="BB205" t="str">
            <v>.</v>
          </cell>
        </row>
        <row r="206">
          <cell r="BB206" t="str">
            <v>.</v>
          </cell>
        </row>
        <row r="207">
          <cell r="BB207" t="str">
            <v>.</v>
          </cell>
        </row>
        <row r="208">
          <cell r="BB208" t="str">
            <v>.</v>
          </cell>
        </row>
        <row r="209">
          <cell r="BB209" t="str">
            <v>.</v>
          </cell>
        </row>
        <row r="210">
          <cell r="BB210" t="str">
            <v>.</v>
          </cell>
        </row>
        <row r="211">
          <cell r="BB211" t="str">
            <v>.</v>
          </cell>
        </row>
        <row r="212">
          <cell r="BB212" t="str">
            <v>.</v>
          </cell>
        </row>
        <row r="213">
          <cell r="BB213" t="str">
            <v>.</v>
          </cell>
        </row>
        <row r="214">
          <cell r="BB214" t="str">
            <v>.</v>
          </cell>
        </row>
        <row r="215">
          <cell r="BB215" t="str">
            <v>.</v>
          </cell>
        </row>
        <row r="216">
          <cell r="BB216" t="str">
            <v>.</v>
          </cell>
        </row>
        <row r="217">
          <cell r="BB217" t="str">
            <v>.</v>
          </cell>
        </row>
        <row r="218">
          <cell r="BB218" t="str">
            <v>.</v>
          </cell>
        </row>
        <row r="219">
          <cell r="BB219" t="str">
            <v>.</v>
          </cell>
        </row>
        <row r="220">
          <cell r="BB220" t="str">
            <v>.</v>
          </cell>
        </row>
        <row r="221">
          <cell r="BB221" t="str">
            <v>.</v>
          </cell>
        </row>
        <row r="222">
          <cell r="BB222" t="str">
            <v>.</v>
          </cell>
        </row>
        <row r="223">
          <cell r="BB223" t="str">
            <v>.</v>
          </cell>
        </row>
        <row r="224">
          <cell r="BB224" t="str">
            <v>.</v>
          </cell>
        </row>
        <row r="225">
          <cell r="BB225" t="str">
            <v>.</v>
          </cell>
        </row>
        <row r="226">
          <cell r="BB226" t="str">
            <v>.</v>
          </cell>
        </row>
        <row r="227">
          <cell r="BB227" t="str">
            <v>.</v>
          </cell>
        </row>
        <row r="228">
          <cell r="BB228" t="str">
            <v>.</v>
          </cell>
        </row>
        <row r="229">
          <cell r="BB229" t="str">
            <v>.</v>
          </cell>
        </row>
        <row r="230">
          <cell r="BB230" t="str">
            <v>.</v>
          </cell>
        </row>
        <row r="231">
          <cell r="BB231" t="str">
            <v>.</v>
          </cell>
        </row>
        <row r="232">
          <cell r="BB232" t="str">
            <v>.</v>
          </cell>
        </row>
        <row r="233">
          <cell r="BB233" t="str">
            <v>.</v>
          </cell>
        </row>
        <row r="234">
          <cell r="BB234" t="str">
            <v>.</v>
          </cell>
        </row>
        <row r="235">
          <cell r="BB235" t="str">
            <v>.</v>
          </cell>
        </row>
        <row r="236">
          <cell r="BB236" t="str">
            <v>.</v>
          </cell>
        </row>
        <row r="237">
          <cell r="BB237" t="str">
            <v>.</v>
          </cell>
        </row>
        <row r="238">
          <cell r="BB238" t="str">
            <v>.</v>
          </cell>
        </row>
        <row r="239">
          <cell r="BB239" t="str">
            <v>.</v>
          </cell>
        </row>
        <row r="240">
          <cell r="BB240" t="str">
            <v>.</v>
          </cell>
        </row>
        <row r="241">
          <cell r="BB241" t="str">
            <v>.</v>
          </cell>
        </row>
        <row r="242">
          <cell r="BB242" t="str">
            <v>.</v>
          </cell>
        </row>
        <row r="243">
          <cell r="BB243" t="str">
            <v>.</v>
          </cell>
        </row>
        <row r="244">
          <cell r="BB244" t="str">
            <v>.</v>
          </cell>
        </row>
        <row r="245">
          <cell r="BB245" t="str">
            <v>.</v>
          </cell>
        </row>
        <row r="246">
          <cell r="BB246" t="str">
            <v>.</v>
          </cell>
        </row>
        <row r="247">
          <cell r="BB247" t="str">
            <v>.</v>
          </cell>
        </row>
        <row r="248">
          <cell r="BB248" t="str">
            <v>.</v>
          </cell>
        </row>
        <row r="249">
          <cell r="BB249" t="str">
            <v>.</v>
          </cell>
        </row>
        <row r="250">
          <cell r="BB250" t="str">
            <v>.</v>
          </cell>
        </row>
        <row r="251">
          <cell r="BB251" t="str">
            <v>.</v>
          </cell>
        </row>
        <row r="252">
          <cell r="BB252" t="str">
            <v>.</v>
          </cell>
        </row>
        <row r="253">
          <cell r="BB253" t="str">
            <v>.</v>
          </cell>
        </row>
        <row r="254">
          <cell r="BB254" t="str">
            <v>.</v>
          </cell>
        </row>
        <row r="255">
          <cell r="BB255" t="str">
            <v>.</v>
          </cell>
        </row>
        <row r="256">
          <cell r="BB256" t="str">
            <v>.</v>
          </cell>
        </row>
        <row r="257">
          <cell r="BB257" t="str">
            <v>.</v>
          </cell>
        </row>
        <row r="258">
          <cell r="BB258" t="str">
            <v>.</v>
          </cell>
        </row>
        <row r="259">
          <cell r="BB259" t="str">
            <v>.</v>
          </cell>
        </row>
        <row r="260">
          <cell r="BB260" t="str">
            <v>.</v>
          </cell>
        </row>
        <row r="261">
          <cell r="BB261" t="str">
            <v>.</v>
          </cell>
        </row>
        <row r="262">
          <cell r="BB262" t="str">
            <v>.</v>
          </cell>
        </row>
        <row r="263">
          <cell r="BB263" t="str">
            <v>.</v>
          </cell>
        </row>
        <row r="264">
          <cell r="BB264" t="str">
            <v>.</v>
          </cell>
        </row>
        <row r="265">
          <cell r="BB265" t="str">
            <v>.</v>
          </cell>
        </row>
        <row r="266">
          <cell r="BB266" t="str">
            <v>.</v>
          </cell>
        </row>
        <row r="267">
          <cell r="BB267" t="str">
            <v>.</v>
          </cell>
        </row>
        <row r="268">
          <cell r="BB268" t="str">
            <v>.</v>
          </cell>
        </row>
        <row r="269">
          <cell r="BB269" t="str">
            <v>.</v>
          </cell>
        </row>
        <row r="270">
          <cell r="BB270" t="str">
            <v>.</v>
          </cell>
        </row>
        <row r="271">
          <cell r="BB271" t="str">
            <v>.</v>
          </cell>
        </row>
        <row r="272">
          <cell r="BB272" t="str">
            <v>.</v>
          </cell>
        </row>
        <row r="273">
          <cell r="BB273" t="str">
            <v>.</v>
          </cell>
        </row>
        <row r="274">
          <cell r="BB274" t="str">
            <v>.</v>
          </cell>
        </row>
        <row r="275">
          <cell r="BB275" t="str">
            <v>.</v>
          </cell>
        </row>
        <row r="276">
          <cell r="BB276" t="str">
            <v>.</v>
          </cell>
        </row>
        <row r="277">
          <cell r="BB277" t="str">
            <v>.</v>
          </cell>
        </row>
        <row r="278">
          <cell r="BB278" t="str">
            <v>.</v>
          </cell>
        </row>
        <row r="279">
          <cell r="BB279" t="str">
            <v>.</v>
          </cell>
        </row>
        <row r="280">
          <cell r="BB280" t="str">
            <v>.</v>
          </cell>
        </row>
        <row r="281">
          <cell r="BB281" t="str">
            <v>.</v>
          </cell>
        </row>
        <row r="282">
          <cell r="BB282" t="str">
            <v>.</v>
          </cell>
        </row>
        <row r="283">
          <cell r="BB283" t="str">
            <v>.</v>
          </cell>
        </row>
        <row r="284">
          <cell r="BB284" t="str">
            <v>.</v>
          </cell>
        </row>
        <row r="285">
          <cell r="BB285" t="str">
            <v>.</v>
          </cell>
        </row>
        <row r="286">
          <cell r="BB286" t="str">
            <v>.</v>
          </cell>
        </row>
        <row r="287">
          <cell r="BB287" t="str">
            <v>.</v>
          </cell>
        </row>
        <row r="288">
          <cell r="BB288" t="str">
            <v>.</v>
          </cell>
        </row>
        <row r="289">
          <cell r="BB289" t="str">
            <v>.</v>
          </cell>
        </row>
        <row r="290">
          <cell r="BB290" t="str">
            <v>.</v>
          </cell>
        </row>
        <row r="291">
          <cell r="BB291" t="str">
            <v>.</v>
          </cell>
        </row>
        <row r="292">
          <cell r="BB292" t="str">
            <v>.</v>
          </cell>
        </row>
        <row r="293">
          <cell r="BB293" t="str">
            <v>.</v>
          </cell>
        </row>
        <row r="294">
          <cell r="BB294" t="str">
            <v>.</v>
          </cell>
        </row>
        <row r="295">
          <cell r="BB295" t="str">
            <v>.</v>
          </cell>
        </row>
        <row r="296">
          <cell r="BB296" t="str">
            <v>.</v>
          </cell>
        </row>
        <row r="297">
          <cell r="BB297" t="str">
            <v>.</v>
          </cell>
        </row>
        <row r="298">
          <cell r="BB298" t="str">
            <v>.</v>
          </cell>
        </row>
        <row r="299">
          <cell r="BB299" t="str">
            <v>.</v>
          </cell>
        </row>
        <row r="300">
          <cell r="BB300" t="str">
            <v>.</v>
          </cell>
        </row>
        <row r="301">
          <cell r="BB301" t="str">
            <v>.</v>
          </cell>
        </row>
        <row r="302">
          <cell r="BB302" t="str">
            <v>.</v>
          </cell>
        </row>
        <row r="303">
          <cell r="BB303" t="str">
            <v>.</v>
          </cell>
        </row>
        <row r="304">
          <cell r="BB304" t="str">
            <v>.</v>
          </cell>
        </row>
        <row r="305">
          <cell r="BB305" t="str">
            <v>.</v>
          </cell>
        </row>
        <row r="306">
          <cell r="BB306" t="str">
            <v>.</v>
          </cell>
        </row>
        <row r="307">
          <cell r="BB307" t="str">
            <v>.</v>
          </cell>
        </row>
        <row r="308">
          <cell r="BB308" t="str">
            <v>.</v>
          </cell>
        </row>
        <row r="309">
          <cell r="BB309" t="str">
            <v>.</v>
          </cell>
        </row>
        <row r="310">
          <cell r="BB310" t="str">
            <v>.</v>
          </cell>
        </row>
        <row r="311">
          <cell r="BB311" t="str">
            <v>.</v>
          </cell>
        </row>
        <row r="312">
          <cell r="BB312" t="str">
            <v>.</v>
          </cell>
        </row>
        <row r="313">
          <cell r="BB313" t="str">
            <v>.</v>
          </cell>
        </row>
        <row r="314">
          <cell r="BB314" t="str">
            <v>.</v>
          </cell>
        </row>
        <row r="315">
          <cell r="BB315" t="str">
            <v>.</v>
          </cell>
        </row>
        <row r="316">
          <cell r="BB316" t="str">
            <v>.</v>
          </cell>
        </row>
        <row r="317">
          <cell r="BB317" t="str">
            <v>.</v>
          </cell>
        </row>
        <row r="318">
          <cell r="BB318" t="str">
            <v>.</v>
          </cell>
        </row>
        <row r="319">
          <cell r="BB319" t="str">
            <v>.</v>
          </cell>
        </row>
        <row r="320">
          <cell r="BB320" t="str">
            <v>.</v>
          </cell>
        </row>
        <row r="321">
          <cell r="BB321" t="str">
            <v>.</v>
          </cell>
        </row>
        <row r="322">
          <cell r="BB322" t="str">
            <v>.</v>
          </cell>
        </row>
        <row r="323">
          <cell r="BB323" t="str">
            <v>.</v>
          </cell>
        </row>
        <row r="324">
          <cell r="BB324" t="str">
            <v>.</v>
          </cell>
        </row>
        <row r="325">
          <cell r="BB325" t="str">
            <v>.</v>
          </cell>
        </row>
        <row r="326">
          <cell r="BB326" t="str">
            <v>.</v>
          </cell>
        </row>
        <row r="327">
          <cell r="BB327" t="str">
            <v>.</v>
          </cell>
        </row>
        <row r="328">
          <cell r="BB328" t="str">
            <v>.</v>
          </cell>
        </row>
        <row r="329">
          <cell r="BB329" t="str">
            <v>.</v>
          </cell>
        </row>
        <row r="330">
          <cell r="BB330" t="str">
            <v>.</v>
          </cell>
        </row>
        <row r="331">
          <cell r="BB331" t="str">
            <v>.</v>
          </cell>
        </row>
        <row r="332">
          <cell r="BB332" t="str">
            <v>.</v>
          </cell>
        </row>
        <row r="333">
          <cell r="BB333" t="str">
            <v>.</v>
          </cell>
        </row>
        <row r="334">
          <cell r="BB334" t="str">
            <v>.</v>
          </cell>
        </row>
        <row r="335">
          <cell r="BB335" t="str">
            <v>.</v>
          </cell>
        </row>
        <row r="336">
          <cell r="BB336" t="str">
            <v>.</v>
          </cell>
        </row>
        <row r="337">
          <cell r="BB337" t="str">
            <v>.</v>
          </cell>
        </row>
        <row r="338">
          <cell r="BB338" t="str">
            <v>.</v>
          </cell>
        </row>
        <row r="339">
          <cell r="BB339" t="str">
            <v>.</v>
          </cell>
        </row>
        <row r="340">
          <cell r="BB340" t="str">
            <v>.</v>
          </cell>
        </row>
        <row r="341">
          <cell r="BB341" t="str">
            <v>.</v>
          </cell>
        </row>
        <row r="342">
          <cell r="BB342" t="str">
            <v>.</v>
          </cell>
        </row>
        <row r="343">
          <cell r="BB343" t="str">
            <v>.</v>
          </cell>
        </row>
        <row r="344">
          <cell r="BB344" t="str">
            <v>.</v>
          </cell>
        </row>
        <row r="345">
          <cell r="BB345" t="str">
            <v>.</v>
          </cell>
        </row>
        <row r="346">
          <cell r="BB346" t="str">
            <v>.</v>
          </cell>
        </row>
        <row r="347">
          <cell r="BB347" t="str">
            <v>.</v>
          </cell>
        </row>
        <row r="348">
          <cell r="BB348" t="str">
            <v>.</v>
          </cell>
        </row>
        <row r="349">
          <cell r="BB349" t="str">
            <v>.</v>
          </cell>
        </row>
        <row r="350">
          <cell r="BB350" t="str">
            <v>.</v>
          </cell>
        </row>
        <row r="351">
          <cell r="BB351" t="str">
            <v>.</v>
          </cell>
        </row>
        <row r="352">
          <cell r="BB352" t="str">
            <v>.</v>
          </cell>
        </row>
        <row r="353">
          <cell r="BB353" t="str">
            <v>.</v>
          </cell>
        </row>
        <row r="354">
          <cell r="BB354" t="str">
            <v>.</v>
          </cell>
        </row>
        <row r="355">
          <cell r="BB355" t="str">
            <v>.</v>
          </cell>
        </row>
        <row r="356">
          <cell r="BB356" t="str">
            <v>.</v>
          </cell>
        </row>
        <row r="357">
          <cell r="BB357" t="str">
            <v>.</v>
          </cell>
        </row>
        <row r="358">
          <cell r="BB358" t="str">
            <v>.</v>
          </cell>
        </row>
        <row r="359">
          <cell r="BB359" t="str">
            <v>.</v>
          </cell>
        </row>
        <row r="360">
          <cell r="BB360" t="str">
            <v>.</v>
          </cell>
        </row>
        <row r="361">
          <cell r="BB361" t="str">
            <v>.</v>
          </cell>
        </row>
        <row r="362">
          <cell r="BB362" t="str">
            <v>.</v>
          </cell>
        </row>
        <row r="363">
          <cell r="BB363" t="str">
            <v>.</v>
          </cell>
        </row>
        <row r="364">
          <cell r="BB364" t="str">
            <v>.</v>
          </cell>
        </row>
        <row r="365">
          <cell r="BB365" t="str">
            <v>.</v>
          </cell>
        </row>
        <row r="366">
          <cell r="BB366" t="str">
            <v>.</v>
          </cell>
        </row>
        <row r="367">
          <cell r="BB367" t="str">
            <v>.</v>
          </cell>
        </row>
        <row r="368">
          <cell r="BB368" t="str">
            <v>.</v>
          </cell>
        </row>
        <row r="369">
          <cell r="BB369" t="str">
            <v>.</v>
          </cell>
        </row>
        <row r="370">
          <cell r="BB370" t="str">
            <v>.</v>
          </cell>
        </row>
        <row r="371">
          <cell r="BB371" t="str">
            <v>.</v>
          </cell>
        </row>
        <row r="372">
          <cell r="BB372" t="str">
            <v>.</v>
          </cell>
        </row>
        <row r="373">
          <cell r="BB373" t="str">
            <v>.</v>
          </cell>
        </row>
        <row r="374">
          <cell r="BB374" t="str">
            <v>.</v>
          </cell>
        </row>
        <row r="375">
          <cell r="BB375" t="str">
            <v>.</v>
          </cell>
        </row>
        <row r="376">
          <cell r="BB376" t="str">
            <v>.</v>
          </cell>
        </row>
        <row r="377">
          <cell r="BB377" t="str">
            <v>.</v>
          </cell>
        </row>
        <row r="378">
          <cell r="BB378" t="str">
            <v>.</v>
          </cell>
        </row>
        <row r="379">
          <cell r="BB379" t="str">
            <v>.</v>
          </cell>
        </row>
        <row r="380">
          <cell r="BB380" t="str">
            <v>.</v>
          </cell>
        </row>
        <row r="381">
          <cell r="BB381" t="str">
            <v>.</v>
          </cell>
        </row>
        <row r="382">
          <cell r="BB382" t="str">
            <v>.</v>
          </cell>
        </row>
        <row r="383">
          <cell r="BB383" t="str">
            <v>.</v>
          </cell>
        </row>
        <row r="384">
          <cell r="BB384" t="str">
            <v>.</v>
          </cell>
        </row>
        <row r="385">
          <cell r="BB385" t="str">
            <v>.</v>
          </cell>
        </row>
        <row r="386">
          <cell r="BB386" t="str">
            <v>.</v>
          </cell>
        </row>
        <row r="387">
          <cell r="BB387" t="str">
            <v>.</v>
          </cell>
        </row>
        <row r="388">
          <cell r="BB388" t="str">
            <v>.</v>
          </cell>
        </row>
        <row r="389">
          <cell r="BB389" t="str">
            <v>.</v>
          </cell>
        </row>
        <row r="390">
          <cell r="BB390" t="str">
            <v>.</v>
          </cell>
        </row>
        <row r="391">
          <cell r="BB391" t="str">
            <v>.</v>
          </cell>
        </row>
        <row r="392">
          <cell r="BB392" t="str">
            <v>.</v>
          </cell>
        </row>
        <row r="393">
          <cell r="BB393" t="str">
            <v>.</v>
          </cell>
        </row>
        <row r="394">
          <cell r="BB394" t="str">
            <v>.</v>
          </cell>
        </row>
        <row r="395">
          <cell r="BB395" t="str">
            <v>.</v>
          </cell>
        </row>
        <row r="396">
          <cell r="BB396" t="str">
            <v>.</v>
          </cell>
        </row>
        <row r="397">
          <cell r="BB397" t="str">
            <v>.</v>
          </cell>
        </row>
        <row r="398">
          <cell r="BB398" t="str">
            <v>.</v>
          </cell>
        </row>
        <row r="399">
          <cell r="BB399" t="str">
            <v>.</v>
          </cell>
        </row>
        <row r="400">
          <cell r="BB400" t="str">
            <v>.</v>
          </cell>
        </row>
        <row r="401">
          <cell r="BB401" t="str">
            <v>.</v>
          </cell>
        </row>
        <row r="402">
          <cell r="BB402" t="str">
            <v>.</v>
          </cell>
        </row>
        <row r="403">
          <cell r="BB403" t="str">
            <v>.</v>
          </cell>
        </row>
        <row r="404">
          <cell r="BB404" t="str">
            <v>.</v>
          </cell>
        </row>
        <row r="405">
          <cell r="BB405" t="str">
            <v>.</v>
          </cell>
        </row>
        <row r="406">
          <cell r="BB406" t="str">
            <v>.</v>
          </cell>
        </row>
        <row r="407">
          <cell r="BB407" t="str">
            <v>.</v>
          </cell>
        </row>
        <row r="408">
          <cell r="BB408" t="str">
            <v>.</v>
          </cell>
        </row>
        <row r="409">
          <cell r="BB409" t="str">
            <v>.</v>
          </cell>
        </row>
        <row r="410">
          <cell r="BB410" t="str">
            <v>.</v>
          </cell>
        </row>
        <row r="411">
          <cell r="BB411" t="str">
            <v>.</v>
          </cell>
        </row>
        <row r="412">
          <cell r="BB412" t="str">
            <v>.</v>
          </cell>
        </row>
        <row r="413">
          <cell r="BB413" t="str">
            <v>.</v>
          </cell>
        </row>
        <row r="414">
          <cell r="BB414" t="str">
            <v>.</v>
          </cell>
        </row>
        <row r="415">
          <cell r="BB415" t="str">
            <v>.</v>
          </cell>
        </row>
        <row r="416">
          <cell r="BB416" t="str">
            <v>.</v>
          </cell>
        </row>
        <row r="417">
          <cell r="BB417" t="str">
            <v>.</v>
          </cell>
        </row>
        <row r="418">
          <cell r="BB418" t="str">
            <v>.</v>
          </cell>
        </row>
        <row r="419">
          <cell r="BB419" t="str">
            <v>.</v>
          </cell>
        </row>
        <row r="420">
          <cell r="BB420" t="str">
            <v>.</v>
          </cell>
        </row>
        <row r="421">
          <cell r="BB421" t="str">
            <v>.</v>
          </cell>
        </row>
        <row r="422">
          <cell r="BB422" t="str">
            <v>.</v>
          </cell>
        </row>
        <row r="423">
          <cell r="BB423" t="str">
            <v>.</v>
          </cell>
        </row>
        <row r="424">
          <cell r="BB424" t="str">
            <v>.</v>
          </cell>
        </row>
        <row r="425">
          <cell r="BB425" t="str">
            <v>.</v>
          </cell>
        </row>
        <row r="426">
          <cell r="BB426" t="str">
            <v>.</v>
          </cell>
        </row>
        <row r="427">
          <cell r="BB427" t="str">
            <v>.</v>
          </cell>
        </row>
        <row r="428">
          <cell r="BB428" t="str">
            <v>.</v>
          </cell>
        </row>
        <row r="429">
          <cell r="BB429" t="str">
            <v>.</v>
          </cell>
        </row>
        <row r="430">
          <cell r="BB430" t="str">
            <v>.</v>
          </cell>
        </row>
        <row r="431">
          <cell r="BB431" t="str">
            <v>.</v>
          </cell>
        </row>
        <row r="432">
          <cell r="BB432" t="str">
            <v>.</v>
          </cell>
        </row>
        <row r="433">
          <cell r="BB433" t="str">
            <v>.</v>
          </cell>
        </row>
        <row r="434">
          <cell r="BB434" t="str">
            <v>.</v>
          </cell>
        </row>
        <row r="435">
          <cell r="BB435" t="str">
            <v>.</v>
          </cell>
        </row>
        <row r="436">
          <cell r="BB436" t="str">
            <v>.</v>
          </cell>
        </row>
        <row r="437">
          <cell r="BB437" t="str">
            <v>.</v>
          </cell>
        </row>
        <row r="438">
          <cell r="BB438" t="str">
            <v>.</v>
          </cell>
        </row>
        <row r="439">
          <cell r="BB439" t="str">
            <v>.</v>
          </cell>
        </row>
        <row r="440">
          <cell r="BB440" t="str">
            <v>.</v>
          </cell>
        </row>
        <row r="441">
          <cell r="BB441" t="str">
            <v>.</v>
          </cell>
        </row>
        <row r="442">
          <cell r="BB442" t="str">
            <v>.</v>
          </cell>
        </row>
        <row r="443">
          <cell r="BB443" t="str">
            <v>.</v>
          </cell>
        </row>
        <row r="444">
          <cell r="BB444" t="str">
            <v>.</v>
          </cell>
        </row>
        <row r="445">
          <cell r="BB445" t="str">
            <v>.</v>
          </cell>
        </row>
        <row r="446">
          <cell r="BB446" t="str">
            <v>.</v>
          </cell>
        </row>
        <row r="447">
          <cell r="BB447" t="str">
            <v>.</v>
          </cell>
        </row>
        <row r="448">
          <cell r="BB448" t="str">
            <v>.</v>
          </cell>
        </row>
        <row r="449">
          <cell r="BB449" t="str">
            <v>.</v>
          </cell>
        </row>
        <row r="450">
          <cell r="BB450" t="str">
            <v>.</v>
          </cell>
        </row>
        <row r="451">
          <cell r="BB451" t="str">
            <v>.</v>
          </cell>
        </row>
        <row r="452">
          <cell r="BB452" t="str">
            <v>.</v>
          </cell>
        </row>
        <row r="453">
          <cell r="BB453" t="str">
            <v>.</v>
          </cell>
        </row>
        <row r="454">
          <cell r="BB454" t="str">
            <v>.</v>
          </cell>
        </row>
        <row r="455">
          <cell r="BB455" t="str">
            <v>.</v>
          </cell>
        </row>
        <row r="456">
          <cell r="BB456" t="str">
            <v>.</v>
          </cell>
        </row>
        <row r="457">
          <cell r="BB457" t="str">
            <v>.</v>
          </cell>
        </row>
        <row r="458">
          <cell r="BB458" t="str">
            <v>.</v>
          </cell>
        </row>
        <row r="459">
          <cell r="BB459" t="str">
            <v>.</v>
          </cell>
        </row>
        <row r="460">
          <cell r="BB460" t="str">
            <v>.</v>
          </cell>
        </row>
        <row r="461">
          <cell r="BB461" t="str">
            <v>.</v>
          </cell>
        </row>
        <row r="462">
          <cell r="BB462" t="str">
            <v>.</v>
          </cell>
        </row>
        <row r="463">
          <cell r="BB463" t="str">
            <v>.</v>
          </cell>
        </row>
        <row r="464">
          <cell r="BB464" t="str">
            <v>.</v>
          </cell>
        </row>
        <row r="465">
          <cell r="BB465" t="str">
            <v>.</v>
          </cell>
        </row>
        <row r="466">
          <cell r="BB466" t="str">
            <v>.</v>
          </cell>
        </row>
        <row r="467">
          <cell r="BB467" t="str">
            <v>.</v>
          </cell>
        </row>
        <row r="468">
          <cell r="BB468" t="str">
            <v>.</v>
          </cell>
        </row>
        <row r="469">
          <cell r="BB469" t="str">
            <v>.</v>
          </cell>
        </row>
        <row r="470">
          <cell r="BB470" t="str">
            <v>.</v>
          </cell>
        </row>
        <row r="471">
          <cell r="BB471" t="str">
            <v>.</v>
          </cell>
        </row>
        <row r="472">
          <cell r="BB472" t="str">
            <v>.</v>
          </cell>
        </row>
        <row r="473">
          <cell r="BB473" t="str">
            <v>.</v>
          </cell>
        </row>
        <row r="474">
          <cell r="BB474" t="str">
            <v>.</v>
          </cell>
        </row>
        <row r="475">
          <cell r="BB475" t="str">
            <v>.</v>
          </cell>
        </row>
        <row r="476">
          <cell r="BB476" t="str">
            <v>.</v>
          </cell>
        </row>
        <row r="477">
          <cell r="BB477" t="str">
            <v>.</v>
          </cell>
        </row>
        <row r="478">
          <cell r="BB478" t="str">
            <v>.</v>
          </cell>
        </row>
        <row r="479">
          <cell r="BB479" t="str">
            <v>.</v>
          </cell>
        </row>
        <row r="480">
          <cell r="BB480" t="str">
            <v>.</v>
          </cell>
        </row>
        <row r="481">
          <cell r="BB481" t="str">
            <v>.</v>
          </cell>
        </row>
        <row r="482">
          <cell r="BB482" t="str">
            <v>.</v>
          </cell>
        </row>
        <row r="483">
          <cell r="BB483" t="str">
            <v>.</v>
          </cell>
        </row>
        <row r="484">
          <cell r="BB484" t="str">
            <v>.</v>
          </cell>
        </row>
        <row r="485">
          <cell r="BB485" t="str">
            <v>.</v>
          </cell>
        </row>
        <row r="486">
          <cell r="BB486" t="str">
            <v>.</v>
          </cell>
        </row>
        <row r="487">
          <cell r="BB487" t="str">
            <v>.</v>
          </cell>
        </row>
        <row r="488">
          <cell r="BB488" t="str">
            <v>.</v>
          </cell>
        </row>
        <row r="489">
          <cell r="BB489" t="str">
            <v>.</v>
          </cell>
        </row>
        <row r="490">
          <cell r="BB490" t="str">
            <v>.</v>
          </cell>
        </row>
        <row r="491">
          <cell r="BB491" t="str">
            <v>.</v>
          </cell>
        </row>
        <row r="492">
          <cell r="BB492" t="str">
            <v>.</v>
          </cell>
        </row>
        <row r="493">
          <cell r="BB493" t="str">
            <v>.</v>
          </cell>
        </row>
        <row r="494">
          <cell r="BB494" t="str">
            <v>.</v>
          </cell>
        </row>
        <row r="495">
          <cell r="BB495" t="str">
            <v>.</v>
          </cell>
        </row>
        <row r="496">
          <cell r="BB496" t="str">
            <v>.</v>
          </cell>
        </row>
        <row r="497">
          <cell r="BB497" t="str">
            <v>.</v>
          </cell>
        </row>
        <row r="498">
          <cell r="BB498" t="str">
            <v>.</v>
          </cell>
        </row>
        <row r="499">
          <cell r="BB499" t="str">
            <v>.</v>
          </cell>
        </row>
        <row r="500">
          <cell r="BB500" t="str">
            <v>.</v>
          </cell>
        </row>
        <row r="501">
          <cell r="BB501" t="str">
            <v>.</v>
          </cell>
        </row>
        <row r="502">
          <cell r="BB502" t="str">
            <v>.</v>
          </cell>
        </row>
        <row r="503">
          <cell r="BB503" t="str">
            <v>.</v>
          </cell>
        </row>
        <row r="504">
          <cell r="BB504" t="str">
            <v>.</v>
          </cell>
        </row>
        <row r="505">
          <cell r="BB505" t="str">
            <v>.</v>
          </cell>
        </row>
        <row r="506">
          <cell r="BB506" t="str">
            <v>.</v>
          </cell>
        </row>
        <row r="507">
          <cell r="BB507" t="str">
            <v>.</v>
          </cell>
        </row>
        <row r="508">
          <cell r="BB508" t="str">
            <v>.</v>
          </cell>
        </row>
        <row r="509">
          <cell r="BB509" t="str">
            <v>.</v>
          </cell>
        </row>
        <row r="510">
          <cell r="BB510" t="str">
            <v>.</v>
          </cell>
        </row>
        <row r="511">
          <cell r="BB511" t="str">
            <v>.</v>
          </cell>
        </row>
        <row r="512">
          <cell r="BB512" t="str">
            <v>.</v>
          </cell>
        </row>
        <row r="513">
          <cell r="BB513" t="str">
            <v>.</v>
          </cell>
        </row>
        <row r="514">
          <cell r="BB514" t="str">
            <v>.</v>
          </cell>
        </row>
        <row r="515">
          <cell r="BB515" t="str">
            <v>.</v>
          </cell>
        </row>
        <row r="516">
          <cell r="BB516" t="str">
            <v>.</v>
          </cell>
        </row>
        <row r="517">
          <cell r="BB517" t="str">
            <v>.</v>
          </cell>
        </row>
        <row r="518">
          <cell r="BB518" t="str">
            <v>.</v>
          </cell>
        </row>
        <row r="519">
          <cell r="BB519" t="str">
            <v>.</v>
          </cell>
        </row>
        <row r="520">
          <cell r="BB520" t="str">
            <v>.</v>
          </cell>
        </row>
        <row r="521">
          <cell r="BB521" t="str">
            <v>.</v>
          </cell>
        </row>
        <row r="522">
          <cell r="BB522" t="str">
            <v>.</v>
          </cell>
        </row>
        <row r="523">
          <cell r="BB523" t="str">
            <v>.</v>
          </cell>
        </row>
        <row r="524">
          <cell r="BB524" t="str">
            <v>.</v>
          </cell>
        </row>
        <row r="525">
          <cell r="BB525" t="str">
            <v>.</v>
          </cell>
        </row>
        <row r="526">
          <cell r="BB526" t="str">
            <v>.</v>
          </cell>
        </row>
        <row r="527">
          <cell r="BB527" t="str">
            <v>.</v>
          </cell>
        </row>
        <row r="528">
          <cell r="BB528" t="str">
            <v>.</v>
          </cell>
        </row>
        <row r="529">
          <cell r="BB529" t="str">
            <v>.</v>
          </cell>
        </row>
        <row r="530">
          <cell r="BB530" t="str">
            <v>.</v>
          </cell>
        </row>
        <row r="531">
          <cell r="BB531" t="str">
            <v>.</v>
          </cell>
        </row>
        <row r="532">
          <cell r="BB532" t="str">
            <v>.</v>
          </cell>
        </row>
        <row r="533">
          <cell r="BB533" t="str">
            <v>.</v>
          </cell>
        </row>
        <row r="534">
          <cell r="BB534" t="str">
            <v>.</v>
          </cell>
        </row>
        <row r="535">
          <cell r="BB535" t="str">
            <v>.</v>
          </cell>
        </row>
        <row r="536">
          <cell r="BB536" t="str">
            <v>.</v>
          </cell>
        </row>
        <row r="537">
          <cell r="BB537" t="str">
            <v>.</v>
          </cell>
        </row>
        <row r="538">
          <cell r="BB538" t="str">
            <v>.</v>
          </cell>
        </row>
        <row r="539">
          <cell r="BB539" t="str">
            <v>.</v>
          </cell>
        </row>
        <row r="540">
          <cell r="BB540" t="str">
            <v>.</v>
          </cell>
        </row>
        <row r="541">
          <cell r="BB541" t="str">
            <v>.</v>
          </cell>
        </row>
        <row r="542">
          <cell r="BB542" t="str">
            <v>.</v>
          </cell>
        </row>
        <row r="543">
          <cell r="BB543" t="str">
            <v>.</v>
          </cell>
        </row>
        <row r="544">
          <cell r="BB544" t="str">
            <v>.</v>
          </cell>
        </row>
        <row r="545">
          <cell r="BB545" t="str">
            <v>.</v>
          </cell>
        </row>
        <row r="546">
          <cell r="BB546" t="str">
            <v>.</v>
          </cell>
        </row>
        <row r="547">
          <cell r="BB547" t="str">
            <v>.</v>
          </cell>
        </row>
        <row r="548">
          <cell r="BB548" t="str">
            <v>.</v>
          </cell>
        </row>
        <row r="549">
          <cell r="BB549" t="str">
            <v>.</v>
          </cell>
        </row>
        <row r="550">
          <cell r="BB550" t="str">
            <v>.</v>
          </cell>
        </row>
        <row r="551">
          <cell r="BB551" t="str">
            <v>.</v>
          </cell>
        </row>
        <row r="552">
          <cell r="BB552" t="str">
            <v>.</v>
          </cell>
        </row>
        <row r="553">
          <cell r="BB553" t="str">
            <v>.</v>
          </cell>
        </row>
        <row r="554">
          <cell r="BB554" t="str">
            <v>.</v>
          </cell>
        </row>
        <row r="555">
          <cell r="BB555" t="str">
            <v>.</v>
          </cell>
        </row>
        <row r="556">
          <cell r="BB556" t="str">
            <v>.</v>
          </cell>
        </row>
        <row r="557">
          <cell r="BB557" t="str">
            <v>.</v>
          </cell>
        </row>
        <row r="558">
          <cell r="BB558" t="str">
            <v>.</v>
          </cell>
        </row>
        <row r="559">
          <cell r="BB559" t="str">
            <v>.</v>
          </cell>
        </row>
        <row r="560">
          <cell r="BB560" t="str">
            <v>.</v>
          </cell>
        </row>
        <row r="561">
          <cell r="BB561" t="str">
            <v>.</v>
          </cell>
        </row>
        <row r="562">
          <cell r="BB562" t="str">
            <v>.</v>
          </cell>
        </row>
        <row r="563">
          <cell r="BB563" t="str">
            <v>.</v>
          </cell>
        </row>
        <row r="564">
          <cell r="BB564" t="str">
            <v>.</v>
          </cell>
        </row>
        <row r="565">
          <cell r="BB565" t="str">
            <v>.</v>
          </cell>
        </row>
        <row r="566">
          <cell r="BB566" t="str">
            <v>.</v>
          </cell>
        </row>
        <row r="567">
          <cell r="BB567" t="str">
            <v>.</v>
          </cell>
        </row>
        <row r="568">
          <cell r="BB568" t="str">
            <v>.</v>
          </cell>
        </row>
        <row r="569">
          <cell r="BB569" t="str">
            <v>.</v>
          </cell>
        </row>
        <row r="570">
          <cell r="BB570" t="str">
            <v>.</v>
          </cell>
        </row>
        <row r="571">
          <cell r="BB571" t="str">
            <v>.</v>
          </cell>
        </row>
        <row r="572">
          <cell r="BB572" t="str">
            <v>.</v>
          </cell>
        </row>
        <row r="573">
          <cell r="BB573" t="str">
            <v>.</v>
          </cell>
        </row>
        <row r="574">
          <cell r="BB574" t="str">
            <v>.</v>
          </cell>
        </row>
        <row r="575">
          <cell r="BB575" t="str">
            <v>.</v>
          </cell>
        </row>
        <row r="576">
          <cell r="BB576" t="str">
            <v>.</v>
          </cell>
        </row>
        <row r="577">
          <cell r="BB577" t="str">
            <v>.</v>
          </cell>
        </row>
        <row r="578">
          <cell r="BB578" t="str">
            <v>.</v>
          </cell>
        </row>
        <row r="579">
          <cell r="BB579" t="str">
            <v>.</v>
          </cell>
        </row>
        <row r="580">
          <cell r="BB580" t="str">
            <v>.</v>
          </cell>
        </row>
        <row r="581">
          <cell r="BB581" t="str">
            <v>.</v>
          </cell>
        </row>
        <row r="582">
          <cell r="BB582" t="str">
            <v>.</v>
          </cell>
        </row>
        <row r="583">
          <cell r="BB583" t="str">
            <v>.</v>
          </cell>
        </row>
        <row r="584">
          <cell r="BB584" t="str">
            <v>.</v>
          </cell>
        </row>
        <row r="585">
          <cell r="BB585" t="str">
            <v>.</v>
          </cell>
        </row>
        <row r="586">
          <cell r="BB586" t="str">
            <v>.</v>
          </cell>
        </row>
        <row r="587">
          <cell r="BB587" t="str">
            <v>.</v>
          </cell>
        </row>
        <row r="588">
          <cell r="BB588" t="str">
            <v>.</v>
          </cell>
        </row>
        <row r="589">
          <cell r="BB589" t="str">
            <v>.</v>
          </cell>
        </row>
        <row r="590">
          <cell r="BB590" t="str">
            <v>.</v>
          </cell>
        </row>
        <row r="591">
          <cell r="BB591" t="str">
            <v>.</v>
          </cell>
        </row>
        <row r="592">
          <cell r="BB592" t="str">
            <v>.</v>
          </cell>
        </row>
        <row r="593">
          <cell r="BB593" t="str">
            <v>.</v>
          </cell>
        </row>
        <row r="594">
          <cell r="BB594" t="str">
            <v>.</v>
          </cell>
        </row>
        <row r="595">
          <cell r="BB595" t="str">
            <v>.</v>
          </cell>
        </row>
        <row r="596">
          <cell r="BB596" t="str">
            <v>.</v>
          </cell>
        </row>
        <row r="597">
          <cell r="BB597" t="str">
            <v>.</v>
          </cell>
        </row>
        <row r="598">
          <cell r="BB598" t="str">
            <v>.</v>
          </cell>
        </row>
        <row r="599">
          <cell r="BB599" t="str">
            <v>.</v>
          </cell>
        </row>
        <row r="600">
          <cell r="BB600" t="str">
            <v>.</v>
          </cell>
        </row>
        <row r="601">
          <cell r="BB601" t="str">
            <v>.</v>
          </cell>
        </row>
        <row r="602">
          <cell r="BB602" t="str">
            <v>.</v>
          </cell>
        </row>
        <row r="603">
          <cell r="BB603" t="str">
            <v>.</v>
          </cell>
        </row>
        <row r="604">
          <cell r="BB604" t="str">
            <v>.</v>
          </cell>
        </row>
        <row r="605">
          <cell r="BB605" t="str">
            <v>.</v>
          </cell>
        </row>
        <row r="606">
          <cell r="BB606" t="str">
            <v>.</v>
          </cell>
        </row>
        <row r="607">
          <cell r="BB607" t="str">
            <v>.</v>
          </cell>
        </row>
        <row r="608">
          <cell r="BB608" t="str">
            <v>.</v>
          </cell>
        </row>
        <row r="609">
          <cell r="BB609" t="str">
            <v>.</v>
          </cell>
        </row>
        <row r="610">
          <cell r="BB610" t="str">
            <v>.</v>
          </cell>
        </row>
        <row r="611">
          <cell r="BB611" t="str">
            <v>.</v>
          </cell>
        </row>
        <row r="612">
          <cell r="BB612" t="str">
            <v>.</v>
          </cell>
        </row>
        <row r="613">
          <cell r="BB613" t="str">
            <v>.</v>
          </cell>
        </row>
        <row r="614">
          <cell r="BB614" t="str">
            <v>.</v>
          </cell>
        </row>
        <row r="615">
          <cell r="BB615" t="str">
            <v>.</v>
          </cell>
        </row>
        <row r="616">
          <cell r="BB616" t="str">
            <v>.</v>
          </cell>
        </row>
        <row r="617">
          <cell r="BB617" t="str">
            <v>.</v>
          </cell>
        </row>
        <row r="618">
          <cell r="BB618" t="str">
            <v>.</v>
          </cell>
        </row>
        <row r="619">
          <cell r="BB619" t="str">
            <v>.</v>
          </cell>
        </row>
        <row r="620">
          <cell r="BB620" t="str">
            <v>.</v>
          </cell>
        </row>
        <row r="621">
          <cell r="BB621" t="str">
            <v>.</v>
          </cell>
        </row>
        <row r="622">
          <cell r="BB622" t="str">
            <v>.</v>
          </cell>
        </row>
        <row r="623">
          <cell r="BB623" t="str">
            <v>.</v>
          </cell>
        </row>
        <row r="624">
          <cell r="BB624" t="str">
            <v>.</v>
          </cell>
        </row>
        <row r="625">
          <cell r="BB625" t="str">
            <v>.</v>
          </cell>
        </row>
        <row r="626">
          <cell r="BB626" t="str">
            <v>.</v>
          </cell>
        </row>
        <row r="627">
          <cell r="BB627" t="str">
            <v>.</v>
          </cell>
        </row>
        <row r="628">
          <cell r="BB628" t="str">
            <v>.</v>
          </cell>
        </row>
        <row r="629">
          <cell r="BB629" t="str">
            <v>.</v>
          </cell>
        </row>
        <row r="630">
          <cell r="BB630" t="str">
            <v>.</v>
          </cell>
        </row>
        <row r="631">
          <cell r="BB631" t="str">
            <v>.</v>
          </cell>
        </row>
        <row r="632">
          <cell r="BB632" t="str">
            <v>.</v>
          </cell>
        </row>
        <row r="633">
          <cell r="BB633" t="str">
            <v>.</v>
          </cell>
        </row>
        <row r="634">
          <cell r="BB634" t="str">
            <v>.</v>
          </cell>
        </row>
        <row r="635">
          <cell r="BB635" t="str">
            <v>.</v>
          </cell>
        </row>
        <row r="636">
          <cell r="BB636" t="str">
            <v>.</v>
          </cell>
        </row>
        <row r="637">
          <cell r="BB637" t="str">
            <v>.</v>
          </cell>
        </row>
        <row r="638">
          <cell r="BB638" t="str">
            <v>.</v>
          </cell>
        </row>
        <row r="639">
          <cell r="BB639" t="str">
            <v>.</v>
          </cell>
        </row>
        <row r="640">
          <cell r="BB640" t="str">
            <v>.</v>
          </cell>
        </row>
        <row r="641">
          <cell r="BB641" t="str">
            <v>.</v>
          </cell>
        </row>
        <row r="642">
          <cell r="BB642" t="str">
            <v>.</v>
          </cell>
        </row>
        <row r="643">
          <cell r="BB643" t="str">
            <v>.</v>
          </cell>
        </row>
        <row r="644">
          <cell r="BB644" t="str">
            <v>.</v>
          </cell>
        </row>
        <row r="645">
          <cell r="BB645" t="str">
            <v>.</v>
          </cell>
        </row>
        <row r="646">
          <cell r="BB646" t="str">
            <v>.</v>
          </cell>
        </row>
        <row r="647">
          <cell r="BB647" t="str">
            <v>.</v>
          </cell>
        </row>
        <row r="648">
          <cell r="BB648" t="str">
            <v>.</v>
          </cell>
        </row>
        <row r="649">
          <cell r="BB649" t="str">
            <v>.</v>
          </cell>
        </row>
        <row r="650">
          <cell r="BB650" t="str">
            <v>.</v>
          </cell>
        </row>
        <row r="651">
          <cell r="BB651" t="str">
            <v>.</v>
          </cell>
        </row>
        <row r="652">
          <cell r="BB652" t="str">
            <v>.</v>
          </cell>
        </row>
        <row r="653">
          <cell r="BB653" t="str">
            <v>.</v>
          </cell>
        </row>
        <row r="654">
          <cell r="BB654" t="str">
            <v>.</v>
          </cell>
        </row>
        <row r="655">
          <cell r="BB655" t="str">
            <v>.</v>
          </cell>
        </row>
        <row r="656">
          <cell r="BB656" t="str">
            <v>.</v>
          </cell>
        </row>
        <row r="657">
          <cell r="BB657" t="str">
            <v>.</v>
          </cell>
        </row>
        <row r="658">
          <cell r="BB658" t="str">
            <v>.</v>
          </cell>
        </row>
        <row r="659">
          <cell r="BB659" t="str">
            <v>.</v>
          </cell>
        </row>
        <row r="660">
          <cell r="BB660" t="str">
            <v>.</v>
          </cell>
        </row>
        <row r="661">
          <cell r="BB661" t="str">
            <v>.</v>
          </cell>
        </row>
        <row r="662">
          <cell r="BB662" t="str">
            <v>.</v>
          </cell>
        </row>
        <row r="663">
          <cell r="BB663" t="str">
            <v>.</v>
          </cell>
        </row>
        <row r="664">
          <cell r="BB664" t="str">
            <v>.</v>
          </cell>
        </row>
        <row r="665">
          <cell r="BB665" t="str">
            <v>.</v>
          </cell>
        </row>
        <row r="666">
          <cell r="BB666" t="str">
            <v>.</v>
          </cell>
        </row>
        <row r="667">
          <cell r="BB667" t="str">
            <v>.</v>
          </cell>
        </row>
        <row r="668">
          <cell r="BB668" t="str">
            <v>.</v>
          </cell>
        </row>
        <row r="669">
          <cell r="BB669" t="str">
            <v>.</v>
          </cell>
        </row>
        <row r="670">
          <cell r="BB670" t="str">
            <v>.</v>
          </cell>
        </row>
        <row r="671">
          <cell r="BB671" t="str">
            <v>.</v>
          </cell>
        </row>
        <row r="672">
          <cell r="BB672" t="str">
            <v>.</v>
          </cell>
        </row>
        <row r="673">
          <cell r="BB673" t="str">
            <v>.</v>
          </cell>
        </row>
        <row r="674">
          <cell r="BB674" t="str">
            <v>.</v>
          </cell>
        </row>
        <row r="675">
          <cell r="BB675" t="str">
            <v>.</v>
          </cell>
        </row>
        <row r="676">
          <cell r="BB676" t="str">
            <v>.</v>
          </cell>
        </row>
        <row r="677">
          <cell r="BB677" t="str">
            <v>.</v>
          </cell>
        </row>
        <row r="678">
          <cell r="BB678" t="str">
            <v>.</v>
          </cell>
        </row>
        <row r="679">
          <cell r="BB679" t="str">
            <v>.</v>
          </cell>
        </row>
        <row r="680">
          <cell r="BB680" t="str">
            <v>.</v>
          </cell>
        </row>
        <row r="681">
          <cell r="BB681" t="str">
            <v>.</v>
          </cell>
        </row>
        <row r="682">
          <cell r="BB682" t="str">
            <v>.</v>
          </cell>
        </row>
        <row r="683">
          <cell r="BB683" t="str">
            <v>.</v>
          </cell>
        </row>
        <row r="684">
          <cell r="BB684" t="str">
            <v>.</v>
          </cell>
        </row>
        <row r="685">
          <cell r="BB685" t="str">
            <v>.</v>
          </cell>
        </row>
        <row r="686">
          <cell r="BB686" t="str">
            <v>.</v>
          </cell>
        </row>
        <row r="687">
          <cell r="BB687" t="str">
            <v>.</v>
          </cell>
        </row>
        <row r="688">
          <cell r="BB688" t="str">
            <v>.</v>
          </cell>
        </row>
        <row r="689">
          <cell r="BB689" t="str">
            <v>.</v>
          </cell>
        </row>
        <row r="690">
          <cell r="BB690" t="str">
            <v>.</v>
          </cell>
        </row>
        <row r="691">
          <cell r="BB691" t="str">
            <v>.</v>
          </cell>
        </row>
        <row r="692">
          <cell r="BB692" t="str">
            <v>.</v>
          </cell>
        </row>
        <row r="693">
          <cell r="BB693" t="str">
            <v>.</v>
          </cell>
        </row>
        <row r="694">
          <cell r="BB694" t="str">
            <v>.</v>
          </cell>
        </row>
        <row r="695">
          <cell r="BB695" t="str">
            <v>.</v>
          </cell>
        </row>
        <row r="696">
          <cell r="BB696" t="str">
            <v>.</v>
          </cell>
        </row>
        <row r="697">
          <cell r="BB697" t="str">
            <v>.</v>
          </cell>
        </row>
        <row r="698">
          <cell r="BB698" t="str">
            <v>.</v>
          </cell>
        </row>
        <row r="699">
          <cell r="BB699" t="str">
            <v>.</v>
          </cell>
        </row>
        <row r="700">
          <cell r="BB700" t="str">
            <v>.</v>
          </cell>
        </row>
        <row r="701">
          <cell r="BB701" t="str">
            <v>.</v>
          </cell>
        </row>
        <row r="702">
          <cell r="BB702" t="str">
            <v>.</v>
          </cell>
        </row>
        <row r="703">
          <cell r="BB703" t="str">
            <v>.</v>
          </cell>
        </row>
        <row r="704">
          <cell r="BB704" t="str">
            <v>.</v>
          </cell>
        </row>
        <row r="705">
          <cell r="BB705" t="str">
            <v>.</v>
          </cell>
        </row>
        <row r="706">
          <cell r="BB706" t="str">
            <v>.</v>
          </cell>
        </row>
        <row r="707">
          <cell r="BB707" t="str">
            <v>.</v>
          </cell>
        </row>
        <row r="708">
          <cell r="BB708" t="str">
            <v>.</v>
          </cell>
        </row>
        <row r="709">
          <cell r="BB709" t="str">
            <v>.</v>
          </cell>
        </row>
        <row r="710">
          <cell r="BB710" t="str">
            <v>.</v>
          </cell>
        </row>
        <row r="711">
          <cell r="BB711" t="str">
            <v>.</v>
          </cell>
        </row>
        <row r="712">
          <cell r="BB712" t="str">
            <v>.</v>
          </cell>
        </row>
        <row r="713">
          <cell r="BB713" t="str">
            <v>.</v>
          </cell>
        </row>
        <row r="714">
          <cell r="BB714" t="str">
            <v>.</v>
          </cell>
        </row>
        <row r="715">
          <cell r="BB715" t="str">
            <v>.</v>
          </cell>
        </row>
        <row r="716">
          <cell r="BB716" t="str">
            <v>.</v>
          </cell>
        </row>
        <row r="717">
          <cell r="BB717" t="str">
            <v>.</v>
          </cell>
        </row>
        <row r="718">
          <cell r="BB718" t="str">
            <v>.</v>
          </cell>
        </row>
        <row r="719">
          <cell r="BB719" t="str">
            <v>.</v>
          </cell>
        </row>
        <row r="720">
          <cell r="BB720" t="str">
            <v>.</v>
          </cell>
        </row>
        <row r="721">
          <cell r="BB721" t="str">
            <v>.</v>
          </cell>
        </row>
        <row r="722">
          <cell r="BB722" t="str">
            <v>.</v>
          </cell>
        </row>
        <row r="723">
          <cell r="BB723" t="str">
            <v>.</v>
          </cell>
        </row>
        <row r="724">
          <cell r="BB724" t="str">
            <v>.</v>
          </cell>
        </row>
        <row r="725">
          <cell r="BB725" t="str">
            <v>.</v>
          </cell>
        </row>
        <row r="726">
          <cell r="BB726" t="str">
            <v>.</v>
          </cell>
        </row>
        <row r="727">
          <cell r="BB727" t="str">
            <v>.</v>
          </cell>
        </row>
        <row r="728">
          <cell r="BB728" t="str">
            <v>.</v>
          </cell>
        </row>
        <row r="729">
          <cell r="BB729" t="str">
            <v>.</v>
          </cell>
        </row>
        <row r="730">
          <cell r="BB730" t="str">
            <v>.</v>
          </cell>
        </row>
        <row r="731">
          <cell r="BB731" t="str">
            <v>.</v>
          </cell>
        </row>
        <row r="732">
          <cell r="BB732" t="str">
            <v>.</v>
          </cell>
        </row>
        <row r="733">
          <cell r="BB733" t="str">
            <v>.</v>
          </cell>
        </row>
        <row r="734">
          <cell r="BB734" t="str">
            <v>.</v>
          </cell>
        </row>
        <row r="735">
          <cell r="BB735" t="str">
            <v>.</v>
          </cell>
        </row>
        <row r="736">
          <cell r="BB736" t="str">
            <v>.</v>
          </cell>
        </row>
        <row r="737">
          <cell r="BB737" t="str">
            <v>.</v>
          </cell>
        </row>
        <row r="738">
          <cell r="BB738" t="str">
            <v>.</v>
          </cell>
        </row>
        <row r="739">
          <cell r="BB739" t="str">
            <v>.</v>
          </cell>
        </row>
        <row r="740">
          <cell r="BB740" t="str">
            <v>.</v>
          </cell>
        </row>
        <row r="741">
          <cell r="BB741" t="str">
            <v>.</v>
          </cell>
        </row>
        <row r="742">
          <cell r="BB742" t="str">
            <v>.</v>
          </cell>
        </row>
        <row r="743">
          <cell r="BB743" t="str">
            <v>.</v>
          </cell>
        </row>
        <row r="744">
          <cell r="BB744" t="str">
            <v>.</v>
          </cell>
        </row>
        <row r="745">
          <cell r="BB745" t="str">
            <v>.</v>
          </cell>
        </row>
        <row r="746">
          <cell r="BB746" t="str">
            <v>.</v>
          </cell>
        </row>
        <row r="747">
          <cell r="BB747" t="str">
            <v>.</v>
          </cell>
        </row>
        <row r="748">
          <cell r="BB748" t="str">
            <v>.</v>
          </cell>
        </row>
        <row r="749">
          <cell r="BB749" t="str">
            <v>.</v>
          </cell>
        </row>
        <row r="750">
          <cell r="BB750" t="str">
            <v>.</v>
          </cell>
        </row>
        <row r="751">
          <cell r="BB751" t="str">
            <v>.</v>
          </cell>
        </row>
        <row r="752">
          <cell r="BB752" t="str">
            <v>.</v>
          </cell>
        </row>
        <row r="753">
          <cell r="BB753" t="str">
            <v>.</v>
          </cell>
        </row>
        <row r="754">
          <cell r="BB754" t="str">
            <v>.</v>
          </cell>
        </row>
        <row r="755">
          <cell r="BB755" t="str">
            <v>.</v>
          </cell>
        </row>
        <row r="756">
          <cell r="BB756" t="str">
            <v>.</v>
          </cell>
        </row>
        <row r="757">
          <cell r="BB757" t="str">
            <v>.</v>
          </cell>
        </row>
        <row r="758">
          <cell r="BB758" t="str">
            <v>.</v>
          </cell>
        </row>
        <row r="759">
          <cell r="BB759" t="str">
            <v>.</v>
          </cell>
        </row>
        <row r="760">
          <cell r="BB760" t="str">
            <v>.</v>
          </cell>
        </row>
        <row r="761">
          <cell r="BB761" t="str">
            <v>.</v>
          </cell>
        </row>
        <row r="762">
          <cell r="BB762" t="str">
            <v>.</v>
          </cell>
        </row>
        <row r="763">
          <cell r="BB763" t="str">
            <v>.</v>
          </cell>
        </row>
        <row r="764">
          <cell r="BB764" t="str">
            <v>.</v>
          </cell>
        </row>
        <row r="765">
          <cell r="BB765" t="str">
            <v>.</v>
          </cell>
        </row>
        <row r="766">
          <cell r="BB766" t="str">
            <v>.</v>
          </cell>
        </row>
        <row r="767">
          <cell r="BB767" t="str">
            <v>.</v>
          </cell>
        </row>
        <row r="768">
          <cell r="BB768" t="str">
            <v>.</v>
          </cell>
        </row>
        <row r="769">
          <cell r="BB769" t="str">
            <v>.</v>
          </cell>
        </row>
        <row r="770">
          <cell r="BB770" t="str">
            <v>.</v>
          </cell>
        </row>
        <row r="771">
          <cell r="BB771" t="str">
            <v>.</v>
          </cell>
        </row>
        <row r="772">
          <cell r="BB772" t="str">
            <v>.</v>
          </cell>
        </row>
        <row r="773">
          <cell r="BB773" t="str">
            <v>.</v>
          </cell>
        </row>
        <row r="774">
          <cell r="BB774" t="str">
            <v>.</v>
          </cell>
        </row>
        <row r="775">
          <cell r="BB775" t="str">
            <v>.</v>
          </cell>
        </row>
        <row r="776">
          <cell r="BB776" t="str">
            <v>.</v>
          </cell>
        </row>
        <row r="777">
          <cell r="BB777" t="str">
            <v>.</v>
          </cell>
        </row>
        <row r="778">
          <cell r="BB778" t="str">
            <v>.</v>
          </cell>
        </row>
        <row r="779">
          <cell r="BB779" t="str">
            <v>.</v>
          </cell>
        </row>
        <row r="780">
          <cell r="BB780" t="str">
            <v>.</v>
          </cell>
        </row>
        <row r="781">
          <cell r="BB781" t="str">
            <v>.</v>
          </cell>
        </row>
        <row r="782">
          <cell r="BB782" t="str">
            <v>.</v>
          </cell>
        </row>
        <row r="783">
          <cell r="BB783" t="str">
            <v>.</v>
          </cell>
        </row>
        <row r="784">
          <cell r="BB784" t="str">
            <v>.</v>
          </cell>
        </row>
        <row r="785">
          <cell r="BB785" t="str">
            <v>.</v>
          </cell>
        </row>
        <row r="786">
          <cell r="BB786" t="str">
            <v>.</v>
          </cell>
        </row>
        <row r="787">
          <cell r="BB787" t="str">
            <v>.</v>
          </cell>
        </row>
        <row r="788">
          <cell r="BB788" t="str">
            <v>.</v>
          </cell>
        </row>
        <row r="789">
          <cell r="BB789" t="str">
            <v>.</v>
          </cell>
        </row>
        <row r="790">
          <cell r="BB790" t="str">
            <v>.</v>
          </cell>
        </row>
        <row r="791">
          <cell r="BB791" t="str">
            <v>.</v>
          </cell>
        </row>
        <row r="792">
          <cell r="BB792" t="str">
            <v>.</v>
          </cell>
        </row>
        <row r="793">
          <cell r="BB793" t="str">
            <v>.</v>
          </cell>
        </row>
        <row r="794">
          <cell r="BB794" t="str">
            <v>.</v>
          </cell>
        </row>
        <row r="795">
          <cell r="BB795" t="str">
            <v>.</v>
          </cell>
        </row>
        <row r="796">
          <cell r="BB796" t="str">
            <v>.</v>
          </cell>
        </row>
        <row r="797">
          <cell r="BB797" t="str">
            <v>.</v>
          </cell>
        </row>
        <row r="798">
          <cell r="BB798" t="str">
            <v>.</v>
          </cell>
        </row>
        <row r="799">
          <cell r="BB799" t="str">
            <v>.</v>
          </cell>
        </row>
        <row r="800">
          <cell r="BB800" t="str">
            <v>.</v>
          </cell>
        </row>
        <row r="801">
          <cell r="BB801" t="str">
            <v>.</v>
          </cell>
        </row>
        <row r="802">
          <cell r="BB802" t="str">
            <v>.</v>
          </cell>
        </row>
        <row r="803">
          <cell r="BB803" t="str">
            <v>.</v>
          </cell>
        </row>
        <row r="804">
          <cell r="BB804" t="str">
            <v>.</v>
          </cell>
        </row>
        <row r="805">
          <cell r="BB805" t="str">
            <v>.</v>
          </cell>
        </row>
        <row r="806">
          <cell r="BB806" t="str">
            <v>.</v>
          </cell>
        </row>
        <row r="807">
          <cell r="BB807" t="str">
            <v>.</v>
          </cell>
        </row>
        <row r="808">
          <cell r="BB808" t="str">
            <v>.</v>
          </cell>
        </row>
        <row r="809">
          <cell r="BB809" t="str">
            <v>.</v>
          </cell>
        </row>
        <row r="810">
          <cell r="BB810" t="str">
            <v>.</v>
          </cell>
        </row>
        <row r="811">
          <cell r="BB811" t="str">
            <v>.</v>
          </cell>
        </row>
        <row r="812">
          <cell r="BB812" t="str">
            <v>.</v>
          </cell>
        </row>
        <row r="813">
          <cell r="BB813" t="str">
            <v>.</v>
          </cell>
        </row>
        <row r="814">
          <cell r="BB814" t="str">
            <v>.</v>
          </cell>
        </row>
        <row r="815">
          <cell r="BB815" t="str">
            <v>.</v>
          </cell>
        </row>
        <row r="816">
          <cell r="BB816" t="str">
            <v>.</v>
          </cell>
        </row>
        <row r="817">
          <cell r="BB817" t="str">
            <v>.</v>
          </cell>
        </row>
        <row r="818">
          <cell r="BB818" t="str">
            <v>.</v>
          </cell>
        </row>
        <row r="819">
          <cell r="BB819" t="str">
            <v>.</v>
          </cell>
        </row>
        <row r="820">
          <cell r="BB820" t="str">
            <v>.</v>
          </cell>
        </row>
        <row r="821">
          <cell r="BB821" t="str">
            <v>.</v>
          </cell>
        </row>
        <row r="822">
          <cell r="BB822" t="str">
            <v>.</v>
          </cell>
        </row>
        <row r="823">
          <cell r="BB823" t="str">
            <v>.</v>
          </cell>
        </row>
        <row r="824">
          <cell r="BB824" t="str">
            <v>.</v>
          </cell>
        </row>
        <row r="825">
          <cell r="BB825" t="str">
            <v>.</v>
          </cell>
        </row>
        <row r="826">
          <cell r="BB826" t="str">
            <v>.</v>
          </cell>
        </row>
        <row r="827">
          <cell r="BB827" t="str">
            <v>.</v>
          </cell>
        </row>
        <row r="828">
          <cell r="BB828" t="str">
            <v>.</v>
          </cell>
        </row>
        <row r="829">
          <cell r="BB829" t="str">
            <v>.</v>
          </cell>
        </row>
        <row r="830">
          <cell r="BB830" t="str">
            <v>.</v>
          </cell>
        </row>
        <row r="831">
          <cell r="BB831" t="str">
            <v>.</v>
          </cell>
        </row>
        <row r="832">
          <cell r="BB832" t="str">
            <v>.</v>
          </cell>
        </row>
        <row r="833">
          <cell r="BB833" t="str">
            <v>.</v>
          </cell>
        </row>
        <row r="834">
          <cell r="BB834" t="str">
            <v>.</v>
          </cell>
        </row>
        <row r="835">
          <cell r="BB835" t="str">
            <v>.</v>
          </cell>
        </row>
        <row r="836">
          <cell r="BB836" t="str">
            <v>.</v>
          </cell>
        </row>
        <row r="837">
          <cell r="BB837" t="str">
            <v>.</v>
          </cell>
        </row>
        <row r="838">
          <cell r="BB838" t="str">
            <v>.</v>
          </cell>
        </row>
        <row r="839">
          <cell r="BB839" t="str">
            <v>.</v>
          </cell>
        </row>
        <row r="840">
          <cell r="BB840" t="str">
            <v>.</v>
          </cell>
        </row>
        <row r="841">
          <cell r="BB841" t="str">
            <v>.</v>
          </cell>
        </row>
        <row r="842">
          <cell r="BB842" t="str">
            <v>.</v>
          </cell>
        </row>
        <row r="843">
          <cell r="BB843" t="str">
            <v>.</v>
          </cell>
        </row>
        <row r="844">
          <cell r="BB844" t="str">
            <v>.</v>
          </cell>
        </row>
        <row r="845">
          <cell r="BB845" t="str">
            <v>.</v>
          </cell>
        </row>
        <row r="846">
          <cell r="BB846" t="str">
            <v>.</v>
          </cell>
        </row>
        <row r="847">
          <cell r="BB847" t="str">
            <v>.</v>
          </cell>
        </row>
        <row r="848">
          <cell r="BB848" t="str">
            <v>.</v>
          </cell>
        </row>
        <row r="849">
          <cell r="BB849" t="str">
            <v>.</v>
          </cell>
        </row>
        <row r="850">
          <cell r="BB850" t="str">
            <v>.</v>
          </cell>
        </row>
        <row r="851">
          <cell r="BB851" t="str">
            <v>.</v>
          </cell>
        </row>
        <row r="852">
          <cell r="BB852" t="str">
            <v>.</v>
          </cell>
        </row>
        <row r="853">
          <cell r="BB853" t="str">
            <v>.</v>
          </cell>
        </row>
        <row r="854">
          <cell r="BB854" t="str">
            <v>.</v>
          </cell>
        </row>
        <row r="855">
          <cell r="BB855" t="str">
            <v>.</v>
          </cell>
        </row>
        <row r="856">
          <cell r="BB856" t="str">
            <v>.</v>
          </cell>
        </row>
        <row r="857">
          <cell r="BB857" t="str">
            <v>.</v>
          </cell>
        </row>
        <row r="858">
          <cell r="BB858" t="str">
            <v>.</v>
          </cell>
        </row>
        <row r="859">
          <cell r="BB859" t="str">
            <v>.</v>
          </cell>
        </row>
        <row r="860">
          <cell r="BB860" t="str">
            <v>.</v>
          </cell>
        </row>
        <row r="861">
          <cell r="BB861" t="str">
            <v>.</v>
          </cell>
        </row>
        <row r="862">
          <cell r="BB862" t="str">
            <v>.</v>
          </cell>
        </row>
        <row r="863">
          <cell r="BB863" t="str">
            <v>.</v>
          </cell>
        </row>
        <row r="864">
          <cell r="BB864" t="str">
            <v>.</v>
          </cell>
        </row>
        <row r="865">
          <cell r="BB865" t="str">
            <v>.</v>
          </cell>
        </row>
        <row r="866">
          <cell r="BB866" t="str">
            <v>.</v>
          </cell>
        </row>
        <row r="867">
          <cell r="BB867" t="str">
            <v>.</v>
          </cell>
        </row>
        <row r="868">
          <cell r="BB868" t="str">
            <v>.</v>
          </cell>
        </row>
        <row r="869">
          <cell r="BB869" t="str">
            <v>.</v>
          </cell>
        </row>
        <row r="870">
          <cell r="BB870" t="str">
            <v>.</v>
          </cell>
        </row>
        <row r="871">
          <cell r="BB871" t="str">
            <v>.</v>
          </cell>
        </row>
        <row r="872">
          <cell r="BB872" t="str">
            <v>.</v>
          </cell>
        </row>
        <row r="873">
          <cell r="BB873" t="str">
            <v>.</v>
          </cell>
        </row>
        <row r="874">
          <cell r="BB874" t="str">
            <v>.</v>
          </cell>
        </row>
        <row r="875">
          <cell r="BB875" t="str">
            <v>.</v>
          </cell>
        </row>
        <row r="876">
          <cell r="BB876" t="str">
            <v>.</v>
          </cell>
        </row>
        <row r="877">
          <cell r="BB877" t="str">
            <v>.</v>
          </cell>
        </row>
        <row r="878">
          <cell r="BB878" t="str">
            <v>.</v>
          </cell>
        </row>
        <row r="879">
          <cell r="BB879" t="str">
            <v>.</v>
          </cell>
        </row>
        <row r="880">
          <cell r="BB880" t="str">
            <v>.</v>
          </cell>
        </row>
        <row r="881">
          <cell r="BB881" t="str">
            <v>.</v>
          </cell>
        </row>
        <row r="882">
          <cell r="BB882" t="str">
            <v>.</v>
          </cell>
        </row>
        <row r="883">
          <cell r="BB883" t="str">
            <v>.</v>
          </cell>
        </row>
        <row r="884">
          <cell r="BB884" t="str">
            <v>.</v>
          </cell>
        </row>
        <row r="885">
          <cell r="BB885" t="str">
            <v>.</v>
          </cell>
        </row>
        <row r="886">
          <cell r="BB886" t="str">
            <v>.</v>
          </cell>
        </row>
        <row r="887">
          <cell r="BB887" t="str">
            <v>.</v>
          </cell>
        </row>
        <row r="888">
          <cell r="BB888" t="str">
            <v>.</v>
          </cell>
        </row>
        <row r="889">
          <cell r="BB889" t="str">
            <v>.</v>
          </cell>
        </row>
        <row r="890">
          <cell r="BB890" t="str">
            <v>.</v>
          </cell>
        </row>
        <row r="891">
          <cell r="BB891" t="str">
            <v>.</v>
          </cell>
        </row>
        <row r="892">
          <cell r="BB892" t="str">
            <v>.</v>
          </cell>
        </row>
        <row r="893">
          <cell r="BB893" t="str">
            <v>.</v>
          </cell>
        </row>
        <row r="894">
          <cell r="BB894" t="str">
            <v>.</v>
          </cell>
        </row>
        <row r="895">
          <cell r="BB895" t="str">
            <v>.</v>
          </cell>
        </row>
        <row r="896">
          <cell r="BB896" t="str">
            <v>.</v>
          </cell>
        </row>
        <row r="897">
          <cell r="BB897" t="str">
            <v>.</v>
          </cell>
        </row>
        <row r="898">
          <cell r="BB898" t="str">
            <v>.</v>
          </cell>
        </row>
        <row r="899">
          <cell r="BB899" t="str">
            <v>.</v>
          </cell>
        </row>
        <row r="900">
          <cell r="BB900" t="str">
            <v>.</v>
          </cell>
        </row>
        <row r="901">
          <cell r="BB901" t="str">
            <v>.</v>
          </cell>
        </row>
        <row r="902">
          <cell r="BB902" t="str">
            <v>.</v>
          </cell>
        </row>
        <row r="903">
          <cell r="BB903" t="str">
            <v>.</v>
          </cell>
        </row>
        <row r="904">
          <cell r="BB904" t="str">
            <v>.</v>
          </cell>
        </row>
        <row r="905">
          <cell r="BB905" t="str">
            <v>.</v>
          </cell>
        </row>
        <row r="906">
          <cell r="BB906" t="str">
            <v>.</v>
          </cell>
        </row>
        <row r="907">
          <cell r="BB907" t="str">
            <v>.</v>
          </cell>
        </row>
        <row r="908">
          <cell r="BB908" t="str">
            <v>.</v>
          </cell>
        </row>
        <row r="909">
          <cell r="BB909" t="str">
            <v>.</v>
          </cell>
        </row>
        <row r="910">
          <cell r="BB910" t="str">
            <v>.</v>
          </cell>
        </row>
        <row r="911">
          <cell r="BB911" t="str">
            <v>.</v>
          </cell>
        </row>
        <row r="912">
          <cell r="BB912" t="str">
            <v>.</v>
          </cell>
        </row>
        <row r="913">
          <cell r="BB913" t="str">
            <v>.</v>
          </cell>
        </row>
        <row r="914">
          <cell r="BB914" t="str">
            <v>.</v>
          </cell>
        </row>
        <row r="915">
          <cell r="BB915" t="str">
            <v>.</v>
          </cell>
        </row>
        <row r="916">
          <cell r="BB916" t="str">
            <v>.</v>
          </cell>
        </row>
        <row r="917">
          <cell r="BB917" t="str">
            <v>.</v>
          </cell>
        </row>
        <row r="918">
          <cell r="BB918" t="str">
            <v>.</v>
          </cell>
        </row>
        <row r="919">
          <cell r="BB919" t="str">
            <v>.</v>
          </cell>
        </row>
        <row r="920">
          <cell r="BB920" t="str">
            <v>.</v>
          </cell>
        </row>
        <row r="921">
          <cell r="BB921" t="str">
            <v>.</v>
          </cell>
        </row>
        <row r="922">
          <cell r="BB922" t="str">
            <v>.</v>
          </cell>
        </row>
        <row r="923">
          <cell r="BB923" t="str">
            <v>.</v>
          </cell>
        </row>
        <row r="924">
          <cell r="BB924" t="str">
            <v>.</v>
          </cell>
        </row>
        <row r="925">
          <cell r="BB925" t="str">
            <v>.</v>
          </cell>
        </row>
        <row r="926">
          <cell r="BB926" t="str">
            <v>.</v>
          </cell>
        </row>
        <row r="927">
          <cell r="BB927" t="str">
            <v>.</v>
          </cell>
        </row>
        <row r="928">
          <cell r="BB928" t="str">
            <v>.</v>
          </cell>
        </row>
        <row r="929">
          <cell r="BB929" t="str">
            <v>.</v>
          </cell>
        </row>
        <row r="930">
          <cell r="BB930" t="str">
            <v>.</v>
          </cell>
        </row>
        <row r="931">
          <cell r="BB931" t="str">
            <v>.</v>
          </cell>
        </row>
        <row r="932">
          <cell r="BB932" t="str">
            <v>.</v>
          </cell>
        </row>
        <row r="933">
          <cell r="BB933" t="str">
            <v>.</v>
          </cell>
        </row>
        <row r="934">
          <cell r="BB934" t="str">
            <v>.</v>
          </cell>
        </row>
        <row r="935">
          <cell r="BB935" t="str">
            <v>.</v>
          </cell>
        </row>
        <row r="936">
          <cell r="BB936" t="str">
            <v>.</v>
          </cell>
        </row>
        <row r="937">
          <cell r="BB937" t="str">
            <v>.</v>
          </cell>
        </row>
        <row r="938">
          <cell r="BB938" t="str">
            <v>.</v>
          </cell>
        </row>
        <row r="939">
          <cell r="BB939" t="str">
            <v>.</v>
          </cell>
        </row>
        <row r="940">
          <cell r="BB940" t="str">
            <v>.</v>
          </cell>
        </row>
        <row r="941">
          <cell r="BB941" t="str">
            <v>.</v>
          </cell>
        </row>
        <row r="942">
          <cell r="BB942" t="str">
            <v>.</v>
          </cell>
        </row>
        <row r="943">
          <cell r="BB943" t="str">
            <v>.</v>
          </cell>
        </row>
        <row r="944">
          <cell r="BB944" t="str">
            <v>.</v>
          </cell>
        </row>
        <row r="945">
          <cell r="BB945" t="str">
            <v>.</v>
          </cell>
        </row>
        <row r="946">
          <cell r="BB946" t="str">
            <v>.</v>
          </cell>
        </row>
        <row r="947">
          <cell r="BB947" t="str">
            <v>.</v>
          </cell>
        </row>
        <row r="948">
          <cell r="BB948" t="str">
            <v>.</v>
          </cell>
        </row>
        <row r="949">
          <cell r="BB949" t="str">
            <v>.</v>
          </cell>
        </row>
        <row r="950">
          <cell r="BB950" t="str">
            <v>.</v>
          </cell>
        </row>
        <row r="951">
          <cell r="BB951" t="str">
            <v>.</v>
          </cell>
        </row>
        <row r="952">
          <cell r="BB952" t="str">
            <v>.</v>
          </cell>
        </row>
        <row r="953">
          <cell r="BB953" t="str">
            <v>.</v>
          </cell>
        </row>
        <row r="954">
          <cell r="BB954" t="str">
            <v>.</v>
          </cell>
        </row>
        <row r="955">
          <cell r="BB955" t="str">
            <v>.</v>
          </cell>
        </row>
        <row r="956">
          <cell r="BB956" t="str">
            <v>.</v>
          </cell>
        </row>
        <row r="957">
          <cell r="BB957" t="str">
            <v>.</v>
          </cell>
        </row>
        <row r="958">
          <cell r="BB958" t="str">
            <v>.</v>
          </cell>
        </row>
        <row r="959">
          <cell r="BB959" t="str">
            <v>.</v>
          </cell>
        </row>
        <row r="960">
          <cell r="BB960" t="str">
            <v>.</v>
          </cell>
        </row>
        <row r="961">
          <cell r="BB961" t="str">
            <v>.</v>
          </cell>
        </row>
        <row r="962">
          <cell r="BB962" t="str">
            <v>.</v>
          </cell>
        </row>
        <row r="963">
          <cell r="BB963" t="str">
            <v>.</v>
          </cell>
        </row>
        <row r="964">
          <cell r="BB964" t="str">
            <v>.</v>
          </cell>
        </row>
        <row r="965">
          <cell r="BB965" t="str">
            <v>.</v>
          </cell>
        </row>
        <row r="966">
          <cell r="BB966" t="str">
            <v>.</v>
          </cell>
        </row>
        <row r="967">
          <cell r="BB967" t="str">
            <v>.</v>
          </cell>
        </row>
        <row r="968">
          <cell r="BB968" t="str">
            <v>.</v>
          </cell>
        </row>
        <row r="969">
          <cell r="BB969" t="str">
            <v>.</v>
          </cell>
        </row>
        <row r="970">
          <cell r="BB970" t="str">
            <v>.</v>
          </cell>
        </row>
        <row r="971">
          <cell r="BB971" t="str">
            <v>.</v>
          </cell>
        </row>
        <row r="972">
          <cell r="BB972" t="str">
            <v>.</v>
          </cell>
        </row>
        <row r="973">
          <cell r="BB973" t="str">
            <v>.</v>
          </cell>
        </row>
        <row r="974">
          <cell r="BB974" t="str">
            <v>.</v>
          </cell>
        </row>
        <row r="975">
          <cell r="BB975" t="str">
            <v>.</v>
          </cell>
        </row>
        <row r="976">
          <cell r="BB976" t="str">
            <v>.</v>
          </cell>
        </row>
        <row r="977">
          <cell r="BB977" t="str">
            <v>.</v>
          </cell>
        </row>
        <row r="978">
          <cell r="BB978" t="str">
            <v>.</v>
          </cell>
        </row>
        <row r="979">
          <cell r="BB979" t="str">
            <v>.</v>
          </cell>
        </row>
        <row r="980">
          <cell r="BB980" t="str">
            <v>.</v>
          </cell>
        </row>
        <row r="981">
          <cell r="BB981" t="str">
            <v>.</v>
          </cell>
        </row>
        <row r="982">
          <cell r="BB982" t="str">
            <v>.</v>
          </cell>
        </row>
        <row r="983">
          <cell r="BB983" t="str">
            <v>.</v>
          </cell>
        </row>
        <row r="984">
          <cell r="BB984" t="str">
            <v>.</v>
          </cell>
        </row>
        <row r="985">
          <cell r="BB985" t="str">
            <v>.</v>
          </cell>
        </row>
        <row r="986">
          <cell r="BB986" t="str">
            <v>.</v>
          </cell>
        </row>
        <row r="987">
          <cell r="BB987" t="str">
            <v>.</v>
          </cell>
        </row>
        <row r="988">
          <cell r="BB988" t="str">
            <v>.</v>
          </cell>
        </row>
        <row r="989">
          <cell r="BB989" t="str">
            <v>.</v>
          </cell>
        </row>
        <row r="990">
          <cell r="BB990" t="str">
            <v>.</v>
          </cell>
        </row>
        <row r="991">
          <cell r="BB991" t="str">
            <v>.</v>
          </cell>
        </row>
        <row r="992">
          <cell r="BB992" t="str">
            <v>.</v>
          </cell>
        </row>
        <row r="993">
          <cell r="BB993" t="str">
            <v>.</v>
          </cell>
        </row>
        <row r="994">
          <cell r="BB994" t="str">
            <v>.</v>
          </cell>
        </row>
        <row r="995">
          <cell r="BB995" t="str">
            <v>.</v>
          </cell>
        </row>
        <row r="996">
          <cell r="BB996" t="str">
            <v>.</v>
          </cell>
        </row>
        <row r="997">
          <cell r="A997" t="str">
            <v>.</v>
          </cell>
          <cell r="B997" t="str">
            <v>.</v>
          </cell>
          <cell r="C997" t="str">
            <v>.</v>
          </cell>
          <cell r="D997" t="str">
            <v>.</v>
          </cell>
          <cell r="E997" t="str">
            <v>.</v>
          </cell>
          <cell r="F997" t="str">
            <v>.</v>
          </cell>
          <cell r="G997" t="str">
            <v>.</v>
          </cell>
          <cell r="I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row>
      </sheetData>
      <sheetData sheetId="6"/>
      <sheetData sheetId="7"/>
      <sheetData sheetId="8"/>
      <sheetData sheetId="9"/>
      <sheetData sheetId="10"/>
      <sheetData sheetId="11"/>
      <sheetData sheetId="12">
        <row r="2">
          <cell r="B2" t="str">
            <v>($M)</v>
          </cell>
          <cell r="C2" t="str">
            <v>2009E</v>
          </cell>
          <cell r="D2" t="str">
            <v>2010E</v>
          </cell>
          <cell r="E2" t="str">
            <v>2011E</v>
          </cell>
          <cell r="F2" t="str">
            <v>2012E</v>
          </cell>
          <cell r="G2" t="str">
            <v>2013E</v>
          </cell>
          <cell r="H2" t="str">
            <v>2014E</v>
          </cell>
          <cell r="I2" t="str">
            <v>2015E</v>
          </cell>
        </row>
        <row r="3">
          <cell r="B3" t="str">
            <v>Revenue</v>
          </cell>
          <cell r="C3">
            <v>46664.590000000004</v>
          </cell>
          <cell r="D3">
            <v>59490.450000000004</v>
          </cell>
          <cell r="E3">
            <v>57134.93</v>
          </cell>
          <cell r="F3">
            <v>58779.911381268947</v>
          </cell>
          <cell r="G3">
            <v>59239.936075638652</v>
          </cell>
          <cell r="H3">
            <v>59771.216511600302</v>
          </cell>
          <cell r="I3">
            <v>59987.717899738433</v>
          </cell>
        </row>
        <row r="4">
          <cell r="B4" t="str">
            <v>Op. Income</v>
          </cell>
          <cell r="C4">
            <v>7540</v>
          </cell>
          <cell r="D4">
            <v>10000</v>
          </cell>
          <cell r="E4">
            <v>9200</v>
          </cell>
          <cell r="F4">
            <v>23420.697731424829</v>
          </cell>
          <cell r="G4">
            <v>24062.427582023694</v>
          </cell>
          <cell r="H4">
            <v>24252.934339512249</v>
          </cell>
          <cell r="I4">
            <v>24182.870845785517</v>
          </cell>
        </row>
        <row r="5">
          <cell r="B5" t="str">
            <v>Op. Margin</v>
          </cell>
          <cell r="C5">
            <v>0.15271279077999245</v>
          </cell>
          <cell r="D5">
            <v>0.14871522964147593</v>
          </cell>
          <cell r="E5">
            <v>0.14030701020421829</v>
          </cell>
          <cell r="F5">
            <v>0.39844731271384948</v>
          </cell>
          <cell r="G5">
            <v>0.40618591403104048</v>
          </cell>
          <cell r="H5">
            <v>0.40576276935580319</v>
          </cell>
          <cell r="I5">
            <v>0.40313036888991177</v>
          </cell>
        </row>
        <row r="6">
          <cell r="B6" t="str">
            <v>EPS</v>
          </cell>
          <cell r="C6">
            <v>0</v>
          </cell>
          <cell r="D6">
            <v>0</v>
          </cell>
          <cell r="E6">
            <v>0</v>
          </cell>
          <cell r="F6">
            <v>2.1029587057701495</v>
          </cell>
          <cell r="G6">
            <v>2.2372166055191349</v>
          </cell>
          <cell r="H6">
            <v>2.3276533306404867</v>
          </cell>
          <cell r="I6">
            <v>2.3911545965022829</v>
          </cell>
        </row>
      </sheetData>
      <sheetData sheetId="13">
        <row r="1">
          <cell r="B1" t="str">
            <v>Historical Planned vs. Realized Cost Savings</v>
          </cell>
        </row>
        <row r="3">
          <cell r="B3" t="str">
            <v>($B)</v>
          </cell>
          <cell r="C3" t="str">
            <v>Warner-Lambert</v>
          </cell>
          <cell r="D3" t="str">
            <v>Pharmacia</v>
          </cell>
          <cell r="E3" t="str">
            <v>Adapting to Scale (AtS)</v>
          </cell>
          <cell r="F3" t="str">
            <v>2007/2008 Plan</v>
          </cell>
        </row>
        <row r="4">
          <cell r="B4" t="str">
            <v>Original Goal</v>
          </cell>
          <cell r="C4">
            <v>1.6</v>
          </cell>
          <cell r="D4">
            <v>3.8</v>
          </cell>
          <cell r="E4">
            <v>2</v>
          </cell>
          <cell r="F4" t="str">
            <v>1.5-2.0</v>
          </cell>
        </row>
        <row r="5">
          <cell r="B5" t="str">
            <v>Actual Savings</v>
          </cell>
          <cell r="C5">
            <v>1.8</v>
          </cell>
          <cell r="D5">
            <v>4.2</v>
          </cell>
          <cell r="E5">
            <v>2.6</v>
          </cell>
          <cell r="F5">
            <v>2.8</v>
          </cell>
        </row>
        <row r="6">
          <cell r="B6" t="str">
            <v>% Upside</v>
          </cell>
          <cell r="C6">
            <v>0.12499999999999997</v>
          </cell>
          <cell r="D6">
            <v>0.10526315789473695</v>
          </cell>
          <cell r="E6">
            <v>0.30000000000000004</v>
          </cell>
          <cell r="F6" t="str">
            <v>40%-87%</v>
          </cell>
        </row>
      </sheetData>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d 2-32"/>
      <sheetName val="Good 12-00 (3)"/>
      <sheetName val="Good 12-43"/>
      <sheetName val="Good 12-07"/>
      <sheetName val="Good 12-00 (2)"/>
      <sheetName val="Good 12-00"/>
      <sheetName val="Good 11-50"/>
      <sheetName val="Good 11-40"/>
      <sheetName val="Good 11-36"/>
      <sheetName val="Good 11-18"/>
      <sheetName val="Good 10-48 pm (2)"/>
      <sheetName val="Samples"/>
      <sheetName val="Good 10-48 pm"/>
      <sheetName val="Good 11-04 pm"/>
      <sheetName val="Sheet3 (6)"/>
      <sheetName val="Sheet3 (5)"/>
      <sheetName val="Sheet3 (3)"/>
      <sheetName val="Sheet3 (2)"/>
      <sheetName val="Sheet1"/>
      <sheetName val="Sheet2"/>
      <sheetName val="Sheet3"/>
      <sheetName val="Sheet3 (4)"/>
      <sheetName val="Good 12-22_tbnt"/>
      <sheetName val="DCF Model"/>
      <sheetName val="SoP Model"/>
      <sheetName val="LBO Summary"/>
      <sheetName val="Sheet4"/>
      <sheetName val="ForeignStake"/>
      <sheetName val="PE_1yr_Forward"/>
      <sheetName val="Summary"/>
      <sheetName val="Quarterly"/>
      <sheetName val="Cust-Supplier"/>
      <sheetName val="Pork Poultry Egg"/>
      <sheetName val="Tourists"/>
      <sheetName val="CHINA CPI"/>
      <sheetName val="Fish"/>
      <sheetName val="Risk-Reward_View_Chart"/>
      <sheetName val="c1"/>
      <sheetName val="NOPAT"/>
      <sheetName val="ROE"/>
    </sheetNames>
    <sheetDataSet>
      <sheetData sheetId="0" refreshError="1"/>
      <sheetData sheetId="1" refreshError="1"/>
      <sheetData sheetId="2" refreshError="1"/>
      <sheetData sheetId="3" refreshError="1"/>
      <sheetData sheetId="4" refreshError="1">
        <row r="3">
          <cell r="A3" t="str">
            <v>Base</v>
          </cell>
          <cell r="B3">
            <v>40</v>
          </cell>
        </row>
        <row r="4">
          <cell r="A4" t="str">
            <v>Price Target</v>
          </cell>
          <cell r="B4">
            <v>40</v>
          </cell>
          <cell r="S4" t="str">
            <v>Bear</v>
          </cell>
          <cell r="U4" t="str">
            <v>Base</v>
          </cell>
          <cell r="X4" t="str">
            <v>Bull</v>
          </cell>
        </row>
        <row r="5">
          <cell r="R5">
            <v>-30</v>
          </cell>
          <cell r="S5">
            <v>-30</v>
          </cell>
          <cell r="U5">
            <v>40</v>
          </cell>
          <cell r="X5">
            <v>17</v>
          </cell>
          <cell r="Z5">
            <v>17</v>
          </cell>
        </row>
        <row r="6">
          <cell r="C6" t="str">
            <v>Bear</v>
          </cell>
          <cell r="S6" t="str">
            <v>-space2</v>
          </cell>
          <cell r="T6" t="str">
            <v>-bear</v>
          </cell>
          <cell r="U6" t="str">
            <v>-space1</v>
          </cell>
          <cell r="V6" t="str">
            <v>+space1</v>
          </cell>
          <cell r="W6" t="str">
            <v>+bull</v>
          </cell>
          <cell r="X6" t="str">
            <v>+space2</v>
          </cell>
        </row>
        <row r="7">
          <cell r="A7" t="str">
            <v>Binary driver one</v>
          </cell>
          <cell r="C7">
            <v>-5</v>
          </cell>
          <cell r="S7">
            <v>-23</v>
          </cell>
          <cell r="T7">
            <v>-7</v>
          </cell>
          <cell r="U7">
            <v>0</v>
          </cell>
          <cell r="V7">
            <v>0</v>
          </cell>
          <cell r="W7">
            <v>3</v>
          </cell>
          <cell r="X7">
            <v>14</v>
          </cell>
          <cell r="Y7">
            <v>17</v>
          </cell>
        </row>
        <row r="8">
          <cell r="A8" t="str">
            <v>Binary driver two</v>
          </cell>
          <cell r="C8">
            <v>-5</v>
          </cell>
          <cell r="S8">
            <v>-18</v>
          </cell>
          <cell r="T8">
            <v>-5</v>
          </cell>
          <cell r="U8">
            <v>-7</v>
          </cell>
          <cell r="V8">
            <v>3</v>
          </cell>
          <cell r="W8">
            <v>2</v>
          </cell>
          <cell r="X8">
            <v>12</v>
          </cell>
          <cell r="Y8">
            <v>17</v>
          </cell>
        </row>
        <row r="9">
          <cell r="A9" t="str">
            <v>Binary driver three</v>
          </cell>
          <cell r="C9">
            <v>-6</v>
          </cell>
          <cell r="S9">
            <v>-12</v>
          </cell>
          <cell r="T9">
            <v>-6</v>
          </cell>
          <cell r="U9">
            <v>-12</v>
          </cell>
          <cell r="V9">
            <v>5</v>
          </cell>
          <cell r="W9">
            <v>3</v>
          </cell>
          <cell r="X9">
            <v>9</v>
          </cell>
          <cell r="Y9">
            <v>17</v>
          </cell>
        </row>
        <row r="10">
          <cell r="A10" t="str">
            <v>Bull only driver one</v>
          </cell>
          <cell r="C10">
            <v>0</v>
          </cell>
          <cell r="S10">
            <v>-12</v>
          </cell>
          <cell r="U10">
            <v>-18</v>
          </cell>
          <cell r="V10">
            <v>8</v>
          </cell>
          <cell r="W10">
            <v>4</v>
          </cell>
          <cell r="X10">
            <v>5</v>
          </cell>
          <cell r="Y10">
            <v>17</v>
          </cell>
        </row>
        <row r="11">
          <cell r="A11" t="str">
            <v>Bull only driver two</v>
          </cell>
          <cell r="C11">
            <v>0</v>
          </cell>
          <cell r="S11">
            <v>-12</v>
          </cell>
          <cell r="U11">
            <v>-18</v>
          </cell>
          <cell r="V11">
            <v>12</v>
          </cell>
          <cell r="W11">
            <v>5</v>
          </cell>
          <cell r="X11">
            <v>0</v>
          </cell>
          <cell r="Y11">
            <v>17</v>
          </cell>
        </row>
        <row r="12">
          <cell r="A12" t="str">
            <v>Bear only driver one</v>
          </cell>
          <cell r="C12">
            <v>-4</v>
          </cell>
          <cell r="S12">
            <v>-8</v>
          </cell>
          <cell r="T12">
            <v>-4</v>
          </cell>
          <cell r="U12">
            <v>-18</v>
          </cell>
          <cell r="V12">
            <v>17</v>
          </cell>
          <cell r="X12">
            <v>0</v>
          </cell>
          <cell r="Y12">
            <v>17</v>
          </cell>
        </row>
        <row r="13">
          <cell r="A13" t="str">
            <v>Bear only driver two</v>
          </cell>
          <cell r="C13">
            <v>-3</v>
          </cell>
          <cell r="S13">
            <v>-5</v>
          </cell>
          <cell r="T13">
            <v>-3</v>
          </cell>
          <cell r="U13">
            <v>-22</v>
          </cell>
          <cell r="V13">
            <v>17</v>
          </cell>
          <cell r="X13">
            <v>0</v>
          </cell>
          <cell r="Y13">
            <v>17</v>
          </cell>
        </row>
        <row r="14">
          <cell r="A14" t="str">
            <v>Bear only driver three</v>
          </cell>
          <cell r="C14">
            <v>-5</v>
          </cell>
          <cell r="S14">
            <v>0</v>
          </cell>
          <cell r="T14">
            <v>-5</v>
          </cell>
          <cell r="U14">
            <v>-25</v>
          </cell>
          <cell r="V14">
            <v>17</v>
          </cell>
          <cell r="X14">
            <v>0</v>
          </cell>
          <cell r="Y14">
            <v>17</v>
          </cell>
        </row>
        <row r="15">
          <cell r="C15">
            <v>0</v>
          </cell>
        </row>
        <row r="16">
          <cell r="S16" t="str">
            <v>-space1</v>
          </cell>
          <cell r="T16" t="str">
            <v>-bear</v>
          </cell>
          <cell r="U16" t="str">
            <v>-space2</v>
          </cell>
          <cell r="V16" t="str">
            <v>+space1</v>
          </cell>
          <cell r="W16" t="str">
            <v>+bull</v>
          </cell>
          <cell r="X16" t="str">
            <v>+space2</v>
          </cell>
          <cell r="Y16" t="str">
            <v>Bear 
10.00</v>
          </cell>
          <cell r="Z16" t="str">
            <v>Base 
40.00</v>
          </cell>
          <cell r="AA16" t="str">
            <v>Bull
57.00</v>
          </cell>
          <cell r="AB16">
            <v>0</v>
          </cell>
        </row>
        <row r="18">
          <cell r="R18" t="str">
            <v>Binary driver one</v>
          </cell>
          <cell r="S18">
            <v>0</v>
          </cell>
          <cell r="T18">
            <v>-5</v>
          </cell>
          <cell r="U18">
            <v>-23</v>
          </cell>
          <cell r="V18">
            <v>0</v>
          </cell>
          <cell r="W18">
            <v>3</v>
          </cell>
          <cell r="X18">
            <v>14</v>
          </cell>
          <cell r="Y18">
            <v>-30</v>
          </cell>
          <cell r="Z18">
            <v>0</v>
          </cell>
          <cell r="AA18">
            <v>17</v>
          </cell>
          <cell r="AB18">
            <v>0</v>
          </cell>
        </row>
        <row r="19">
          <cell r="R19" t="str">
            <v>Binary driver two</v>
          </cell>
          <cell r="S19">
            <v>-7</v>
          </cell>
          <cell r="T19">
            <v>-5</v>
          </cell>
          <cell r="U19">
            <v>-18</v>
          </cell>
          <cell r="V19">
            <v>3</v>
          </cell>
          <cell r="W19">
            <v>2</v>
          </cell>
          <cell r="X19">
            <v>12</v>
          </cell>
          <cell r="Y19">
            <v>-30</v>
          </cell>
          <cell r="Z19">
            <v>0</v>
          </cell>
          <cell r="AA19">
            <v>17</v>
          </cell>
          <cell r="AB19">
            <v>0</v>
          </cell>
        </row>
        <row r="20">
          <cell r="R20" t="str">
            <v>Binary driver three</v>
          </cell>
          <cell r="S20">
            <v>-12</v>
          </cell>
          <cell r="T20">
            <v>-6</v>
          </cell>
          <cell r="U20">
            <v>-12</v>
          </cell>
          <cell r="V20">
            <v>5</v>
          </cell>
          <cell r="W20">
            <v>3</v>
          </cell>
          <cell r="X20">
            <v>9</v>
          </cell>
          <cell r="Y20">
            <v>-30</v>
          </cell>
          <cell r="Z20">
            <v>0</v>
          </cell>
          <cell r="AA20">
            <v>17</v>
          </cell>
          <cell r="AB20">
            <v>0</v>
          </cell>
        </row>
        <row r="21">
          <cell r="R21" t="str">
            <v>Bull only driver one</v>
          </cell>
          <cell r="S21">
            <v>-18</v>
          </cell>
          <cell r="T21">
            <v>0</v>
          </cell>
          <cell r="U21">
            <v>-12</v>
          </cell>
          <cell r="V21">
            <v>8</v>
          </cell>
          <cell r="W21">
            <v>4</v>
          </cell>
          <cell r="X21">
            <v>5</v>
          </cell>
          <cell r="Y21">
            <v>-30</v>
          </cell>
          <cell r="Z21">
            <v>0</v>
          </cell>
          <cell r="AA21">
            <v>17</v>
          </cell>
          <cell r="AB21">
            <v>0</v>
          </cell>
        </row>
        <row r="22">
          <cell r="R22" t="str">
            <v>Bull only driver two</v>
          </cell>
          <cell r="S22">
            <v>-18</v>
          </cell>
          <cell r="T22">
            <v>0</v>
          </cell>
          <cell r="U22">
            <v>-12</v>
          </cell>
          <cell r="V22">
            <v>12</v>
          </cell>
          <cell r="W22">
            <v>5</v>
          </cell>
          <cell r="X22">
            <v>0</v>
          </cell>
          <cell r="Y22">
            <v>-30</v>
          </cell>
          <cell r="Z22">
            <v>0</v>
          </cell>
          <cell r="AA22">
            <v>17</v>
          </cell>
          <cell r="AB22">
            <v>0</v>
          </cell>
        </row>
        <row r="23">
          <cell r="R23" t="str">
            <v>Bear only driver one</v>
          </cell>
          <cell r="S23">
            <v>-18</v>
          </cell>
          <cell r="T23">
            <v>-4</v>
          </cell>
          <cell r="U23">
            <v>-8</v>
          </cell>
          <cell r="V23">
            <v>17</v>
          </cell>
          <cell r="W23">
            <v>0</v>
          </cell>
          <cell r="X23">
            <v>0</v>
          </cell>
          <cell r="Y23">
            <v>-30</v>
          </cell>
          <cell r="Z23">
            <v>0</v>
          </cell>
          <cell r="AA23">
            <v>17</v>
          </cell>
          <cell r="AB23">
            <v>0</v>
          </cell>
        </row>
        <row r="24">
          <cell r="R24" t="str">
            <v>Bear only driver two</v>
          </cell>
          <cell r="S24">
            <v>-22</v>
          </cell>
          <cell r="T24">
            <v>-3</v>
          </cell>
          <cell r="U24">
            <v>-5</v>
          </cell>
          <cell r="V24">
            <v>17</v>
          </cell>
          <cell r="W24">
            <v>0</v>
          </cell>
          <cell r="X24">
            <v>0</v>
          </cell>
          <cell r="Y24">
            <v>-30</v>
          </cell>
          <cell r="Z24">
            <v>0</v>
          </cell>
          <cell r="AA24">
            <v>17</v>
          </cell>
          <cell r="AB24">
            <v>0</v>
          </cell>
        </row>
        <row r="25">
          <cell r="R25" t="str">
            <v>Bear only driver three</v>
          </cell>
          <cell r="S25">
            <v>-25</v>
          </cell>
          <cell r="T25">
            <v>-5</v>
          </cell>
          <cell r="U25">
            <v>0</v>
          </cell>
          <cell r="V25">
            <v>17</v>
          </cell>
          <cell r="W25">
            <v>0</v>
          </cell>
          <cell r="X25">
            <v>0</v>
          </cell>
          <cell r="Y25">
            <v>-30</v>
          </cell>
          <cell r="Z25">
            <v>0</v>
          </cell>
          <cell r="AA25">
            <v>17</v>
          </cell>
          <cell r="AB25">
            <v>0</v>
          </cell>
        </row>
        <row r="26">
          <cell r="Y26">
            <v>-30</v>
          </cell>
          <cell r="Z26">
            <v>0</v>
          </cell>
          <cell r="AA26">
            <v>17</v>
          </cell>
          <cell r="AB26">
            <v>0</v>
          </cell>
        </row>
        <row r="27">
          <cell r="Y27">
            <v>-30</v>
          </cell>
          <cell r="Z27">
            <v>0</v>
          </cell>
          <cell r="AA27">
            <v>17</v>
          </cell>
          <cell r="AB27">
            <v>0</v>
          </cell>
        </row>
        <row r="29">
          <cell r="AA29" t="str">
            <v>Note: Price Target = Base Case unless otherwise indicated.</v>
          </cell>
        </row>
        <row r="31">
          <cell r="R31" t="str">
            <v>Bear</v>
          </cell>
          <cell r="S31">
            <v>10</v>
          </cell>
        </row>
        <row r="32">
          <cell r="S32">
            <v>20</v>
          </cell>
        </row>
        <row r="33">
          <cell r="R33" t="str">
            <v>Bull</v>
          </cell>
          <cell r="S33">
            <v>57</v>
          </cell>
        </row>
      </sheetData>
      <sheetData sheetId="5" refreshError="1"/>
      <sheetData sheetId="6" refreshError="1">
        <row r="4">
          <cell r="C4" t="str">
            <v>Bear</v>
          </cell>
          <cell r="E4" t="str">
            <v>Base</v>
          </cell>
          <cell r="H4" t="str">
            <v>Bull</v>
          </cell>
        </row>
        <row r="5">
          <cell r="B5">
            <v>-30</v>
          </cell>
          <cell r="C5">
            <v>-30</v>
          </cell>
          <cell r="E5">
            <v>40</v>
          </cell>
          <cell r="H5">
            <v>17</v>
          </cell>
          <cell r="J5">
            <v>17</v>
          </cell>
        </row>
        <row r="6">
          <cell r="C6" t="str">
            <v>-space2</v>
          </cell>
          <cell r="D6" t="str">
            <v>-bear</v>
          </cell>
          <cell r="E6" t="str">
            <v>-space1</v>
          </cell>
          <cell r="F6" t="str">
            <v>+space1</v>
          </cell>
          <cell r="G6" t="str">
            <v>+bull</v>
          </cell>
          <cell r="H6" t="str">
            <v>+space2</v>
          </cell>
        </row>
        <row r="7">
          <cell r="B7" t="str">
            <v>Binary driver one</v>
          </cell>
          <cell r="C7">
            <v>-23</v>
          </cell>
          <cell r="D7">
            <v>-7</v>
          </cell>
          <cell r="E7">
            <v>0</v>
          </cell>
          <cell r="F7">
            <v>0</v>
          </cell>
          <cell r="G7">
            <v>3</v>
          </cell>
          <cell r="H7">
            <v>14</v>
          </cell>
          <cell r="I7">
            <v>17</v>
          </cell>
        </row>
        <row r="8">
          <cell r="B8" t="str">
            <v>Binary driver two</v>
          </cell>
          <cell r="C8">
            <v>-18</v>
          </cell>
          <cell r="D8">
            <v>-5</v>
          </cell>
          <cell r="E8">
            <v>-7</v>
          </cell>
          <cell r="F8">
            <v>3</v>
          </cell>
          <cell r="G8">
            <v>2</v>
          </cell>
          <cell r="H8">
            <v>12</v>
          </cell>
          <cell r="I8">
            <v>17</v>
          </cell>
        </row>
        <row r="9">
          <cell r="B9" t="str">
            <v>Binary driver three</v>
          </cell>
          <cell r="C9">
            <v>-12</v>
          </cell>
          <cell r="D9">
            <v>-6</v>
          </cell>
          <cell r="E9">
            <v>-12</v>
          </cell>
          <cell r="F9">
            <v>5</v>
          </cell>
          <cell r="G9">
            <v>3</v>
          </cell>
          <cell r="H9">
            <v>9</v>
          </cell>
          <cell r="I9">
            <v>17</v>
          </cell>
        </row>
        <row r="10">
          <cell r="B10" t="str">
            <v>Bull only driver one</v>
          </cell>
          <cell r="C10">
            <v>-12</v>
          </cell>
          <cell r="E10">
            <v>-18</v>
          </cell>
          <cell r="F10">
            <v>8</v>
          </cell>
          <cell r="G10">
            <v>4</v>
          </cell>
          <cell r="H10">
            <v>5</v>
          </cell>
          <cell r="I10">
            <v>17</v>
          </cell>
        </row>
        <row r="11">
          <cell r="B11" t="str">
            <v>Bull only driver two</v>
          </cell>
          <cell r="C11">
            <v>-12</v>
          </cell>
          <cell r="E11">
            <v>-18</v>
          </cell>
          <cell r="F11">
            <v>12</v>
          </cell>
          <cell r="G11">
            <v>5</v>
          </cell>
          <cell r="H11">
            <v>0</v>
          </cell>
          <cell r="I11">
            <v>17</v>
          </cell>
        </row>
        <row r="12">
          <cell r="B12" t="str">
            <v>Bear only driver one</v>
          </cell>
          <cell r="C12">
            <v>-8</v>
          </cell>
          <cell r="D12">
            <v>-4</v>
          </cell>
          <cell r="E12">
            <v>-18</v>
          </cell>
          <cell r="F12">
            <v>17</v>
          </cell>
          <cell r="H12">
            <v>0</v>
          </cell>
          <cell r="I12">
            <v>17</v>
          </cell>
        </row>
        <row r="13">
          <cell r="B13" t="str">
            <v>Bear only driver two</v>
          </cell>
          <cell r="C13">
            <v>-5</v>
          </cell>
          <cell r="D13">
            <v>-3</v>
          </cell>
          <cell r="E13">
            <v>-22</v>
          </cell>
          <cell r="F13">
            <v>17</v>
          </cell>
          <cell r="H13">
            <v>0</v>
          </cell>
          <cell r="I13">
            <v>17</v>
          </cell>
        </row>
        <row r="14">
          <cell r="B14" t="str">
            <v>Bear only driver three</v>
          </cell>
          <cell r="C14">
            <v>0</v>
          </cell>
          <cell r="D14">
            <v>-5</v>
          </cell>
          <cell r="E14">
            <v>-25</v>
          </cell>
          <cell r="F14">
            <v>17</v>
          </cell>
          <cell r="H14">
            <v>0</v>
          </cell>
          <cell r="I14">
            <v>17</v>
          </cell>
        </row>
        <row r="16">
          <cell r="C16" t="str">
            <v>-space1</v>
          </cell>
          <cell r="D16" t="str">
            <v>-bear</v>
          </cell>
          <cell r="E16" t="str">
            <v>-space2</v>
          </cell>
          <cell r="F16" t="str">
            <v>+space1</v>
          </cell>
          <cell r="G16" t="str">
            <v>+bull</v>
          </cell>
          <cell r="H16" t="str">
            <v>+space2</v>
          </cell>
          <cell r="I16" t="str">
            <v>Bear  10.00</v>
          </cell>
          <cell r="J16" t="str">
            <v>Base  40.00</v>
          </cell>
          <cell r="K16" t="str">
            <v>Bull: 57.00</v>
          </cell>
          <cell r="L16">
            <v>0</v>
          </cell>
        </row>
        <row r="18">
          <cell r="B18" t="str">
            <v>Binary driver one</v>
          </cell>
          <cell r="C18">
            <v>0</v>
          </cell>
          <cell r="D18">
            <v>-7</v>
          </cell>
          <cell r="E18">
            <v>-23</v>
          </cell>
          <cell r="F18">
            <v>0</v>
          </cell>
          <cell r="G18">
            <v>3</v>
          </cell>
          <cell r="H18">
            <v>14</v>
          </cell>
          <cell r="I18">
            <v>-30</v>
          </cell>
          <cell r="J18">
            <v>0</v>
          </cell>
          <cell r="K18">
            <v>17</v>
          </cell>
          <cell r="L18">
            <v>0</v>
          </cell>
        </row>
        <row r="19">
          <cell r="B19" t="str">
            <v>Binary driver two</v>
          </cell>
          <cell r="C19">
            <v>-7</v>
          </cell>
          <cell r="D19">
            <v>-5</v>
          </cell>
          <cell r="E19">
            <v>-18</v>
          </cell>
          <cell r="F19">
            <v>3</v>
          </cell>
          <cell r="G19">
            <v>2</v>
          </cell>
          <cell r="H19">
            <v>12</v>
          </cell>
          <cell r="I19">
            <v>-30</v>
          </cell>
          <cell r="J19">
            <v>0</v>
          </cell>
          <cell r="K19">
            <v>17</v>
          </cell>
          <cell r="L19">
            <v>0</v>
          </cell>
        </row>
        <row r="20">
          <cell r="B20" t="str">
            <v>Binary driver three</v>
          </cell>
          <cell r="C20">
            <v>-12</v>
          </cell>
          <cell r="D20">
            <v>-6</v>
          </cell>
          <cell r="E20">
            <v>-12</v>
          </cell>
          <cell r="F20">
            <v>5</v>
          </cell>
          <cell r="G20">
            <v>3</v>
          </cell>
          <cell r="H20">
            <v>9</v>
          </cell>
          <cell r="I20">
            <v>-30</v>
          </cell>
          <cell r="J20">
            <v>0</v>
          </cell>
          <cell r="K20">
            <v>17</v>
          </cell>
          <cell r="L20">
            <v>0</v>
          </cell>
        </row>
        <row r="21">
          <cell r="B21" t="str">
            <v>Bull only driver one</v>
          </cell>
          <cell r="C21">
            <v>-18</v>
          </cell>
          <cell r="D21">
            <v>0</v>
          </cell>
          <cell r="E21">
            <v>-12</v>
          </cell>
          <cell r="F21">
            <v>8</v>
          </cell>
          <cell r="G21">
            <v>4</v>
          </cell>
          <cell r="H21">
            <v>5</v>
          </cell>
          <cell r="I21">
            <v>-30</v>
          </cell>
          <cell r="J21">
            <v>0</v>
          </cell>
          <cell r="K21">
            <v>17</v>
          </cell>
          <cell r="L21">
            <v>0</v>
          </cell>
        </row>
        <row r="22">
          <cell r="B22" t="str">
            <v>Bull only driver two</v>
          </cell>
          <cell r="C22">
            <v>-18</v>
          </cell>
          <cell r="D22">
            <v>0</v>
          </cell>
          <cell r="E22">
            <v>-12</v>
          </cell>
          <cell r="F22">
            <v>12</v>
          </cell>
          <cell r="G22">
            <v>5</v>
          </cell>
          <cell r="H22">
            <v>0</v>
          </cell>
          <cell r="I22">
            <v>-30</v>
          </cell>
          <cell r="J22">
            <v>0</v>
          </cell>
          <cell r="K22">
            <v>17</v>
          </cell>
          <cell r="L22">
            <v>0</v>
          </cell>
        </row>
        <row r="23">
          <cell r="B23" t="str">
            <v>Bear only driver one</v>
          </cell>
          <cell r="C23">
            <v>-18</v>
          </cell>
          <cell r="D23">
            <v>-4</v>
          </cell>
          <cell r="E23">
            <v>-8</v>
          </cell>
          <cell r="F23">
            <v>17</v>
          </cell>
          <cell r="G23">
            <v>0</v>
          </cell>
          <cell r="H23">
            <v>0</v>
          </cell>
          <cell r="I23">
            <v>-30</v>
          </cell>
          <cell r="J23">
            <v>0</v>
          </cell>
          <cell r="K23">
            <v>17</v>
          </cell>
          <cell r="L23">
            <v>0</v>
          </cell>
        </row>
        <row r="24">
          <cell r="B24" t="str">
            <v>Bear only driver two</v>
          </cell>
          <cell r="C24">
            <v>-22</v>
          </cell>
          <cell r="D24">
            <v>-3</v>
          </cell>
          <cell r="E24">
            <v>-5</v>
          </cell>
          <cell r="F24">
            <v>17</v>
          </cell>
          <cell r="G24">
            <v>0</v>
          </cell>
          <cell r="H24">
            <v>0</v>
          </cell>
          <cell r="I24">
            <v>-30</v>
          </cell>
          <cell r="J24">
            <v>0</v>
          </cell>
          <cell r="K24">
            <v>17</v>
          </cell>
          <cell r="L24">
            <v>0</v>
          </cell>
        </row>
        <row r="25">
          <cell r="B25" t="str">
            <v>Bear only driver three</v>
          </cell>
          <cell r="C25">
            <v>-25</v>
          </cell>
          <cell r="D25">
            <v>-5</v>
          </cell>
          <cell r="E25">
            <v>0</v>
          </cell>
          <cell r="F25">
            <v>17</v>
          </cell>
          <cell r="G25">
            <v>0</v>
          </cell>
          <cell r="H25">
            <v>0</v>
          </cell>
          <cell r="I25">
            <v>-30</v>
          </cell>
          <cell r="J25">
            <v>0</v>
          </cell>
          <cell r="K25">
            <v>17</v>
          </cell>
          <cell r="L25">
            <v>0</v>
          </cell>
        </row>
        <row r="26">
          <cell r="I26">
            <v>-30</v>
          </cell>
          <cell r="J26">
            <v>0</v>
          </cell>
          <cell r="K26">
            <v>17</v>
          </cell>
          <cell r="L26">
            <v>0</v>
          </cell>
        </row>
        <row r="27">
          <cell r="I27">
            <v>-30</v>
          </cell>
          <cell r="J27">
            <v>0</v>
          </cell>
          <cell r="K27">
            <v>17</v>
          </cell>
          <cell r="L27">
            <v>0</v>
          </cell>
        </row>
        <row r="28">
          <cell r="B28" t="str">
            <v>Bear</v>
          </cell>
          <cell r="C28">
            <v>10</v>
          </cell>
        </row>
        <row r="29">
          <cell r="B29" t="str">
            <v>Base</v>
          </cell>
          <cell r="C29">
            <v>40</v>
          </cell>
          <cell r="K29" t="str">
            <v>Note: Price Target = Base Case unless otherwise indicated.</v>
          </cell>
        </row>
        <row r="30">
          <cell r="B30" t="str">
            <v>Bull</v>
          </cell>
          <cell r="C30">
            <v>57</v>
          </cell>
        </row>
        <row r="31">
          <cell r="B31" t="str">
            <v>Price Target</v>
          </cell>
          <cell r="C31">
            <v>40</v>
          </cell>
        </row>
        <row r="35">
          <cell r="I35" t="str">
            <v>s</v>
          </cell>
        </row>
      </sheetData>
      <sheetData sheetId="7" refreshError="1"/>
      <sheetData sheetId="8" refreshError="1">
        <row r="4">
          <cell r="C4" t="str">
            <v>Bear</v>
          </cell>
          <cell r="E4" t="str">
            <v>Base</v>
          </cell>
          <cell r="H4" t="str">
            <v>Bull</v>
          </cell>
        </row>
        <row r="5">
          <cell r="B5">
            <v>-30</v>
          </cell>
          <cell r="C5">
            <v>-30</v>
          </cell>
          <cell r="E5">
            <v>40</v>
          </cell>
          <cell r="H5">
            <v>17</v>
          </cell>
          <cell r="J5">
            <v>17</v>
          </cell>
        </row>
        <row r="6">
          <cell r="C6" t="str">
            <v>-space2</v>
          </cell>
          <cell r="D6" t="str">
            <v>-bear</v>
          </cell>
          <cell r="E6" t="str">
            <v>-space1</v>
          </cell>
          <cell r="F6" t="str">
            <v>+space1</v>
          </cell>
          <cell r="G6" t="str">
            <v>+bull</v>
          </cell>
          <cell r="H6" t="str">
            <v>+space2</v>
          </cell>
        </row>
        <row r="7">
          <cell r="B7" t="str">
            <v>Binary driver one</v>
          </cell>
          <cell r="C7">
            <v>-23</v>
          </cell>
          <cell r="D7">
            <v>-7</v>
          </cell>
          <cell r="E7">
            <v>0</v>
          </cell>
          <cell r="F7">
            <v>0</v>
          </cell>
          <cell r="G7">
            <v>3</v>
          </cell>
          <cell r="H7">
            <v>14</v>
          </cell>
          <cell r="I7">
            <v>17</v>
          </cell>
        </row>
        <row r="8">
          <cell r="B8" t="str">
            <v>Binary driver two</v>
          </cell>
          <cell r="C8">
            <v>-18</v>
          </cell>
          <cell r="D8">
            <v>-5</v>
          </cell>
          <cell r="E8">
            <v>-7</v>
          </cell>
          <cell r="F8">
            <v>3</v>
          </cell>
          <cell r="G8">
            <v>2</v>
          </cell>
          <cell r="H8">
            <v>12</v>
          </cell>
          <cell r="I8">
            <v>17</v>
          </cell>
        </row>
        <row r="9">
          <cell r="B9" t="str">
            <v>Driver number three</v>
          </cell>
          <cell r="C9">
            <v>-12</v>
          </cell>
          <cell r="D9">
            <v>-6</v>
          </cell>
          <cell r="E9">
            <v>-12</v>
          </cell>
          <cell r="F9">
            <v>5</v>
          </cell>
          <cell r="G9">
            <v>3</v>
          </cell>
          <cell r="H9">
            <v>9</v>
          </cell>
          <cell r="I9">
            <v>17</v>
          </cell>
        </row>
        <row r="10">
          <cell r="B10" t="str">
            <v>Bull only driver one</v>
          </cell>
          <cell r="C10">
            <v>-12</v>
          </cell>
          <cell r="E10">
            <v>-18</v>
          </cell>
          <cell r="F10">
            <v>8</v>
          </cell>
          <cell r="G10">
            <v>4</v>
          </cell>
          <cell r="H10">
            <v>5</v>
          </cell>
          <cell r="I10">
            <v>17</v>
          </cell>
        </row>
        <row r="11">
          <cell r="B11" t="str">
            <v>Bull only driver two</v>
          </cell>
          <cell r="C11">
            <v>-12</v>
          </cell>
          <cell r="E11">
            <v>-18</v>
          </cell>
          <cell r="F11">
            <v>12</v>
          </cell>
          <cell r="G11">
            <v>5</v>
          </cell>
          <cell r="H11">
            <v>0</v>
          </cell>
          <cell r="I11">
            <v>17</v>
          </cell>
        </row>
        <row r="12">
          <cell r="B12" t="str">
            <v>Bear only driver one</v>
          </cell>
          <cell r="C12">
            <v>-8</v>
          </cell>
          <cell r="D12">
            <v>-4</v>
          </cell>
          <cell r="E12">
            <v>-18</v>
          </cell>
          <cell r="F12">
            <v>17</v>
          </cell>
          <cell r="H12">
            <v>0</v>
          </cell>
          <cell r="I12">
            <v>17</v>
          </cell>
        </row>
        <row r="13">
          <cell r="B13" t="str">
            <v>Bear only driver two</v>
          </cell>
          <cell r="C13">
            <v>-5</v>
          </cell>
          <cell r="D13">
            <v>-3</v>
          </cell>
          <cell r="E13">
            <v>-22</v>
          </cell>
          <cell r="F13">
            <v>17</v>
          </cell>
          <cell r="H13">
            <v>0</v>
          </cell>
          <cell r="I13">
            <v>17</v>
          </cell>
        </row>
        <row r="14">
          <cell r="B14" t="str">
            <v>Bear only driver three</v>
          </cell>
          <cell r="C14">
            <v>0</v>
          </cell>
          <cell r="D14">
            <v>-5</v>
          </cell>
          <cell r="E14">
            <v>-25</v>
          </cell>
          <cell r="F14">
            <v>17</v>
          </cell>
          <cell r="H14">
            <v>0</v>
          </cell>
          <cell r="I14">
            <v>17</v>
          </cell>
        </row>
        <row r="16">
          <cell r="C16" t="str">
            <v>-space1</v>
          </cell>
          <cell r="D16" t="str">
            <v>-bear</v>
          </cell>
          <cell r="E16" t="str">
            <v>-space2</v>
          </cell>
          <cell r="F16" t="str">
            <v>+space1</v>
          </cell>
          <cell r="G16" t="str">
            <v>+bull</v>
          </cell>
          <cell r="H16" t="str">
            <v>+space2</v>
          </cell>
          <cell r="I16" t="str">
            <v>Bear  10.00</v>
          </cell>
          <cell r="J16" t="str">
            <v>Base  40.00</v>
          </cell>
          <cell r="K16" t="str">
            <v>Bull: 57.00</v>
          </cell>
          <cell r="L16">
            <v>0</v>
          </cell>
        </row>
        <row r="18">
          <cell r="B18" t="str">
            <v>Binary driver one</v>
          </cell>
          <cell r="C18">
            <v>0</v>
          </cell>
          <cell r="D18">
            <v>-7</v>
          </cell>
          <cell r="E18">
            <v>-23</v>
          </cell>
          <cell r="F18">
            <v>0</v>
          </cell>
          <cell r="G18">
            <v>3</v>
          </cell>
          <cell r="H18">
            <v>14</v>
          </cell>
          <cell r="I18">
            <v>-30</v>
          </cell>
          <cell r="J18">
            <v>0</v>
          </cell>
          <cell r="K18">
            <v>17</v>
          </cell>
          <cell r="L18">
            <v>0</v>
          </cell>
        </row>
        <row r="19">
          <cell r="B19" t="str">
            <v>Binary driver two</v>
          </cell>
          <cell r="C19">
            <v>-7</v>
          </cell>
          <cell r="D19">
            <v>-5</v>
          </cell>
          <cell r="E19">
            <v>-18</v>
          </cell>
          <cell r="F19">
            <v>3</v>
          </cell>
          <cell r="G19">
            <v>2</v>
          </cell>
          <cell r="H19">
            <v>12</v>
          </cell>
          <cell r="I19">
            <v>-30</v>
          </cell>
          <cell r="J19">
            <v>0</v>
          </cell>
          <cell r="K19">
            <v>17</v>
          </cell>
          <cell r="L19">
            <v>0</v>
          </cell>
        </row>
        <row r="20">
          <cell r="B20" t="str">
            <v>Driver number three</v>
          </cell>
          <cell r="C20">
            <v>-12</v>
          </cell>
          <cell r="D20">
            <v>-6</v>
          </cell>
          <cell r="E20">
            <v>-12</v>
          </cell>
          <cell r="F20">
            <v>5</v>
          </cell>
          <cell r="G20">
            <v>3</v>
          </cell>
          <cell r="H20">
            <v>9</v>
          </cell>
          <cell r="I20">
            <v>-30</v>
          </cell>
          <cell r="J20">
            <v>0</v>
          </cell>
          <cell r="K20">
            <v>17</v>
          </cell>
          <cell r="L20">
            <v>0</v>
          </cell>
        </row>
        <row r="21">
          <cell r="B21" t="str">
            <v>Bull only driver one</v>
          </cell>
          <cell r="C21">
            <v>-18</v>
          </cell>
          <cell r="D21">
            <v>0</v>
          </cell>
          <cell r="E21">
            <v>-12</v>
          </cell>
          <cell r="F21">
            <v>8</v>
          </cell>
          <cell r="G21">
            <v>4</v>
          </cell>
          <cell r="H21">
            <v>5</v>
          </cell>
          <cell r="I21">
            <v>-30</v>
          </cell>
          <cell r="J21">
            <v>0</v>
          </cell>
          <cell r="K21">
            <v>17</v>
          </cell>
          <cell r="L21">
            <v>0</v>
          </cell>
        </row>
        <row r="22">
          <cell r="B22" t="str">
            <v>Bull only driver two</v>
          </cell>
          <cell r="C22">
            <v>-18</v>
          </cell>
          <cell r="D22">
            <v>0</v>
          </cell>
          <cell r="E22">
            <v>-12</v>
          </cell>
          <cell r="F22">
            <v>12</v>
          </cell>
          <cell r="G22">
            <v>5</v>
          </cell>
          <cell r="H22">
            <v>0</v>
          </cell>
          <cell r="I22">
            <v>-30</v>
          </cell>
          <cell r="J22">
            <v>0</v>
          </cell>
          <cell r="K22">
            <v>17</v>
          </cell>
          <cell r="L22">
            <v>0</v>
          </cell>
        </row>
        <row r="23">
          <cell r="B23" t="str">
            <v>Bear only driver one</v>
          </cell>
          <cell r="C23">
            <v>-18</v>
          </cell>
          <cell r="D23">
            <v>-4</v>
          </cell>
          <cell r="E23">
            <v>-8</v>
          </cell>
          <cell r="F23">
            <v>17</v>
          </cell>
          <cell r="G23">
            <v>0</v>
          </cell>
          <cell r="H23">
            <v>0</v>
          </cell>
          <cell r="I23">
            <v>-30</v>
          </cell>
          <cell r="J23">
            <v>0</v>
          </cell>
          <cell r="K23">
            <v>17</v>
          </cell>
          <cell r="L23">
            <v>0</v>
          </cell>
        </row>
        <row r="24">
          <cell r="B24" t="str">
            <v>Bear only driver two</v>
          </cell>
          <cell r="C24">
            <v>-22</v>
          </cell>
          <cell r="D24">
            <v>-3</v>
          </cell>
          <cell r="E24">
            <v>-5</v>
          </cell>
          <cell r="F24">
            <v>17</v>
          </cell>
          <cell r="G24">
            <v>0</v>
          </cell>
          <cell r="H24">
            <v>0</v>
          </cell>
          <cell r="I24">
            <v>-30</v>
          </cell>
          <cell r="J24">
            <v>0</v>
          </cell>
          <cell r="K24">
            <v>17</v>
          </cell>
          <cell r="L24">
            <v>0</v>
          </cell>
        </row>
        <row r="25">
          <cell r="B25" t="str">
            <v>Bear only driver three</v>
          </cell>
          <cell r="C25">
            <v>-25</v>
          </cell>
          <cell r="D25">
            <v>-5</v>
          </cell>
          <cell r="E25">
            <v>0</v>
          </cell>
          <cell r="F25">
            <v>17</v>
          </cell>
          <cell r="G25">
            <v>0</v>
          </cell>
          <cell r="H25">
            <v>0</v>
          </cell>
          <cell r="I25">
            <v>-30</v>
          </cell>
          <cell r="J25">
            <v>0</v>
          </cell>
          <cell r="K25">
            <v>17</v>
          </cell>
          <cell r="L25">
            <v>0</v>
          </cell>
        </row>
        <row r="26">
          <cell r="I26">
            <v>-30</v>
          </cell>
          <cell r="J26">
            <v>0</v>
          </cell>
          <cell r="K26">
            <v>17</v>
          </cell>
          <cell r="L26">
            <v>0</v>
          </cell>
        </row>
        <row r="27">
          <cell r="I27">
            <v>-30</v>
          </cell>
          <cell r="J27">
            <v>0</v>
          </cell>
          <cell r="K27">
            <v>17</v>
          </cell>
          <cell r="L27">
            <v>0</v>
          </cell>
        </row>
        <row r="28">
          <cell r="B28" t="str">
            <v>Bear</v>
          </cell>
          <cell r="C28">
            <v>10</v>
          </cell>
        </row>
        <row r="29">
          <cell r="B29" t="str">
            <v>Base</v>
          </cell>
          <cell r="C29">
            <v>40</v>
          </cell>
          <cell r="K29" t="str">
            <v>Note: Price Target = Base Case unless otherwise indicated.</v>
          </cell>
        </row>
        <row r="30">
          <cell r="B30" t="str">
            <v>Bull</v>
          </cell>
          <cell r="C30">
            <v>57</v>
          </cell>
        </row>
        <row r="31">
          <cell r="B31" t="str">
            <v>Price Target</v>
          </cell>
          <cell r="C31">
            <v>40</v>
          </cell>
        </row>
        <row r="35">
          <cell r="I35" t="str">
            <v>s</v>
          </cell>
        </row>
      </sheetData>
      <sheetData sheetId="9" refreshError="1"/>
      <sheetData sheetId="10" refreshError="1"/>
      <sheetData sheetId="11" refreshError="1"/>
      <sheetData sheetId="12" refreshError="1"/>
      <sheetData sheetId="13" refreshError="1"/>
      <sheetData sheetId="14" refreshError="1"/>
      <sheetData sheetId="15" refreshError="1">
        <row r="4">
          <cell r="C4" t="str">
            <v>Bear</v>
          </cell>
          <cell r="E4" t="str">
            <v>Base</v>
          </cell>
          <cell r="H4" t="str">
            <v>Bull</v>
          </cell>
        </row>
        <row r="5">
          <cell r="B5">
            <v>-36</v>
          </cell>
          <cell r="C5">
            <v>-36</v>
          </cell>
          <cell r="E5">
            <v>40</v>
          </cell>
          <cell r="H5">
            <v>18</v>
          </cell>
          <cell r="J5">
            <v>18</v>
          </cell>
        </row>
        <row r="6">
          <cell r="A6" t="str">
            <v>check</v>
          </cell>
          <cell r="C6" t="str">
            <v>-space2</v>
          </cell>
          <cell r="D6" t="str">
            <v>-bear</v>
          </cell>
          <cell r="E6" t="str">
            <v>-space1</v>
          </cell>
          <cell r="F6" t="str">
            <v>+space1</v>
          </cell>
          <cell r="G6" t="str">
            <v>+bull</v>
          </cell>
          <cell r="H6" t="str">
            <v>+space2</v>
          </cell>
        </row>
        <row r="7">
          <cell r="A7">
            <v>-36</v>
          </cell>
          <cell r="B7" t="str">
            <v>This is long label number one</v>
          </cell>
          <cell r="C7">
            <v>-32</v>
          </cell>
          <cell r="D7">
            <v>-4</v>
          </cell>
          <cell r="E7">
            <v>0</v>
          </cell>
          <cell r="F7">
            <v>0</v>
          </cell>
          <cell r="G7">
            <v>4</v>
          </cell>
          <cell r="H7">
            <v>14</v>
          </cell>
          <cell r="I7">
            <v>18</v>
          </cell>
        </row>
        <row r="8">
          <cell r="A8">
            <v>-36</v>
          </cell>
          <cell r="B8" t="str">
            <v>This is long label number two</v>
          </cell>
          <cell r="C8">
            <v>-27</v>
          </cell>
          <cell r="D8">
            <v>-5</v>
          </cell>
          <cell r="E8">
            <v>-4</v>
          </cell>
          <cell r="F8">
            <v>4</v>
          </cell>
          <cell r="G8">
            <v>2</v>
          </cell>
          <cell r="H8">
            <v>12</v>
          </cell>
          <cell r="I8">
            <v>18</v>
          </cell>
        </row>
        <row r="9">
          <cell r="A9">
            <v>-36</v>
          </cell>
          <cell r="B9" t="str">
            <v>This is long label number three</v>
          </cell>
          <cell r="C9">
            <v>-21</v>
          </cell>
          <cell r="D9">
            <v>-6</v>
          </cell>
          <cell r="E9">
            <v>-9</v>
          </cell>
          <cell r="F9">
            <v>6</v>
          </cell>
          <cell r="G9">
            <v>3</v>
          </cell>
          <cell r="H9">
            <v>9</v>
          </cell>
          <cell r="I9">
            <v>18</v>
          </cell>
        </row>
        <row r="10">
          <cell r="A10">
            <v>-36</v>
          </cell>
          <cell r="B10" t="str">
            <v>This is long label number four</v>
          </cell>
          <cell r="C10">
            <v>-17</v>
          </cell>
          <cell r="D10">
            <v>-4</v>
          </cell>
          <cell r="E10">
            <v>-15</v>
          </cell>
          <cell r="F10">
            <v>9</v>
          </cell>
          <cell r="G10">
            <v>4</v>
          </cell>
          <cell r="H10">
            <v>5</v>
          </cell>
          <cell r="I10">
            <v>18</v>
          </cell>
        </row>
        <row r="11">
          <cell r="A11">
            <v>-36</v>
          </cell>
          <cell r="B11" t="str">
            <v>This is long label number five</v>
          </cell>
          <cell r="C11">
            <v>-12</v>
          </cell>
          <cell r="D11">
            <v>-5</v>
          </cell>
          <cell r="E11">
            <v>-19</v>
          </cell>
          <cell r="F11">
            <v>13</v>
          </cell>
          <cell r="G11">
            <v>5</v>
          </cell>
          <cell r="H11">
            <v>0</v>
          </cell>
          <cell r="I11">
            <v>18</v>
          </cell>
        </row>
        <row r="12">
          <cell r="A12">
            <v>-36</v>
          </cell>
          <cell r="B12" t="str">
            <v>This is long label number six</v>
          </cell>
          <cell r="C12">
            <v>-8</v>
          </cell>
          <cell r="D12">
            <v>-4</v>
          </cell>
          <cell r="E12">
            <v>-24</v>
          </cell>
          <cell r="F12">
            <v>18</v>
          </cell>
          <cell r="H12">
            <v>0</v>
          </cell>
          <cell r="I12">
            <v>18</v>
          </cell>
        </row>
        <row r="13">
          <cell r="A13">
            <v>-36</v>
          </cell>
          <cell r="B13" t="str">
            <v>This is long label number seven</v>
          </cell>
          <cell r="C13">
            <v>-5</v>
          </cell>
          <cell r="D13">
            <v>-3</v>
          </cell>
          <cell r="E13">
            <v>-28</v>
          </cell>
          <cell r="F13">
            <v>18</v>
          </cell>
          <cell r="H13">
            <v>0</v>
          </cell>
          <cell r="I13">
            <v>18</v>
          </cell>
        </row>
        <row r="14">
          <cell r="A14">
            <v>-36</v>
          </cell>
          <cell r="B14" t="str">
            <v>This is long label number eight</v>
          </cell>
          <cell r="C14">
            <v>0</v>
          </cell>
          <cell r="D14">
            <v>-5</v>
          </cell>
          <cell r="E14">
            <v>-31</v>
          </cell>
          <cell r="F14">
            <v>18</v>
          </cell>
          <cell r="H14">
            <v>0</v>
          </cell>
          <cell r="I14">
            <v>18</v>
          </cell>
        </row>
        <row r="16">
          <cell r="C16" t="str">
            <v>-space1</v>
          </cell>
          <cell r="D16" t="str">
            <v>-bear</v>
          </cell>
          <cell r="E16" t="str">
            <v>-space2</v>
          </cell>
          <cell r="F16" t="str">
            <v>+space1</v>
          </cell>
          <cell r="G16" t="str">
            <v>+bull</v>
          </cell>
          <cell r="H16" t="str">
            <v>+space2</v>
          </cell>
          <cell r="I16" t="str">
            <v>Bear  4.00</v>
          </cell>
          <cell r="J16" t="str">
            <v>Base  40.00</v>
          </cell>
          <cell r="K16" t="str">
            <v>Bull: 58.00</v>
          </cell>
          <cell r="L16" t="str">
            <v>PT:
42.00</v>
          </cell>
        </row>
        <row r="18">
          <cell r="B18" t="str">
            <v>Driver number one</v>
          </cell>
          <cell r="C18">
            <v>0</v>
          </cell>
          <cell r="D18">
            <v>-4</v>
          </cell>
          <cell r="E18">
            <v>-32</v>
          </cell>
          <cell r="F18">
            <v>0</v>
          </cell>
          <cell r="G18">
            <v>4</v>
          </cell>
          <cell r="H18">
            <v>14</v>
          </cell>
          <cell r="I18">
            <v>-36</v>
          </cell>
          <cell r="J18">
            <v>0</v>
          </cell>
          <cell r="K18">
            <v>18</v>
          </cell>
          <cell r="L18">
            <v>2</v>
          </cell>
        </row>
        <row r="19">
          <cell r="B19" t="str">
            <v>Driver number two</v>
          </cell>
          <cell r="C19">
            <v>-4</v>
          </cell>
          <cell r="D19">
            <v>-5</v>
          </cell>
          <cell r="E19">
            <v>-27</v>
          </cell>
          <cell r="F19">
            <v>4</v>
          </cell>
          <cell r="G19">
            <v>2</v>
          </cell>
          <cell r="H19">
            <v>12</v>
          </cell>
          <cell r="I19">
            <v>-36</v>
          </cell>
          <cell r="J19">
            <v>0</v>
          </cell>
          <cell r="K19">
            <v>18</v>
          </cell>
          <cell r="L19">
            <v>2</v>
          </cell>
        </row>
        <row r="20">
          <cell r="B20" t="str">
            <v>Driver number three</v>
          </cell>
          <cell r="C20">
            <v>-9</v>
          </cell>
          <cell r="D20">
            <v>-6</v>
          </cell>
          <cell r="E20">
            <v>-21</v>
          </cell>
          <cell r="F20">
            <v>6</v>
          </cell>
          <cell r="G20">
            <v>3</v>
          </cell>
          <cell r="H20">
            <v>9</v>
          </cell>
          <cell r="I20">
            <v>-36</v>
          </cell>
          <cell r="J20">
            <v>0</v>
          </cell>
          <cell r="K20">
            <v>18</v>
          </cell>
          <cell r="L20">
            <v>2</v>
          </cell>
        </row>
        <row r="21">
          <cell r="B21" t="str">
            <v>Driver number four</v>
          </cell>
          <cell r="C21">
            <v>-15</v>
          </cell>
          <cell r="D21">
            <v>-4</v>
          </cell>
          <cell r="E21">
            <v>-17</v>
          </cell>
          <cell r="F21">
            <v>9</v>
          </cell>
          <cell r="G21">
            <v>4</v>
          </cell>
          <cell r="H21">
            <v>5</v>
          </cell>
          <cell r="I21">
            <v>-36</v>
          </cell>
          <cell r="J21">
            <v>0</v>
          </cell>
          <cell r="K21">
            <v>18</v>
          </cell>
          <cell r="L21">
            <v>2</v>
          </cell>
        </row>
        <row r="22">
          <cell r="B22" t="str">
            <v>Driver number five</v>
          </cell>
          <cell r="C22">
            <v>-19</v>
          </cell>
          <cell r="D22">
            <v>-5</v>
          </cell>
          <cell r="E22">
            <v>-12</v>
          </cell>
          <cell r="F22">
            <v>13</v>
          </cell>
          <cell r="G22">
            <v>5</v>
          </cell>
          <cell r="H22">
            <v>0</v>
          </cell>
          <cell r="I22">
            <v>-36</v>
          </cell>
          <cell r="J22">
            <v>0</v>
          </cell>
          <cell r="K22">
            <v>18</v>
          </cell>
          <cell r="L22">
            <v>2</v>
          </cell>
        </row>
        <row r="23">
          <cell r="B23" t="str">
            <v>Driver number six</v>
          </cell>
          <cell r="C23">
            <v>-24</v>
          </cell>
          <cell r="D23">
            <v>-4</v>
          </cell>
          <cell r="E23">
            <v>-8</v>
          </cell>
          <cell r="F23">
            <v>18</v>
          </cell>
          <cell r="G23">
            <v>0</v>
          </cell>
          <cell r="H23">
            <v>0</v>
          </cell>
          <cell r="I23">
            <v>-36</v>
          </cell>
          <cell r="J23">
            <v>0</v>
          </cell>
          <cell r="K23">
            <v>18</v>
          </cell>
          <cell r="L23">
            <v>2</v>
          </cell>
        </row>
        <row r="24">
          <cell r="B24" t="str">
            <v>Driver number seven</v>
          </cell>
          <cell r="C24">
            <v>-28</v>
          </cell>
          <cell r="D24">
            <v>-3</v>
          </cell>
          <cell r="E24">
            <v>-5</v>
          </cell>
          <cell r="F24">
            <v>18</v>
          </cell>
          <cell r="G24">
            <v>0</v>
          </cell>
          <cell r="H24">
            <v>0</v>
          </cell>
          <cell r="I24">
            <v>-36</v>
          </cell>
          <cell r="J24">
            <v>0</v>
          </cell>
          <cell r="K24">
            <v>18</v>
          </cell>
          <cell r="L24">
            <v>2</v>
          </cell>
        </row>
        <row r="25">
          <cell r="B25" t="str">
            <v>Driver number eight</v>
          </cell>
          <cell r="C25">
            <v>-31</v>
          </cell>
          <cell r="D25">
            <v>-5</v>
          </cell>
          <cell r="E25">
            <v>0</v>
          </cell>
          <cell r="F25">
            <v>18</v>
          </cell>
          <cell r="G25">
            <v>0</v>
          </cell>
          <cell r="H25">
            <v>0</v>
          </cell>
          <cell r="I25">
            <v>-36</v>
          </cell>
          <cell r="J25">
            <v>0</v>
          </cell>
          <cell r="K25">
            <v>18</v>
          </cell>
          <cell r="L25">
            <v>2</v>
          </cell>
        </row>
        <row r="26">
          <cell r="I26">
            <v>-36</v>
          </cell>
          <cell r="J26">
            <v>0</v>
          </cell>
          <cell r="K26">
            <v>18</v>
          </cell>
          <cell r="L26">
            <v>2</v>
          </cell>
        </row>
        <row r="27">
          <cell r="I27">
            <v>-36</v>
          </cell>
          <cell r="J27">
            <v>0</v>
          </cell>
          <cell r="K27">
            <v>18</v>
          </cell>
          <cell r="L27">
            <v>2</v>
          </cell>
        </row>
        <row r="28">
          <cell r="B28" t="str">
            <v>Bear</v>
          </cell>
          <cell r="C28">
            <v>4</v>
          </cell>
        </row>
        <row r="29">
          <cell r="B29" t="str">
            <v>Base</v>
          </cell>
          <cell r="C29">
            <v>40</v>
          </cell>
        </row>
        <row r="30">
          <cell r="B30" t="str">
            <v>Bull</v>
          </cell>
          <cell r="C30">
            <v>58</v>
          </cell>
        </row>
        <row r="31">
          <cell r="B31" t="str">
            <v>Price Target</v>
          </cell>
          <cell r="C31">
            <v>42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rformance"/>
      <sheetName val="Vs Global"/>
      <sheetName val="PE FY1"/>
      <sheetName val="MW-Cache"/>
      <sheetName val="EVEBITDA FY1"/>
      <sheetName val="Sheet3"/>
      <sheetName val="Peers"/>
      <sheetName val="Risk Reward"/>
    </sheetNames>
    <sheetDataSet>
      <sheetData sheetId="0" refreshError="1"/>
      <sheetData sheetId="1">
        <row r="1">
          <cell r="B1" t="str">
            <v>DASA3-BR</v>
          </cell>
          <cell r="C1" t="str">
            <v>FLRY3-BR</v>
          </cell>
          <cell r="D1" t="str">
            <v>IBOVESPA-BSP</v>
          </cell>
          <cell r="F1" t="str">
            <v>DASA</v>
          </cell>
          <cell r="G1" t="str">
            <v>FLRY</v>
          </cell>
          <cell r="H1" t="str">
            <v>IBOVESPA</v>
          </cell>
        </row>
        <row r="2">
          <cell r="A2">
            <v>40179</v>
          </cell>
          <cell r="B2">
            <v>14.2475</v>
          </cell>
          <cell r="C2">
            <v>18.39</v>
          </cell>
          <cell r="D2">
            <v>68588.41</v>
          </cell>
          <cell r="F2">
            <v>100</v>
          </cell>
          <cell r="G2">
            <v>100</v>
          </cell>
          <cell r="H2">
            <v>100</v>
          </cell>
        </row>
        <row r="3">
          <cell r="A3">
            <v>40180</v>
          </cell>
          <cell r="B3">
            <v>14.2475</v>
          </cell>
          <cell r="C3">
            <v>18.39</v>
          </cell>
          <cell r="D3">
            <v>68588.41</v>
          </cell>
          <cell r="F3">
            <v>100</v>
          </cell>
          <cell r="G3">
            <v>100</v>
          </cell>
          <cell r="H3">
            <v>100</v>
          </cell>
        </row>
        <row r="4">
          <cell r="A4">
            <v>40181</v>
          </cell>
          <cell r="B4">
            <v>14.2475</v>
          </cell>
          <cell r="C4">
            <v>18.39</v>
          </cell>
          <cell r="D4">
            <v>68588.41</v>
          </cell>
          <cell r="F4">
            <v>100</v>
          </cell>
          <cell r="G4">
            <v>100</v>
          </cell>
          <cell r="H4">
            <v>100</v>
          </cell>
        </row>
        <row r="5">
          <cell r="A5">
            <v>40182</v>
          </cell>
          <cell r="B5">
            <v>14.385</v>
          </cell>
          <cell r="C5">
            <v>18.100000000000001</v>
          </cell>
          <cell r="D5">
            <v>70045.08</v>
          </cell>
          <cell r="F5">
            <v>100.96508159326196</v>
          </cell>
          <cell r="G5">
            <v>98.423056008700385</v>
          </cell>
          <cell r="H5">
            <v>102.1237844702917</v>
          </cell>
        </row>
        <row r="6">
          <cell r="A6">
            <v>40183</v>
          </cell>
          <cell r="B6">
            <v>14.5</v>
          </cell>
          <cell r="C6">
            <v>18</v>
          </cell>
          <cell r="D6">
            <v>70239.820000000007</v>
          </cell>
          <cell r="F6">
            <v>101.77224074399017</v>
          </cell>
          <cell r="G6">
            <v>97.879282218597069</v>
          </cell>
          <cell r="H6">
            <v>102.40770999065293</v>
          </cell>
        </row>
        <row r="7">
          <cell r="A7">
            <v>40184</v>
          </cell>
          <cell r="B7">
            <v>14.1625</v>
          </cell>
          <cell r="C7">
            <v>18.649999999999999</v>
          </cell>
          <cell r="D7">
            <v>70729.34</v>
          </cell>
          <cell r="F7">
            <v>99.403404105983498</v>
          </cell>
          <cell r="G7">
            <v>101.41381185426862</v>
          </cell>
          <cell r="H7">
            <v>103.1214165775238</v>
          </cell>
        </row>
        <row r="8">
          <cell r="A8">
            <v>40185</v>
          </cell>
          <cell r="B8">
            <v>14.2225</v>
          </cell>
          <cell r="C8">
            <v>18.71</v>
          </cell>
          <cell r="D8">
            <v>70451.12</v>
          </cell>
          <cell r="F8">
            <v>99.824530619406914</v>
          </cell>
          <cell r="G8">
            <v>101.74007612833063</v>
          </cell>
          <cell r="H8">
            <v>102.715779531848</v>
          </cell>
        </row>
        <row r="9">
          <cell r="A9">
            <v>40186</v>
          </cell>
          <cell r="B9">
            <v>14.3</v>
          </cell>
          <cell r="C9">
            <v>19.09</v>
          </cell>
          <cell r="D9">
            <v>70262.7</v>
          </cell>
          <cell r="F9">
            <v>100.36848569924548</v>
          </cell>
          <cell r="G9">
            <v>103.80641653072323</v>
          </cell>
          <cell r="H9">
            <v>102.44106839624945</v>
          </cell>
        </row>
        <row r="10">
          <cell r="A10">
            <v>40187</v>
          </cell>
          <cell r="B10">
            <v>14.3</v>
          </cell>
          <cell r="C10">
            <v>19.09</v>
          </cell>
          <cell r="D10">
            <v>70262.7</v>
          </cell>
          <cell r="F10">
            <v>100.36848569924548</v>
          </cell>
          <cell r="G10">
            <v>103.80641653072323</v>
          </cell>
          <cell r="H10">
            <v>102.44106839624945</v>
          </cell>
        </row>
        <row r="11">
          <cell r="A11">
            <v>40188</v>
          </cell>
          <cell r="B11">
            <v>14.3</v>
          </cell>
          <cell r="C11">
            <v>19.09</v>
          </cell>
          <cell r="D11">
            <v>70262.7</v>
          </cell>
          <cell r="F11">
            <v>100.36848569924548</v>
          </cell>
          <cell r="G11">
            <v>103.80641653072323</v>
          </cell>
          <cell r="H11">
            <v>102.44106839624945</v>
          </cell>
        </row>
        <row r="12">
          <cell r="A12">
            <v>40189</v>
          </cell>
          <cell r="B12">
            <v>14.75</v>
          </cell>
          <cell r="C12">
            <v>19.25</v>
          </cell>
          <cell r="D12">
            <v>70433.490000000005</v>
          </cell>
          <cell r="F12">
            <v>103.52693454992104</v>
          </cell>
          <cell r="G12">
            <v>104.67645459488853</v>
          </cell>
          <cell r="H12">
            <v>102.69007548068252</v>
          </cell>
        </row>
        <row r="13">
          <cell r="A13">
            <v>40190</v>
          </cell>
          <cell r="B13">
            <v>14.512499999999999</v>
          </cell>
          <cell r="C13">
            <v>19.600000000000001</v>
          </cell>
          <cell r="D13">
            <v>70075.78</v>
          </cell>
          <cell r="F13">
            <v>101.85997543428671</v>
          </cell>
          <cell r="G13">
            <v>106.57966286025014</v>
          </cell>
          <cell r="H13">
            <v>102.16854421905974</v>
          </cell>
        </row>
        <row r="14">
          <cell r="A14">
            <v>40191</v>
          </cell>
          <cell r="B14">
            <v>14.5625</v>
          </cell>
          <cell r="C14">
            <v>19.649999999999999</v>
          </cell>
          <cell r="D14">
            <v>70385.47</v>
          </cell>
          <cell r="F14">
            <v>102.21091419547288</v>
          </cell>
          <cell r="G14">
            <v>106.85154975530178</v>
          </cell>
          <cell r="H14">
            <v>102.62006365215348</v>
          </cell>
        </row>
        <row r="15">
          <cell r="A15">
            <v>40192</v>
          </cell>
          <cell r="B15">
            <v>14.4375</v>
          </cell>
          <cell r="C15">
            <v>20</v>
          </cell>
          <cell r="D15">
            <v>69801.42</v>
          </cell>
          <cell r="F15">
            <v>101.33356729250747</v>
          </cell>
          <cell r="G15">
            <v>108.75475802066342</v>
          </cell>
          <cell r="H15">
            <v>101.7685349463561</v>
          </cell>
        </row>
        <row r="16">
          <cell r="A16">
            <v>40193</v>
          </cell>
          <cell r="B16">
            <v>14.25</v>
          </cell>
          <cell r="C16">
            <v>19.71</v>
          </cell>
          <cell r="D16">
            <v>68978.3</v>
          </cell>
          <cell r="F16">
            <v>100.01754693805931</v>
          </cell>
          <cell r="G16">
            <v>107.17781402936379</v>
          </cell>
          <cell r="H16">
            <v>100.56844880935422</v>
          </cell>
        </row>
        <row r="17">
          <cell r="A17">
            <v>40194</v>
          </cell>
          <cell r="B17">
            <v>14.25</v>
          </cell>
          <cell r="C17">
            <v>19.71</v>
          </cell>
          <cell r="D17">
            <v>68978.3</v>
          </cell>
          <cell r="F17">
            <v>100.01754693805931</v>
          </cell>
          <cell r="G17">
            <v>107.17781402936379</v>
          </cell>
          <cell r="H17">
            <v>100.56844880935422</v>
          </cell>
        </row>
        <row r="18">
          <cell r="A18">
            <v>40195</v>
          </cell>
          <cell r="B18">
            <v>14.25</v>
          </cell>
          <cell r="C18">
            <v>19.71</v>
          </cell>
          <cell r="D18">
            <v>68978.3</v>
          </cell>
          <cell r="F18">
            <v>100.01754693805931</v>
          </cell>
          <cell r="G18">
            <v>107.17781402936379</v>
          </cell>
          <cell r="H18">
            <v>100.56844880935422</v>
          </cell>
        </row>
        <row r="19">
          <cell r="A19">
            <v>40196</v>
          </cell>
          <cell r="B19">
            <v>14.25</v>
          </cell>
          <cell r="C19">
            <v>19.71</v>
          </cell>
          <cell r="D19">
            <v>68978.3</v>
          </cell>
          <cell r="F19">
            <v>100.01754693805931</v>
          </cell>
          <cell r="G19">
            <v>107.17781402936379</v>
          </cell>
          <cell r="H19">
            <v>100.56844880935422</v>
          </cell>
        </row>
        <row r="20">
          <cell r="A20">
            <v>40197</v>
          </cell>
          <cell r="B20">
            <v>14.5</v>
          </cell>
          <cell r="C20">
            <v>20.010000000000002</v>
          </cell>
          <cell r="D20">
            <v>69908.59</v>
          </cell>
          <cell r="F20">
            <v>101.77224074399017</v>
          </cell>
          <cell r="G20">
            <v>108.80913539967374</v>
          </cell>
          <cell r="H20">
            <v>101.92478583480793</v>
          </cell>
        </row>
        <row r="21">
          <cell r="A21">
            <v>40198</v>
          </cell>
          <cell r="B21">
            <v>14.725</v>
          </cell>
          <cell r="C21">
            <v>19.75</v>
          </cell>
          <cell r="D21">
            <v>68200.070000000007</v>
          </cell>
          <cell r="F21">
            <v>103.35146516932794</v>
          </cell>
          <cell r="G21">
            <v>107.39532354540511</v>
          </cell>
          <cell r="H21">
            <v>99.433811047668257</v>
          </cell>
        </row>
        <row r="22">
          <cell r="A22">
            <v>40199</v>
          </cell>
          <cell r="B22">
            <v>14.637499999999999</v>
          </cell>
          <cell r="C22">
            <v>19.62</v>
          </cell>
          <cell r="D22">
            <v>66270.14</v>
          </cell>
          <cell r="F22">
            <v>102.73732233725215</v>
          </cell>
          <cell r="G22">
            <v>106.68841761827079</v>
          </cell>
          <cell r="H22">
            <v>96.62002661965775</v>
          </cell>
        </row>
        <row r="23">
          <cell r="A23">
            <v>40200</v>
          </cell>
          <cell r="B23">
            <v>14.4</v>
          </cell>
          <cell r="C23">
            <v>19.5</v>
          </cell>
          <cell r="D23">
            <v>66220.039999999994</v>
          </cell>
          <cell r="F23">
            <v>101.07036322161782</v>
          </cell>
          <cell r="G23">
            <v>106.03588907014681</v>
          </cell>
          <cell r="H23">
            <v>96.546982208801737</v>
          </cell>
        </row>
        <row r="24">
          <cell r="A24">
            <v>40201</v>
          </cell>
          <cell r="B24">
            <v>14.4</v>
          </cell>
          <cell r="C24">
            <v>19.5</v>
          </cell>
          <cell r="D24">
            <v>66220.039999999994</v>
          </cell>
          <cell r="F24">
            <v>101.07036322161782</v>
          </cell>
          <cell r="G24">
            <v>106.03588907014681</v>
          </cell>
          <cell r="H24">
            <v>96.546982208801737</v>
          </cell>
        </row>
        <row r="25">
          <cell r="A25">
            <v>40202</v>
          </cell>
          <cell r="B25">
            <v>14.4</v>
          </cell>
          <cell r="C25">
            <v>19.5</v>
          </cell>
          <cell r="D25">
            <v>66220.039999999994</v>
          </cell>
          <cell r="F25">
            <v>101.07036322161782</v>
          </cell>
          <cell r="G25">
            <v>106.03588907014681</v>
          </cell>
          <cell r="H25">
            <v>96.546982208801737</v>
          </cell>
        </row>
        <row r="26">
          <cell r="A26">
            <v>40203</v>
          </cell>
          <cell r="B26">
            <v>14.4</v>
          </cell>
          <cell r="C26">
            <v>19.5</v>
          </cell>
          <cell r="D26">
            <v>66220.039999999994</v>
          </cell>
          <cell r="F26">
            <v>101.07036322161782</v>
          </cell>
          <cell r="G26">
            <v>106.03588907014681</v>
          </cell>
          <cell r="H26">
            <v>96.546982208801737</v>
          </cell>
        </row>
        <row r="27">
          <cell r="A27">
            <v>40204</v>
          </cell>
          <cell r="B27">
            <v>14.5</v>
          </cell>
          <cell r="C27">
            <v>19.39</v>
          </cell>
          <cell r="D27">
            <v>65523.73</v>
          </cell>
          <cell r="F27">
            <v>101.77224074399017</v>
          </cell>
          <cell r="G27">
            <v>105.43773790103317</v>
          </cell>
          <cell r="H27">
            <v>95.531781535685113</v>
          </cell>
        </row>
        <row r="28">
          <cell r="A28">
            <v>40205</v>
          </cell>
          <cell r="B28">
            <v>14.475</v>
          </cell>
          <cell r="C28">
            <v>19.38</v>
          </cell>
          <cell r="D28">
            <v>65069.79</v>
          </cell>
          <cell r="F28">
            <v>101.59677136339708</v>
          </cell>
          <cell r="G28">
            <v>105.38336052202284</v>
          </cell>
          <cell r="H28">
            <v>94.869949602272456</v>
          </cell>
        </row>
        <row r="29">
          <cell r="A29">
            <v>40206</v>
          </cell>
          <cell r="B29">
            <v>14.25</v>
          </cell>
          <cell r="C29">
            <v>19.5</v>
          </cell>
          <cell r="D29">
            <v>65587.81</v>
          </cell>
          <cell r="F29">
            <v>100.01754693805931</v>
          </cell>
          <cell r="G29">
            <v>106.03588907014681</v>
          </cell>
          <cell r="H29">
            <v>95.625208398911695</v>
          </cell>
        </row>
        <row r="30">
          <cell r="A30">
            <v>40207</v>
          </cell>
          <cell r="B30">
            <v>14.455</v>
          </cell>
          <cell r="C30">
            <v>19.489999999999998</v>
          </cell>
          <cell r="D30">
            <v>65401.77</v>
          </cell>
          <cell r="F30">
            <v>101.4563958589226</v>
          </cell>
          <cell r="G30">
            <v>105.98151169113648</v>
          </cell>
          <cell r="H30">
            <v>95.353967237321868</v>
          </cell>
        </row>
        <row r="31">
          <cell r="A31">
            <v>40208</v>
          </cell>
          <cell r="B31">
            <v>14.455</v>
          </cell>
          <cell r="C31">
            <v>19.489999999999998</v>
          </cell>
          <cell r="D31">
            <v>65401.77</v>
          </cell>
          <cell r="F31">
            <v>101.4563958589226</v>
          </cell>
          <cell r="G31">
            <v>105.98151169113648</v>
          </cell>
          <cell r="H31">
            <v>95.353967237321868</v>
          </cell>
        </row>
        <row r="32">
          <cell r="A32">
            <v>40209</v>
          </cell>
          <cell r="B32">
            <v>14.455</v>
          </cell>
          <cell r="C32">
            <v>19.489999999999998</v>
          </cell>
          <cell r="D32">
            <v>65401.77</v>
          </cell>
          <cell r="F32">
            <v>101.4563958589226</v>
          </cell>
          <cell r="G32">
            <v>105.98151169113648</v>
          </cell>
          <cell r="H32">
            <v>95.353967237321868</v>
          </cell>
        </row>
        <row r="33">
          <cell r="A33">
            <v>40210</v>
          </cell>
          <cell r="B33">
            <v>14.6625</v>
          </cell>
          <cell r="C33">
            <v>19.190000000000001</v>
          </cell>
          <cell r="D33">
            <v>66571.740000000005</v>
          </cell>
          <cell r="F33">
            <v>102.91279171784522</v>
          </cell>
          <cell r="G33">
            <v>104.35019032082653</v>
          </cell>
          <cell r="H33">
            <v>97.05975105706635</v>
          </cell>
        </row>
        <row r="34">
          <cell r="A34">
            <v>40211</v>
          </cell>
          <cell r="B34">
            <v>15.25</v>
          </cell>
          <cell r="C34">
            <v>18.899999999999999</v>
          </cell>
          <cell r="D34">
            <v>67163.210000000006</v>
          </cell>
          <cell r="F34">
            <v>107.03632216178276</v>
          </cell>
          <cell r="G34">
            <v>102.77324632952691</v>
          </cell>
          <cell r="H34">
            <v>97.922097917126237</v>
          </cell>
        </row>
        <row r="35">
          <cell r="A35">
            <v>40212</v>
          </cell>
          <cell r="B35">
            <v>15.4</v>
          </cell>
          <cell r="C35">
            <v>18.89</v>
          </cell>
          <cell r="D35">
            <v>67108.56</v>
          </cell>
          <cell r="F35">
            <v>108.08913844534129</v>
          </cell>
          <cell r="G35">
            <v>102.71886895051658</v>
          </cell>
          <cell r="H35">
            <v>97.842419732430002</v>
          </cell>
        </row>
        <row r="36">
          <cell r="A36">
            <v>40213</v>
          </cell>
          <cell r="B36">
            <v>14.6</v>
          </cell>
          <cell r="C36">
            <v>17.93</v>
          </cell>
          <cell r="D36">
            <v>63934.01</v>
          </cell>
          <cell r="F36">
            <v>102.47411826636252</v>
          </cell>
          <cell r="G36">
            <v>97.498640565524738</v>
          </cell>
          <cell r="H36">
            <v>93.214013854527309</v>
          </cell>
        </row>
        <row r="37">
          <cell r="A37">
            <v>40214</v>
          </cell>
          <cell r="B37">
            <v>14.41</v>
          </cell>
          <cell r="C37">
            <v>17.690000000000001</v>
          </cell>
          <cell r="D37">
            <v>62762.7</v>
          </cell>
          <cell r="F37">
            <v>101.14055097385506</v>
          </cell>
          <cell r="G37">
            <v>96.193583469276788</v>
          </cell>
          <cell r="H37">
            <v>91.506276351937586</v>
          </cell>
        </row>
        <row r="38">
          <cell r="A38">
            <v>40215</v>
          </cell>
          <cell r="B38">
            <v>14.41</v>
          </cell>
          <cell r="C38">
            <v>17.690000000000001</v>
          </cell>
          <cell r="D38">
            <v>62762.7</v>
          </cell>
          <cell r="F38">
            <v>101.14055097385506</v>
          </cell>
          <cell r="G38">
            <v>96.193583469276788</v>
          </cell>
          <cell r="H38">
            <v>91.506276351937586</v>
          </cell>
        </row>
        <row r="39">
          <cell r="A39">
            <v>40216</v>
          </cell>
          <cell r="B39">
            <v>14.41</v>
          </cell>
          <cell r="C39">
            <v>17.690000000000001</v>
          </cell>
          <cell r="D39">
            <v>62762.7</v>
          </cell>
          <cell r="F39">
            <v>101.14055097385506</v>
          </cell>
          <cell r="G39">
            <v>96.193583469276788</v>
          </cell>
          <cell r="H39">
            <v>91.506276351937586</v>
          </cell>
        </row>
        <row r="40">
          <cell r="A40">
            <v>40217</v>
          </cell>
          <cell r="B40">
            <v>14.75</v>
          </cell>
          <cell r="C40">
            <v>17.88</v>
          </cell>
          <cell r="D40">
            <v>63153.09</v>
          </cell>
          <cell r="F40">
            <v>103.52693454992104</v>
          </cell>
          <cell r="G40">
            <v>97.226753670473073</v>
          </cell>
          <cell r="H40">
            <v>92.075454147428104</v>
          </cell>
        </row>
        <row r="41">
          <cell r="A41">
            <v>40218</v>
          </cell>
          <cell r="B41">
            <v>14.85</v>
          </cell>
          <cell r="C41">
            <v>18.5</v>
          </cell>
          <cell r="D41">
            <v>64718.17</v>
          </cell>
          <cell r="F41">
            <v>104.22881207229338</v>
          </cell>
          <cell r="G41">
            <v>100.59815116911363</v>
          </cell>
          <cell r="H41">
            <v>94.357297391789658</v>
          </cell>
        </row>
        <row r="42">
          <cell r="A42">
            <v>40219</v>
          </cell>
          <cell r="B42">
            <v>15.44</v>
          </cell>
          <cell r="C42">
            <v>18.940000000000001</v>
          </cell>
          <cell r="D42">
            <v>65051.42</v>
          </cell>
          <cell r="F42">
            <v>108.36988945429023</v>
          </cell>
          <cell r="G42">
            <v>102.99075584556824</v>
          </cell>
          <cell r="H42">
            <v>94.843166651625239</v>
          </cell>
        </row>
        <row r="43">
          <cell r="A43">
            <v>40220</v>
          </cell>
          <cell r="B43">
            <v>15.32</v>
          </cell>
          <cell r="C43">
            <v>18.77</v>
          </cell>
          <cell r="D43">
            <v>66128.94</v>
          </cell>
          <cell r="F43">
            <v>107.52763642744341</v>
          </cell>
          <cell r="G43">
            <v>102.0663404023926</v>
          </cell>
          <cell r="H43">
            <v>96.41416093477018</v>
          </cell>
        </row>
        <row r="44">
          <cell r="A44">
            <v>40221</v>
          </cell>
          <cell r="B44">
            <v>15.39</v>
          </cell>
          <cell r="C44">
            <v>18.5</v>
          </cell>
          <cell r="D44">
            <v>65854.97</v>
          </cell>
          <cell r="F44">
            <v>108.01895069310406</v>
          </cell>
          <cell r="G44">
            <v>100.59815116911363</v>
          </cell>
          <cell r="H44">
            <v>96.014720271252813</v>
          </cell>
        </row>
        <row r="45">
          <cell r="A45">
            <v>40222</v>
          </cell>
          <cell r="B45">
            <v>15.39</v>
          </cell>
          <cell r="C45">
            <v>18.5</v>
          </cell>
          <cell r="D45">
            <v>65854.97</v>
          </cell>
          <cell r="F45">
            <v>108.01895069310406</v>
          </cell>
          <cell r="G45">
            <v>100.59815116911363</v>
          </cell>
          <cell r="H45">
            <v>96.014720271252813</v>
          </cell>
        </row>
        <row r="46">
          <cell r="A46">
            <v>40223</v>
          </cell>
          <cell r="B46">
            <v>15.39</v>
          </cell>
          <cell r="C46">
            <v>18.5</v>
          </cell>
          <cell r="D46">
            <v>65854.97</v>
          </cell>
          <cell r="F46">
            <v>108.01895069310406</v>
          </cell>
          <cell r="G46">
            <v>100.59815116911363</v>
          </cell>
          <cell r="H46">
            <v>96.014720271252813</v>
          </cell>
        </row>
        <row r="47">
          <cell r="A47">
            <v>40224</v>
          </cell>
          <cell r="B47">
            <v>15.39</v>
          </cell>
          <cell r="C47">
            <v>18.5</v>
          </cell>
          <cell r="D47">
            <v>65854.97</v>
          </cell>
          <cell r="F47">
            <v>108.01895069310406</v>
          </cell>
          <cell r="G47">
            <v>100.59815116911363</v>
          </cell>
          <cell r="H47">
            <v>96.014720271252813</v>
          </cell>
        </row>
        <row r="48">
          <cell r="A48">
            <v>40225</v>
          </cell>
          <cell r="B48">
            <v>15.39</v>
          </cell>
          <cell r="C48">
            <v>18.5</v>
          </cell>
          <cell r="D48">
            <v>65854.97</v>
          </cell>
          <cell r="F48">
            <v>108.01895069310406</v>
          </cell>
          <cell r="G48">
            <v>100.59815116911363</v>
          </cell>
          <cell r="H48">
            <v>96.014720271252813</v>
          </cell>
        </row>
        <row r="49">
          <cell r="A49">
            <v>40226</v>
          </cell>
          <cell r="B49">
            <v>15.6</v>
          </cell>
          <cell r="C49">
            <v>19</v>
          </cell>
          <cell r="D49">
            <v>67284.570000000007</v>
          </cell>
          <cell r="F49">
            <v>109.49289349008598</v>
          </cell>
          <cell r="G49">
            <v>103.31702011963021</v>
          </cell>
          <cell r="H49">
            <v>98.099037432125925</v>
          </cell>
        </row>
        <row r="50">
          <cell r="A50">
            <v>40227</v>
          </cell>
          <cell r="B50">
            <v>15.84</v>
          </cell>
          <cell r="C50">
            <v>19.899999999999999</v>
          </cell>
          <cell r="D50">
            <v>67836.08</v>
          </cell>
          <cell r="F50">
            <v>111.17739954377961</v>
          </cell>
          <cell r="G50">
            <v>108.21098423056009</v>
          </cell>
          <cell r="H50">
            <v>98.90312372017371</v>
          </cell>
        </row>
        <row r="51">
          <cell r="A51">
            <v>40228</v>
          </cell>
          <cell r="B51">
            <v>16</v>
          </cell>
          <cell r="C51">
            <v>19.920000000000002</v>
          </cell>
          <cell r="D51">
            <v>67597.429999999993</v>
          </cell>
          <cell r="F51">
            <v>112.30040357957536</v>
          </cell>
          <cell r="G51">
            <v>108.31973898858077</v>
          </cell>
          <cell r="H51">
            <v>98.555178637323692</v>
          </cell>
        </row>
        <row r="52">
          <cell r="A52">
            <v>40229</v>
          </cell>
          <cell r="B52">
            <v>16</v>
          </cell>
          <cell r="C52">
            <v>19.920000000000002</v>
          </cell>
          <cell r="D52">
            <v>67597.429999999993</v>
          </cell>
          <cell r="F52">
            <v>112.30040357957536</v>
          </cell>
          <cell r="G52">
            <v>108.31973898858077</v>
          </cell>
          <cell r="H52">
            <v>98.555178637323692</v>
          </cell>
        </row>
        <row r="53">
          <cell r="A53">
            <v>40230</v>
          </cell>
          <cell r="B53">
            <v>16</v>
          </cell>
          <cell r="C53">
            <v>19.920000000000002</v>
          </cell>
          <cell r="D53">
            <v>67597.429999999993</v>
          </cell>
          <cell r="F53">
            <v>112.30040357957536</v>
          </cell>
          <cell r="G53">
            <v>108.31973898858077</v>
          </cell>
          <cell r="H53">
            <v>98.555178637323692</v>
          </cell>
        </row>
        <row r="54">
          <cell r="A54">
            <v>40231</v>
          </cell>
          <cell r="B54">
            <v>15.55</v>
          </cell>
          <cell r="C54">
            <v>19.739999999999998</v>
          </cell>
          <cell r="D54">
            <v>67184.160000000003</v>
          </cell>
          <cell r="F54">
            <v>109.1419547288998</v>
          </cell>
          <cell r="G54">
            <v>107.34094616639476</v>
          </cell>
          <cell r="H54">
            <v>97.952642436236687</v>
          </cell>
        </row>
        <row r="55">
          <cell r="A55">
            <v>40232</v>
          </cell>
          <cell r="B55">
            <v>15.2</v>
          </cell>
          <cell r="C55">
            <v>19.3</v>
          </cell>
          <cell r="D55">
            <v>66108.33</v>
          </cell>
          <cell r="F55">
            <v>106.68538340059659</v>
          </cell>
          <cell r="G55">
            <v>104.94834148994019</v>
          </cell>
          <cell r="H55">
            <v>96.384112126232395</v>
          </cell>
        </row>
        <row r="56">
          <cell r="A56">
            <v>40233</v>
          </cell>
          <cell r="B56">
            <v>15.2</v>
          </cell>
          <cell r="C56">
            <v>19.649999999999999</v>
          </cell>
          <cell r="D56">
            <v>65794.77</v>
          </cell>
          <cell r="F56">
            <v>106.68538340059659</v>
          </cell>
          <cell r="G56">
            <v>106.85154975530178</v>
          </cell>
          <cell r="H56">
            <v>95.926950340443824</v>
          </cell>
        </row>
        <row r="57">
          <cell r="A57">
            <v>40234</v>
          </cell>
          <cell r="B57">
            <v>14.8</v>
          </cell>
          <cell r="C57">
            <v>19.25</v>
          </cell>
          <cell r="D57">
            <v>66121.039999999994</v>
          </cell>
          <cell r="F57">
            <v>103.87787331110721</v>
          </cell>
          <cell r="G57">
            <v>104.67645459488853</v>
          </cell>
          <cell r="H57">
            <v>96.402642953816823</v>
          </cell>
        </row>
        <row r="58">
          <cell r="A58">
            <v>40235</v>
          </cell>
          <cell r="B58">
            <v>14.8</v>
          </cell>
          <cell r="C58">
            <v>19.989999999999998</v>
          </cell>
          <cell r="D58">
            <v>66503.27</v>
          </cell>
          <cell r="F58">
            <v>103.87787331110721</v>
          </cell>
          <cell r="G58">
            <v>108.70038064165306</v>
          </cell>
          <cell r="H58">
            <v>96.959923695563148</v>
          </cell>
        </row>
        <row r="59">
          <cell r="A59">
            <v>40236</v>
          </cell>
          <cell r="B59">
            <v>14.8</v>
          </cell>
          <cell r="C59">
            <v>19.989999999999998</v>
          </cell>
          <cell r="D59">
            <v>66503.27</v>
          </cell>
          <cell r="F59">
            <v>103.87787331110721</v>
          </cell>
          <cell r="G59">
            <v>108.70038064165306</v>
          </cell>
          <cell r="H59">
            <v>96.959923695563148</v>
          </cell>
        </row>
        <row r="60">
          <cell r="A60">
            <v>40237</v>
          </cell>
          <cell r="B60">
            <v>14.8</v>
          </cell>
          <cell r="C60">
            <v>19.989999999999998</v>
          </cell>
          <cell r="D60">
            <v>66503.27</v>
          </cell>
          <cell r="F60">
            <v>103.87787331110721</v>
          </cell>
          <cell r="G60">
            <v>108.70038064165306</v>
          </cell>
          <cell r="H60">
            <v>96.959923695563148</v>
          </cell>
        </row>
        <row r="61">
          <cell r="A61">
            <v>40238</v>
          </cell>
          <cell r="B61">
            <v>15.19</v>
          </cell>
          <cell r="C61">
            <v>19.23</v>
          </cell>
          <cell r="D61">
            <v>67227.929999999993</v>
          </cell>
          <cell r="F61">
            <v>106.61519564835935</v>
          </cell>
          <cell r="G61">
            <v>104.56769983686786</v>
          </cell>
          <cell r="H61">
            <v>98.01645788260727</v>
          </cell>
        </row>
        <row r="62">
          <cell r="A62">
            <v>40239</v>
          </cell>
          <cell r="B62">
            <v>15.35</v>
          </cell>
          <cell r="C62">
            <v>18.95</v>
          </cell>
          <cell r="D62">
            <v>67779.16</v>
          </cell>
          <cell r="F62">
            <v>107.73819968415511</v>
          </cell>
          <cell r="G62">
            <v>103.04513322457858</v>
          </cell>
          <cell r="H62">
            <v>98.820135938418758</v>
          </cell>
        </row>
        <row r="63">
          <cell r="A63">
            <v>40240</v>
          </cell>
          <cell r="B63">
            <v>15.14</v>
          </cell>
          <cell r="C63">
            <v>19</v>
          </cell>
          <cell r="D63">
            <v>67641.34</v>
          </cell>
          <cell r="F63">
            <v>106.26425688717318</v>
          </cell>
          <cell r="G63">
            <v>103.31702011963021</v>
          </cell>
          <cell r="H63">
            <v>98.619198199812459</v>
          </cell>
        </row>
        <row r="64">
          <cell r="A64">
            <v>40241</v>
          </cell>
          <cell r="B64">
            <v>15.04</v>
          </cell>
          <cell r="C64">
            <v>19</v>
          </cell>
          <cell r="D64">
            <v>67814.710000000006</v>
          </cell>
          <cell r="F64">
            <v>105.56237936480085</v>
          </cell>
          <cell r="G64">
            <v>103.31702011963021</v>
          </cell>
          <cell r="H64">
            <v>98.871966852708795</v>
          </cell>
        </row>
        <row r="65">
          <cell r="A65">
            <v>40242</v>
          </cell>
          <cell r="B65">
            <v>15.25</v>
          </cell>
          <cell r="C65">
            <v>19.25</v>
          </cell>
          <cell r="D65">
            <v>68846.5</v>
          </cell>
          <cell r="F65">
            <v>107.03632216178276</v>
          </cell>
          <cell r="G65">
            <v>104.67645459488853</v>
          </cell>
          <cell r="H65">
            <v>100.37628806382885</v>
          </cell>
        </row>
        <row r="66">
          <cell r="A66">
            <v>40243</v>
          </cell>
          <cell r="B66">
            <v>15.25</v>
          </cell>
          <cell r="C66">
            <v>19.25</v>
          </cell>
          <cell r="D66">
            <v>68846.5</v>
          </cell>
          <cell r="F66">
            <v>107.03632216178276</v>
          </cell>
          <cell r="G66">
            <v>104.67645459488853</v>
          </cell>
          <cell r="H66">
            <v>100.37628806382885</v>
          </cell>
        </row>
        <row r="67">
          <cell r="A67">
            <v>40244</v>
          </cell>
          <cell r="B67">
            <v>15.25</v>
          </cell>
          <cell r="C67">
            <v>19.25</v>
          </cell>
          <cell r="D67">
            <v>68846.5</v>
          </cell>
          <cell r="F67">
            <v>107.03632216178276</v>
          </cell>
          <cell r="G67">
            <v>104.67645459488853</v>
          </cell>
          <cell r="H67">
            <v>100.37628806382885</v>
          </cell>
        </row>
        <row r="68">
          <cell r="A68">
            <v>40245</v>
          </cell>
          <cell r="B68">
            <v>14.9</v>
          </cell>
          <cell r="C68">
            <v>19.2</v>
          </cell>
          <cell r="D68">
            <v>68575.47</v>
          </cell>
          <cell r="F68">
            <v>104.57975083347955</v>
          </cell>
          <cell r="G68">
            <v>104.40456769983686</v>
          </cell>
          <cell r="H68">
            <v>99.981133838792886</v>
          </cell>
        </row>
        <row r="69">
          <cell r="A69">
            <v>40246</v>
          </cell>
          <cell r="B69">
            <v>14.99</v>
          </cell>
          <cell r="C69">
            <v>19.05</v>
          </cell>
          <cell r="D69">
            <v>69576.38</v>
          </cell>
          <cell r="F69">
            <v>105.21144060361468</v>
          </cell>
          <cell r="G69">
            <v>103.58890701468188</v>
          </cell>
          <cell r="H69">
            <v>101.44043286613584</v>
          </cell>
        </row>
        <row r="70">
          <cell r="A70">
            <v>40247</v>
          </cell>
          <cell r="B70">
            <v>14.85</v>
          </cell>
          <cell r="C70">
            <v>18.95</v>
          </cell>
          <cell r="D70">
            <v>69979.28</v>
          </cell>
          <cell r="F70">
            <v>104.22881207229338</v>
          </cell>
          <cell r="G70">
            <v>103.04513322457858</v>
          </cell>
          <cell r="H70">
            <v>102.02784989475626</v>
          </cell>
        </row>
        <row r="71">
          <cell r="A71">
            <v>40248</v>
          </cell>
          <cell r="B71">
            <v>15.25</v>
          </cell>
          <cell r="C71">
            <v>19</v>
          </cell>
          <cell r="D71">
            <v>69884.61</v>
          </cell>
          <cell r="F71">
            <v>107.03632216178276</v>
          </cell>
          <cell r="G71">
            <v>103.31702011963021</v>
          </cell>
          <cell r="H71">
            <v>101.8898236597116</v>
          </cell>
        </row>
        <row r="72">
          <cell r="A72">
            <v>40249</v>
          </cell>
          <cell r="B72">
            <v>15.25</v>
          </cell>
          <cell r="C72">
            <v>19</v>
          </cell>
          <cell r="D72">
            <v>69341.38</v>
          </cell>
          <cell r="F72">
            <v>107.03632216178276</v>
          </cell>
          <cell r="G72">
            <v>103.31702011963021</v>
          </cell>
          <cell r="H72">
            <v>101.09780938208073</v>
          </cell>
        </row>
        <row r="73">
          <cell r="A73">
            <v>40250</v>
          </cell>
          <cell r="B73">
            <v>15.25</v>
          </cell>
          <cell r="C73">
            <v>19</v>
          </cell>
          <cell r="D73">
            <v>69341.38</v>
          </cell>
          <cell r="F73">
            <v>107.03632216178276</v>
          </cell>
          <cell r="G73">
            <v>103.31702011963021</v>
          </cell>
          <cell r="H73">
            <v>101.09780938208073</v>
          </cell>
        </row>
        <row r="74">
          <cell r="A74">
            <v>40251</v>
          </cell>
          <cell r="B74">
            <v>15.25</v>
          </cell>
          <cell r="C74">
            <v>19</v>
          </cell>
          <cell r="D74">
            <v>69341.38</v>
          </cell>
          <cell r="F74">
            <v>107.03632216178276</v>
          </cell>
          <cell r="G74">
            <v>103.31702011963021</v>
          </cell>
          <cell r="H74">
            <v>101.09780938208073</v>
          </cell>
        </row>
        <row r="75">
          <cell r="A75">
            <v>40252</v>
          </cell>
          <cell r="B75">
            <v>15.1</v>
          </cell>
          <cell r="C75">
            <v>19.2</v>
          </cell>
          <cell r="D75">
            <v>69023.75</v>
          </cell>
          <cell r="F75">
            <v>105.98350587822425</v>
          </cell>
          <cell r="G75">
            <v>104.40456769983686</v>
          </cell>
          <cell r="H75">
            <v>100.63471364914275</v>
          </cell>
        </row>
        <row r="76">
          <cell r="A76">
            <v>40253</v>
          </cell>
          <cell r="B76">
            <v>15.25</v>
          </cell>
          <cell r="C76">
            <v>19.100000000000001</v>
          </cell>
          <cell r="D76">
            <v>69942.210000000006</v>
          </cell>
          <cell r="F76">
            <v>107.03632216178276</v>
          </cell>
          <cell r="G76">
            <v>103.86079390973354</v>
          </cell>
          <cell r="H76">
            <v>101.97380286261193</v>
          </cell>
        </row>
        <row r="77">
          <cell r="A77">
            <v>40254</v>
          </cell>
          <cell r="B77">
            <v>15.05</v>
          </cell>
          <cell r="C77">
            <v>19.53</v>
          </cell>
          <cell r="D77">
            <v>69723.240000000005</v>
          </cell>
          <cell r="F77">
            <v>105.63256711703808</v>
          </cell>
          <cell r="G77">
            <v>106.19902120717781</v>
          </cell>
          <cell r="H77">
            <v>101.6545506740862</v>
          </cell>
        </row>
        <row r="78">
          <cell r="A78">
            <v>40255</v>
          </cell>
          <cell r="B78">
            <v>15</v>
          </cell>
          <cell r="C78">
            <v>19.8</v>
          </cell>
          <cell r="D78">
            <v>69697.33</v>
          </cell>
          <cell r="F78">
            <v>105.28162835585191</v>
          </cell>
          <cell r="G78">
            <v>107.66721044045677</v>
          </cell>
          <cell r="H78">
            <v>101.61677461250378</v>
          </cell>
        </row>
        <row r="79">
          <cell r="A79">
            <v>40256</v>
          </cell>
          <cell r="B79">
            <v>15.3</v>
          </cell>
          <cell r="C79">
            <v>19.649999999999999</v>
          </cell>
          <cell r="D79">
            <v>68828.98</v>
          </cell>
          <cell r="F79">
            <v>107.38726092296895</v>
          </cell>
          <cell r="G79">
            <v>106.85154975530178</v>
          </cell>
          <cell r="H79">
            <v>100.35074438961334</v>
          </cell>
        </row>
        <row r="80">
          <cell r="A80">
            <v>40257</v>
          </cell>
          <cell r="B80">
            <v>15.3</v>
          </cell>
          <cell r="C80">
            <v>19.649999999999999</v>
          </cell>
          <cell r="D80">
            <v>68828.98</v>
          </cell>
          <cell r="F80">
            <v>107.38726092296895</v>
          </cell>
          <cell r="G80">
            <v>106.85154975530178</v>
          </cell>
          <cell r="H80">
            <v>100.35074438961334</v>
          </cell>
        </row>
        <row r="81">
          <cell r="A81">
            <v>40258</v>
          </cell>
          <cell r="B81">
            <v>15.3</v>
          </cell>
          <cell r="C81">
            <v>19.649999999999999</v>
          </cell>
          <cell r="D81">
            <v>68828.98</v>
          </cell>
          <cell r="F81">
            <v>107.38726092296895</v>
          </cell>
          <cell r="G81">
            <v>106.85154975530178</v>
          </cell>
          <cell r="H81">
            <v>100.35074438961334</v>
          </cell>
        </row>
        <row r="82">
          <cell r="A82">
            <v>40259</v>
          </cell>
          <cell r="B82">
            <v>15.25</v>
          </cell>
          <cell r="C82">
            <v>19.7</v>
          </cell>
          <cell r="D82">
            <v>69041.73</v>
          </cell>
          <cell r="F82">
            <v>107.03632216178276</v>
          </cell>
          <cell r="G82">
            <v>107.12343665035344</v>
          </cell>
          <cell r="H82">
            <v>100.66092799060364</v>
          </cell>
        </row>
        <row r="83">
          <cell r="A83">
            <v>40260</v>
          </cell>
          <cell r="B83">
            <v>15.3</v>
          </cell>
          <cell r="C83">
            <v>19.75</v>
          </cell>
          <cell r="D83">
            <v>69386.720000000001</v>
          </cell>
          <cell r="F83">
            <v>107.38726092296895</v>
          </cell>
          <cell r="G83">
            <v>107.39532354540511</v>
          </cell>
          <cell r="H83">
            <v>101.16391384491928</v>
          </cell>
        </row>
        <row r="84">
          <cell r="A84">
            <v>40261</v>
          </cell>
          <cell r="B84">
            <v>15.2</v>
          </cell>
          <cell r="C84">
            <v>19.32</v>
          </cell>
          <cell r="D84">
            <v>68913.399999999994</v>
          </cell>
          <cell r="F84">
            <v>106.68538340059659</v>
          </cell>
          <cell r="G84">
            <v>105.05709624796084</v>
          </cell>
          <cell r="H84">
            <v>100.47382640886411</v>
          </cell>
        </row>
        <row r="85">
          <cell r="A85">
            <v>40262</v>
          </cell>
          <cell r="B85">
            <v>15.2</v>
          </cell>
          <cell r="C85">
            <v>19.55</v>
          </cell>
          <cell r="D85">
            <v>68441.66</v>
          </cell>
          <cell r="F85">
            <v>106.68538340059659</v>
          </cell>
          <cell r="G85">
            <v>106.30777596519847</v>
          </cell>
          <cell r="H85">
            <v>99.786042568999633</v>
          </cell>
        </row>
        <row r="86">
          <cell r="A86">
            <v>40263</v>
          </cell>
          <cell r="B86">
            <v>15.29</v>
          </cell>
          <cell r="C86">
            <v>19.46</v>
          </cell>
          <cell r="D86">
            <v>68682.66</v>
          </cell>
          <cell r="F86">
            <v>107.31707317073169</v>
          </cell>
          <cell r="G86">
            <v>105.81837955410549</v>
          </cell>
          <cell r="H86">
            <v>100.1374138866902</v>
          </cell>
        </row>
        <row r="87">
          <cell r="A87">
            <v>40264</v>
          </cell>
          <cell r="B87">
            <v>15.29</v>
          </cell>
          <cell r="C87">
            <v>19.46</v>
          </cell>
          <cell r="D87">
            <v>68682.66</v>
          </cell>
          <cell r="F87">
            <v>107.31707317073169</v>
          </cell>
          <cell r="G87">
            <v>105.81837955410549</v>
          </cell>
          <cell r="H87">
            <v>100.1374138866902</v>
          </cell>
        </row>
        <row r="88">
          <cell r="A88">
            <v>40265</v>
          </cell>
          <cell r="B88">
            <v>15.29</v>
          </cell>
          <cell r="C88">
            <v>19.46</v>
          </cell>
          <cell r="D88">
            <v>68682.66</v>
          </cell>
          <cell r="F88">
            <v>107.31707317073169</v>
          </cell>
          <cell r="G88">
            <v>105.81837955410549</v>
          </cell>
          <cell r="H88">
            <v>100.1374138866902</v>
          </cell>
        </row>
        <row r="89">
          <cell r="A89">
            <v>40266</v>
          </cell>
          <cell r="B89">
            <v>15.45</v>
          </cell>
          <cell r="C89">
            <v>19.3</v>
          </cell>
          <cell r="D89">
            <v>69939.12</v>
          </cell>
          <cell r="F89">
            <v>108.44007720652746</v>
          </cell>
          <cell r="G89">
            <v>104.94834148994019</v>
          </cell>
          <cell r="H89">
            <v>101.96929772828965</v>
          </cell>
        </row>
        <row r="90">
          <cell r="A90">
            <v>40267</v>
          </cell>
          <cell r="B90">
            <v>15.54</v>
          </cell>
          <cell r="C90">
            <v>19.41</v>
          </cell>
          <cell r="D90">
            <v>69959.58</v>
          </cell>
          <cell r="F90">
            <v>109.07176697666256</v>
          </cell>
          <cell r="G90">
            <v>105.54649265905383</v>
          </cell>
          <cell r="H90">
            <v>101.99912784098655</v>
          </cell>
        </row>
        <row r="91">
          <cell r="A91">
            <v>40268</v>
          </cell>
          <cell r="B91">
            <v>15.6</v>
          </cell>
          <cell r="C91">
            <v>19</v>
          </cell>
          <cell r="D91">
            <v>70371.539999999994</v>
          </cell>
          <cell r="F91">
            <v>109.49289349008598</v>
          </cell>
          <cell r="G91">
            <v>103.31702011963021</v>
          </cell>
          <cell r="H91">
            <v>102.5997540983965</v>
          </cell>
        </row>
        <row r="92">
          <cell r="A92">
            <v>40269</v>
          </cell>
          <cell r="B92">
            <v>15.15</v>
          </cell>
          <cell r="C92">
            <v>18.309999999999999</v>
          </cell>
          <cell r="D92">
            <v>71136.34</v>
          </cell>
          <cell r="F92">
            <v>106.33444463941042</v>
          </cell>
          <cell r="G92">
            <v>99.564980967917336</v>
          </cell>
          <cell r="H92">
            <v>103.71481129246179</v>
          </cell>
        </row>
        <row r="93">
          <cell r="A93">
            <v>40270</v>
          </cell>
          <cell r="B93">
            <v>15.15</v>
          </cell>
          <cell r="C93">
            <v>18.309999999999999</v>
          </cell>
          <cell r="D93">
            <v>71136.34</v>
          </cell>
          <cell r="F93">
            <v>106.33444463941042</v>
          </cell>
          <cell r="G93">
            <v>99.564980967917336</v>
          </cell>
          <cell r="H93">
            <v>103.71481129246179</v>
          </cell>
        </row>
        <row r="94">
          <cell r="A94">
            <v>40271</v>
          </cell>
          <cell r="B94">
            <v>15.15</v>
          </cell>
          <cell r="C94">
            <v>18.309999999999999</v>
          </cell>
          <cell r="D94">
            <v>71136.34</v>
          </cell>
          <cell r="F94">
            <v>106.33444463941042</v>
          </cell>
          <cell r="G94">
            <v>99.564980967917336</v>
          </cell>
          <cell r="H94">
            <v>103.71481129246179</v>
          </cell>
        </row>
        <row r="95">
          <cell r="A95">
            <v>40272</v>
          </cell>
          <cell r="B95">
            <v>15.15</v>
          </cell>
          <cell r="C95">
            <v>18.309999999999999</v>
          </cell>
          <cell r="D95">
            <v>71136.34</v>
          </cell>
          <cell r="F95">
            <v>106.33444463941042</v>
          </cell>
          <cell r="G95">
            <v>99.564980967917336</v>
          </cell>
          <cell r="H95">
            <v>103.71481129246179</v>
          </cell>
        </row>
        <row r="96">
          <cell r="A96">
            <v>40273</v>
          </cell>
          <cell r="B96">
            <v>14.83</v>
          </cell>
          <cell r="C96">
            <v>17.8</v>
          </cell>
          <cell r="D96">
            <v>71289.679999999993</v>
          </cell>
          <cell r="F96">
            <v>104.08843656781892</v>
          </cell>
          <cell r="G96">
            <v>96.791734638390423</v>
          </cell>
          <cell r="H96">
            <v>103.93837676073842</v>
          </cell>
        </row>
        <row r="97">
          <cell r="A97">
            <v>40274</v>
          </cell>
          <cell r="B97">
            <v>14.4</v>
          </cell>
          <cell r="C97">
            <v>17.399999999999999</v>
          </cell>
          <cell r="D97">
            <v>71095.649999999994</v>
          </cell>
          <cell r="F97">
            <v>101.07036322161782</v>
          </cell>
          <cell r="G97">
            <v>94.616639477977145</v>
          </cell>
          <cell r="H97">
            <v>103.65548640069071</v>
          </cell>
        </row>
        <row r="98">
          <cell r="A98">
            <v>40275</v>
          </cell>
          <cell r="B98">
            <v>14.8</v>
          </cell>
          <cell r="C98">
            <v>17.100000000000001</v>
          </cell>
          <cell r="D98">
            <v>70792.94</v>
          </cell>
          <cell r="F98">
            <v>103.87787331110721</v>
          </cell>
          <cell r="G98">
            <v>92.985318107667212</v>
          </cell>
          <cell r="H98">
            <v>103.21414361405958</v>
          </cell>
        </row>
        <row r="99">
          <cell r="A99">
            <v>40276</v>
          </cell>
          <cell r="B99">
            <v>15.15</v>
          </cell>
          <cell r="C99">
            <v>17.62</v>
          </cell>
          <cell r="D99">
            <v>71784.78</v>
          </cell>
          <cell r="F99">
            <v>106.33444463941042</v>
          </cell>
          <cell r="G99">
            <v>95.812941816204471</v>
          </cell>
          <cell r="H99">
            <v>104.66021883289028</v>
          </cell>
        </row>
        <row r="100">
          <cell r="A100">
            <v>40277</v>
          </cell>
          <cell r="B100">
            <v>15.25</v>
          </cell>
          <cell r="C100">
            <v>17.899999999999999</v>
          </cell>
          <cell r="D100">
            <v>71417.27</v>
          </cell>
          <cell r="F100">
            <v>107.03632216178276</v>
          </cell>
          <cell r="G100">
            <v>97.335508428493739</v>
          </cell>
          <cell r="H100">
            <v>104.12439944299628</v>
          </cell>
        </row>
        <row r="101">
          <cell r="A101">
            <v>40278</v>
          </cell>
          <cell r="B101">
            <v>15.25</v>
          </cell>
          <cell r="C101">
            <v>17.899999999999999</v>
          </cell>
          <cell r="D101">
            <v>71417.27</v>
          </cell>
          <cell r="F101">
            <v>107.03632216178276</v>
          </cell>
          <cell r="G101">
            <v>97.335508428493739</v>
          </cell>
          <cell r="H101">
            <v>104.12439944299628</v>
          </cell>
        </row>
        <row r="102">
          <cell r="A102">
            <v>40279</v>
          </cell>
          <cell r="B102">
            <v>15.25</v>
          </cell>
          <cell r="C102">
            <v>17.899999999999999</v>
          </cell>
          <cell r="D102">
            <v>71417.27</v>
          </cell>
          <cell r="F102">
            <v>107.03632216178276</v>
          </cell>
          <cell r="G102">
            <v>97.335508428493739</v>
          </cell>
          <cell r="H102">
            <v>104.12439944299628</v>
          </cell>
        </row>
        <row r="103">
          <cell r="A103">
            <v>40280</v>
          </cell>
          <cell r="B103">
            <v>15.11</v>
          </cell>
          <cell r="C103">
            <v>17.989999999999998</v>
          </cell>
          <cell r="D103">
            <v>70614.36</v>
          </cell>
          <cell r="F103">
            <v>106.05369363046148</v>
          </cell>
          <cell r="G103">
            <v>97.824904839586722</v>
          </cell>
          <cell r="H103">
            <v>102.95377892562314</v>
          </cell>
        </row>
        <row r="104">
          <cell r="A104">
            <v>40281</v>
          </cell>
          <cell r="B104">
            <v>14.8</v>
          </cell>
          <cell r="C104">
            <v>18.02</v>
          </cell>
          <cell r="D104">
            <v>70792.399999999994</v>
          </cell>
          <cell r="F104">
            <v>103.87787331110721</v>
          </cell>
          <cell r="G104">
            <v>97.988036976617721</v>
          </cell>
          <cell r="H104">
            <v>103.21335630903236</v>
          </cell>
        </row>
        <row r="105">
          <cell r="A105">
            <v>40282</v>
          </cell>
          <cell r="B105">
            <v>15.1</v>
          </cell>
          <cell r="C105">
            <v>18</v>
          </cell>
          <cell r="D105">
            <v>71034.850000000006</v>
          </cell>
          <cell r="F105">
            <v>105.98350587822425</v>
          </cell>
          <cell r="G105">
            <v>97.879282218597069</v>
          </cell>
          <cell r="H105">
            <v>103.56684168651817</v>
          </cell>
        </row>
        <row r="106">
          <cell r="A106">
            <v>40283</v>
          </cell>
          <cell r="B106">
            <v>15.33</v>
          </cell>
          <cell r="C106">
            <v>17.8</v>
          </cell>
          <cell r="D106">
            <v>70524.350000000006</v>
          </cell>
          <cell r="F106">
            <v>107.59782417968064</v>
          </cell>
          <cell r="G106">
            <v>96.791734638390423</v>
          </cell>
          <cell r="H106">
            <v>102.82254684136869</v>
          </cell>
        </row>
        <row r="107">
          <cell r="A107">
            <v>40284</v>
          </cell>
          <cell r="B107">
            <v>15.3</v>
          </cell>
          <cell r="C107">
            <v>17.8</v>
          </cell>
          <cell r="D107">
            <v>69421.350000000006</v>
          </cell>
          <cell r="F107">
            <v>107.38726092296895</v>
          </cell>
          <cell r="G107">
            <v>96.791734638390423</v>
          </cell>
          <cell r="H107">
            <v>101.21440342471854</v>
          </cell>
        </row>
        <row r="108">
          <cell r="A108">
            <v>40285</v>
          </cell>
          <cell r="B108">
            <v>15.3</v>
          </cell>
          <cell r="C108">
            <v>17.8</v>
          </cell>
          <cell r="D108">
            <v>69421.350000000006</v>
          </cell>
          <cell r="F108">
            <v>107.38726092296895</v>
          </cell>
          <cell r="G108">
            <v>96.791734638390423</v>
          </cell>
          <cell r="H108">
            <v>101.21440342471854</v>
          </cell>
        </row>
        <row r="109">
          <cell r="A109">
            <v>40286</v>
          </cell>
          <cell r="B109">
            <v>15.3</v>
          </cell>
          <cell r="C109">
            <v>17.8</v>
          </cell>
          <cell r="D109">
            <v>69421.350000000006</v>
          </cell>
          <cell r="F109">
            <v>107.38726092296895</v>
          </cell>
          <cell r="G109">
            <v>96.791734638390423</v>
          </cell>
          <cell r="H109">
            <v>101.21440342471854</v>
          </cell>
        </row>
        <row r="110">
          <cell r="A110">
            <v>40287</v>
          </cell>
          <cell r="B110">
            <v>15.2</v>
          </cell>
          <cell r="C110">
            <v>17.7</v>
          </cell>
          <cell r="D110">
            <v>69097.58</v>
          </cell>
          <cell r="F110">
            <v>106.68538340059659</v>
          </cell>
          <cell r="G110">
            <v>96.247960848287107</v>
          </cell>
          <cell r="H110">
            <v>100.74235574202697</v>
          </cell>
        </row>
        <row r="111">
          <cell r="A111">
            <v>40288</v>
          </cell>
          <cell r="B111">
            <v>15.2</v>
          </cell>
          <cell r="C111">
            <v>18</v>
          </cell>
          <cell r="D111">
            <v>69318.44</v>
          </cell>
          <cell r="F111">
            <v>106.68538340059659</v>
          </cell>
          <cell r="G111">
            <v>97.879282218597069</v>
          </cell>
          <cell r="H111">
            <v>101.06436349814787</v>
          </cell>
        </row>
        <row r="112">
          <cell r="A112">
            <v>40289</v>
          </cell>
          <cell r="B112">
            <v>15.2</v>
          </cell>
          <cell r="C112">
            <v>18</v>
          </cell>
          <cell r="D112">
            <v>69318.44</v>
          </cell>
          <cell r="F112">
            <v>106.68538340059659</v>
          </cell>
          <cell r="G112">
            <v>97.879282218597069</v>
          </cell>
          <cell r="H112">
            <v>101.06436349814787</v>
          </cell>
        </row>
        <row r="113">
          <cell r="A113">
            <v>40290</v>
          </cell>
          <cell r="B113">
            <v>15.05</v>
          </cell>
          <cell r="C113">
            <v>17.899999999999999</v>
          </cell>
          <cell r="D113">
            <v>69386.41</v>
          </cell>
          <cell r="F113">
            <v>105.63256711703808</v>
          </cell>
          <cell r="G113">
            <v>97.335508428493739</v>
          </cell>
          <cell r="H113">
            <v>101.16346187351479</v>
          </cell>
        </row>
        <row r="114">
          <cell r="A114">
            <v>40291</v>
          </cell>
          <cell r="B114">
            <v>15.15</v>
          </cell>
          <cell r="C114">
            <v>18</v>
          </cell>
          <cell r="D114">
            <v>69509.490000000005</v>
          </cell>
          <cell r="F114">
            <v>106.33444463941042</v>
          </cell>
          <cell r="G114">
            <v>97.879282218597069</v>
          </cell>
          <cell r="H114">
            <v>101.34290910082331</v>
          </cell>
        </row>
        <row r="115">
          <cell r="A115">
            <v>40292</v>
          </cell>
          <cell r="B115">
            <v>15.15</v>
          </cell>
          <cell r="C115">
            <v>18</v>
          </cell>
          <cell r="D115">
            <v>69509.490000000005</v>
          </cell>
          <cell r="F115">
            <v>106.33444463941042</v>
          </cell>
          <cell r="G115">
            <v>97.879282218597069</v>
          </cell>
          <cell r="H115">
            <v>101.34290910082331</v>
          </cell>
        </row>
        <row r="116">
          <cell r="A116">
            <v>40293</v>
          </cell>
          <cell r="B116">
            <v>15.15</v>
          </cell>
          <cell r="C116">
            <v>18</v>
          </cell>
          <cell r="D116">
            <v>69509.490000000005</v>
          </cell>
          <cell r="F116">
            <v>106.33444463941042</v>
          </cell>
          <cell r="G116">
            <v>97.879282218597069</v>
          </cell>
          <cell r="H116">
            <v>101.34290910082331</v>
          </cell>
        </row>
        <row r="117">
          <cell r="A117">
            <v>40294</v>
          </cell>
          <cell r="B117">
            <v>14.9</v>
          </cell>
          <cell r="C117">
            <v>18.010000000000002</v>
          </cell>
          <cell r="D117">
            <v>68871.94</v>
          </cell>
          <cell r="F117">
            <v>104.57975083347955</v>
          </cell>
          <cell r="G117">
            <v>97.933659597607402</v>
          </cell>
          <cell r="H117">
            <v>100.41337887844317</v>
          </cell>
        </row>
        <row r="118">
          <cell r="A118">
            <v>40295</v>
          </cell>
          <cell r="B118">
            <v>14.9</v>
          </cell>
          <cell r="C118">
            <v>17.5</v>
          </cell>
          <cell r="D118">
            <v>66511.100000000006</v>
          </cell>
          <cell r="F118">
            <v>104.57975083347955</v>
          </cell>
          <cell r="G118">
            <v>95.160413268080475</v>
          </cell>
          <cell r="H118">
            <v>96.971339618457407</v>
          </cell>
        </row>
        <row r="119">
          <cell r="A119">
            <v>40296</v>
          </cell>
          <cell r="B119">
            <v>14.9</v>
          </cell>
          <cell r="C119">
            <v>17.5</v>
          </cell>
          <cell r="D119">
            <v>66655.710000000006</v>
          </cell>
          <cell r="F119">
            <v>104.57975083347955</v>
          </cell>
          <cell r="G119">
            <v>95.160413268080475</v>
          </cell>
          <cell r="H119">
            <v>97.182176988794467</v>
          </cell>
        </row>
        <row r="120">
          <cell r="A120">
            <v>40297</v>
          </cell>
          <cell r="B120">
            <v>15.02</v>
          </cell>
          <cell r="C120">
            <v>17.7</v>
          </cell>
          <cell r="D120">
            <v>67978.05</v>
          </cell>
          <cell r="F120">
            <v>105.42200386032636</v>
          </cell>
          <cell r="G120">
            <v>96.247960848287107</v>
          </cell>
          <cell r="H120">
            <v>99.110112043711169</v>
          </cell>
        </row>
        <row r="121">
          <cell r="A121">
            <v>40298</v>
          </cell>
          <cell r="B121">
            <v>15.1</v>
          </cell>
          <cell r="C121">
            <v>17.73</v>
          </cell>
          <cell r="D121">
            <v>67529.73</v>
          </cell>
          <cell r="F121">
            <v>105.98350587822425</v>
          </cell>
          <cell r="G121">
            <v>96.411092985318106</v>
          </cell>
          <cell r="H121">
            <v>98.456473914470379</v>
          </cell>
        </row>
        <row r="122">
          <cell r="A122">
            <v>40299</v>
          </cell>
          <cell r="B122">
            <v>15.1</v>
          </cell>
          <cell r="C122">
            <v>17.73</v>
          </cell>
          <cell r="D122">
            <v>67529.73</v>
          </cell>
          <cell r="F122">
            <v>105.98350587822425</v>
          </cell>
          <cell r="G122">
            <v>96.411092985318106</v>
          </cell>
          <cell r="H122">
            <v>98.456473914470379</v>
          </cell>
        </row>
        <row r="123">
          <cell r="A123">
            <v>40300</v>
          </cell>
          <cell r="B123">
            <v>15.1</v>
          </cell>
          <cell r="C123">
            <v>17.73</v>
          </cell>
          <cell r="D123">
            <v>67529.73</v>
          </cell>
          <cell r="F123">
            <v>105.98350587822425</v>
          </cell>
          <cell r="G123">
            <v>96.411092985318106</v>
          </cell>
          <cell r="H123">
            <v>98.456473914470379</v>
          </cell>
        </row>
        <row r="124">
          <cell r="A124">
            <v>40301</v>
          </cell>
          <cell r="B124">
            <v>15.35</v>
          </cell>
          <cell r="C124">
            <v>18.170000000000002</v>
          </cell>
          <cell r="D124">
            <v>67119.41</v>
          </cell>
          <cell r="F124">
            <v>107.73819968415511</v>
          </cell>
          <cell r="G124">
            <v>98.803697661772702</v>
          </cell>
          <cell r="H124">
            <v>97.858238731587448</v>
          </cell>
        </row>
        <row r="125">
          <cell r="A125">
            <v>40302</v>
          </cell>
          <cell r="B125">
            <v>15.2</v>
          </cell>
          <cell r="C125">
            <v>17.8</v>
          </cell>
          <cell r="D125">
            <v>64869.32</v>
          </cell>
          <cell r="F125">
            <v>106.68538340059659</v>
          </cell>
          <cell r="G125">
            <v>96.791734638390423</v>
          </cell>
          <cell r="H125">
            <v>94.577669900789346</v>
          </cell>
        </row>
        <row r="126">
          <cell r="A126">
            <v>40303</v>
          </cell>
          <cell r="B126">
            <v>15.19</v>
          </cell>
          <cell r="C126">
            <v>17.600000000000001</v>
          </cell>
          <cell r="D126">
            <v>64914.17</v>
          </cell>
          <cell r="F126">
            <v>106.61519564835935</v>
          </cell>
          <cell r="G126">
            <v>95.704187058183805</v>
          </cell>
          <cell r="H126">
            <v>94.643059957214334</v>
          </cell>
        </row>
        <row r="127">
          <cell r="A127">
            <v>40304</v>
          </cell>
          <cell r="B127">
            <v>15</v>
          </cell>
          <cell r="C127">
            <v>17.2</v>
          </cell>
          <cell r="D127">
            <v>63414.22</v>
          </cell>
          <cell r="F127">
            <v>105.28162835585191</v>
          </cell>
          <cell r="G127">
            <v>93.529091897770527</v>
          </cell>
          <cell r="H127">
            <v>92.456174446965605</v>
          </cell>
        </row>
        <row r="128">
          <cell r="A128">
            <v>40305</v>
          </cell>
          <cell r="B128">
            <v>14.72</v>
          </cell>
          <cell r="C128">
            <v>16.96</v>
          </cell>
          <cell r="D128">
            <v>62870.879999999997</v>
          </cell>
          <cell r="F128">
            <v>103.31637129320934</v>
          </cell>
          <cell r="G128">
            <v>92.224034801522563</v>
          </cell>
          <cell r="H128">
            <v>91.663999792384743</v>
          </cell>
        </row>
        <row r="129">
          <cell r="A129">
            <v>40306</v>
          </cell>
          <cell r="B129">
            <v>14.72</v>
          </cell>
          <cell r="C129">
            <v>16.96</v>
          </cell>
          <cell r="D129">
            <v>62870.879999999997</v>
          </cell>
          <cell r="F129">
            <v>103.31637129320934</v>
          </cell>
          <cell r="G129">
            <v>92.224034801522563</v>
          </cell>
          <cell r="H129">
            <v>91.663999792384743</v>
          </cell>
        </row>
        <row r="130">
          <cell r="A130">
            <v>40307</v>
          </cell>
          <cell r="B130">
            <v>14.72</v>
          </cell>
          <cell r="C130">
            <v>16.96</v>
          </cell>
          <cell r="D130">
            <v>62870.879999999997</v>
          </cell>
          <cell r="F130">
            <v>103.31637129320934</v>
          </cell>
          <cell r="G130">
            <v>92.224034801522563</v>
          </cell>
          <cell r="H130">
            <v>91.663999792384743</v>
          </cell>
        </row>
        <row r="131">
          <cell r="A131">
            <v>40308</v>
          </cell>
          <cell r="B131">
            <v>15.28</v>
          </cell>
          <cell r="C131">
            <v>16.86</v>
          </cell>
          <cell r="D131">
            <v>65452.68</v>
          </cell>
          <cell r="F131">
            <v>107.24688541849447</v>
          </cell>
          <cell r="G131">
            <v>91.680261011419233</v>
          </cell>
          <cell r="H131">
            <v>95.42819260571865</v>
          </cell>
        </row>
        <row r="132">
          <cell r="A132">
            <v>40309</v>
          </cell>
          <cell r="B132">
            <v>15.29</v>
          </cell>
          <cell r="C132">
            <v>16.95</v>
          </cell>
          <cell r="D132">
            <v>64424.89</v>
          </cell>
          <cell r="F132">
            <v>107.31707317073169</v>
          </cell>
          <cell r="G132">
            <v>92.16965742251223</v>
          </cell>
          <cell r="H132">
            <v>93.92970328368888</v>
          </cell>
        </row>
        <row r="133">
          <cell r="A133">
            <v>40310</v>
          </cell>
          <cell r="B133">
            <v>15.3</v>
          </cell>
          <cell r="C133">
            <v>17.16</v>
          </cell>
          <cell r="D133">
            <v>65223.63</v>
          </cell>
          <cell r="F133">
            <v>107.38726092296895</v>
          </cell>
          <cell r="G133">
            <v>93.311582381729195</v>
          </cell>
          <cell r="H133">
            <v>95.094244056685369</v>
          </cell>
        </row>
        <row r="134">
          <cell r="A134">
            <v>40311</v>
          </cell>
          <cell r="B134">
            <v>15.33</v>
          </cell>
          <cell r="C134">
            <v>17.7</v>
          </cell>
          <cell r="D134">
            <v>64788.22</v>
          </cell>
          <cell r="F134">
            <v>107.59782417968064</v>
          </cell>
          <cell r="G134">
            <v>96.247960848287107</v>
          </cell>
          <cell r="H134">
            <v>94.459428349483531</v>
          </cell>
        </row>
        <row r="135">
          <cell r="A135">
            <v>40312</v>
          </cell>
          <cell r="B135">
            <v>15.2</v>
          </cell>
          <cell r="C135">
            <v>17.5</v>
          </cell>
          <cell r="D135">
            <v>63412.47</v>
          </cell>
          <cell r="F135">
            <v>106.68538340059659</v>
          </cell>
          <cell r="G135">
            <v>95.160413268080475</v>
          </cell>
          <cell r="H135">
            <v>92.453622995488587</v>
          </cell>
        </row>
        <row r="136">
          <cell r="A136">
            <v>40313</v>
          </cell>
          <cell r="B136">
            <v>15.2</v>
          </cell>
          <cell r="C136">
            <v>17.5</v>
          </cell>
          <cell r="D136">
            <v>63412.47</v>
          </cell>
          <cell r="F136">
            <v>106.68538340059659</v>
          </cell>
          <cell r="G136">
            <v>95.160413268080475</v>
          </cell>
          <cell r="H136">
            <v>92.453622995488587</v>
          </cell>
        </row>
        <row r="137">
          <cell r="A137">
            <v>40314</v>
          </cell>
          <cell r="B137">
            <v>15.2</v>
          </cell>
          <cell r="C137">
            <v>17.5</v>
          </cell>
          <cell r="D137">
            <v>63412.47</v>
          </cell>
          <cell r="F137">
            <v>106.68538340059659</v>
          </cell>
          <cell r="G137">
            <v>95.160413268080475</v>
          </cell>
          <cell r="H137">
            <v>92.453622995488587</v>
          </cell>
        </row>
        <row r="138">
          <cell r="A138">
            <v>40315</v>
          </cell>
          <cell r="B138">
            <v>15.29</v>
          </cell>
          <cell r="C138">
            <v>17.25</v>
          </cell>
          <cell r="D138">
            <v>62866.26</v>
          </cell>
          <cell r="F138">
            <v>107.31707317073169</v>
          </cell>
          <cell r="G138">
            <v>93.800978792822193</v>
          </cell>
          <cell r="H138">
            <v>91.657263960485452</v>
          </cell>
        </row>
        <row r="139">
          <cell r="A139">
            <v>40316</v>
          </cell>
          <cell r="B139">
            <v>15.39</v>
          </cell>
          <cell r="C139">
            <v>17.100000000000001</v>
          </cell>
          <cell r="D139">
            <v>60841.08</v>
          </cell>
          <cell r="F139">
            <v>108.01895069310406</v>
          </cell>
          <cell r="G139">
            <v>92.985318107667212</v>
          </cell>
          <cell r="H139">
            <v>88.704607673512186</v>
          </cell>
        </row>
        <row r="140">
          <cell r="A140">
            <v>40317</v>
          </cell>
          <cell r="B140">
            <v>14.8</v>
          </cell>
          <cell r="C140">
            <v>17</v>
          </cell>
          <cell r="D140">
            <v>59689.32</v>
          </cell>
          <cell r="F140">
            <v>103.87787331110721</v>
          </cell>
          <cell r="G140">
            <v>92.441544317563896</v>
          </cell>
          <cell r="H140">
            <v>87.025373528851304</v>
          </cell>
        </row>
        <row r="141">
          <cell r="A141">
            <v>40318</v>
          </cell>
          <cell r="B141">
            <v>14</v>
          </cell>
          <cell r="C141">
            <v>16.7</v>
          </cell>
          <cell r="D141">
            <v>58192.08</v>
          </cell>
          <cell r="F141">
            <v>98.262853132128441</v>
          </cell>
          <cell r="G141">
            <v>90.810222947253934</v>
          </cell>
          <cell r="H141">
            <v>84.842439123461233</v>
          </cell>
        </row>
        <row r="142">
          <cell r="A142">
            <v>40319</v>
          </cell>
          <cell r="B142">
            <v>14.95</v>
          </cell>
          <cell r="C142">
            <v>16.600000000000001</v>
          </cell>
          <cell r="D142">
            <v>60259.33</v>
          </cell>
          <cell r="F142">
            <v>104.93068959466572</v>
          </cell>
          <cell r="G142">
            <v>90.266449157150632</v>
          </cell>
          <cell r="H142">
            <v>87.856432303941716</v>
          </cell>
        </row>
        <row r="143">
          <cell r="A143">
            <v>40320</v>
          </cell>
          <cell r="B143">
            <v>14.95</v>
          </cell>
          <cell r="C143">
            <v>16.600000000000001</v>
          </cell>
          <cell r="D143">
            <v>60259.33</v>
          </cell>
          <cell r="F143">
            <v>104.93068959466572</v>
          </cell>
          <cell r="G143">
            <v>90.266449157150632</v>
          </cell>
          <cell r="H143">
            <v>87.856432303941716</v>
          </cell>
        </row>
        <row r="144">
          <cell r="A144">
            <v>40321</v>
          </cell>
          <cell r="B144">
            <v>14.95</v>
          </cell>
          <cell r="C144">
            <v>16.600000000000001</v>
          </cell>
          <cell r="D144">
            <v>60259.33</v>
          </cell>
          <cell r="F144">
            <v>104.93068959466572</v>
          </cell>
          <cell r="G144">
            <v>90.266449157150632</v>
          </cell>
          <cell r="H144">
            <v>87.856432303941716</v>
          </cell>
        </row>
        <row r="145">
          <cell r="A145">
            <v>40322</v>
          </cell>
          <cell r="B145">
            <v>15.1</v>
          </cell>
          <cell r="C145">
            <v>16.52</v>
          </cell>
          <cell r="D145">
            <v>59915.14</v>
          </cell>
          <cell r="F145">
            <v>105.98350587822425</v>
          </cell>
          <cell r="G145">
            <v>89.831430125067968</v>
          </cell>
          <cell r="H145">
            <v>87.354612827444171</v>
          </cell>
        </row>
        <row r="146">
          <cell r="A146">
            <v>40323</v>
          </cell>
          <cell r="B146">
            <v>14.89</v>
          </cell>
          <cell r="C146">
            <v>16.5</v>
          </cell>
          <cell r="D146">
            <v>59184.08</v>
          </cell>
          <cell r="F146">
            <v>104.50956308124233</v>
          </cell>
          <cell r="G146">
            <v>89.722675367047316</v>
          </cell>
          <cell r="H146">
            <v>86.288747617855549</v>
          </cell>
        </row>
        <row r="147">
          <cell r="A147">
            <v>40324</v>
          </cell>
          <cell r="B147">
            <v>14.86</v>
          </cell>
          <cell r="C147">
            <v>17</v>
          </cell>
          <cell r="D147">
            <v>60190.36</v>
          </cell>
          <cell r="F147">
            <v>104.29899982453061</v>
          </cell>
          <cell r="G147">
            <v>92.441544317563896</v>
          </cell>
          <cell r="H147">
            <v>87.755875956302233</v>
          </cell>
        </row>
        <row r="148">
          <cell r="A148">
            <v>40325</v>
          </cell>
          <cell r="B148">
            <v>15.1</v>
          </cell>
          <cell r="C148">
            <v>17.149999999999999</v>
          </cell>
          <cell r="D148">
            <v>62091.77</v>
          </cell>
          <cell r="F148">
            <v>105.98350587822425</v>
          </cell>
          <cell r="G148">
            <v>93.257205002718862</v>
          </cell>
          <cell r="H148">
            <v>90.528079015098896</v>
          </cell>
        </row>
        <row r="149">
          <cell r="A149">
            <v>40326</v>
          </cell>
          <cell r="B149">
            <v>14.97</v>
          </cell>
          <cell r="C149">
            <v>17.829999999999998</v>
          </cell>
          <cell r="D149">
            <v>61946.99</v>
          </cell>
          <cell r="F149">
            <v>105.0710650991402</v>
          </cell>
          <cell r="G149">
            <v>96.954866775421408</v>
          </cell>
          <cell r="H149">
            <v>90.316993789475504</v>
          </cell>
        </row>
        <row r="150">
          <cell r="A150">
            <v>40327</v>
          </cell>
          <cell r="B150">
            <v>14.97</v>
          </cell>
          <cell r="C150">
            <v>17.829999999999998</v>
          </cell>
          <cell r="D150">
            <v>61946.99</v>
          </cell>
          <cell r="F150">
            <v>105.0710650991402</v>
          </cell>
          <cell r="G150">
            <v>96.954866775421408</v>
          </cell>
          <cell r="H150">
            <v>90.316993789475504</v>
          </cell>
        </row>
        <row r="151">
          <cell r="A151">
            <v>40328</v>
          </cell>
          <cell r="B151">
            <v>14.97</v>
          </cell>
          <cell r="C151">
            <v>17.829999999999998</v>
          </cell>
          <cell r="D151">
            <v>61946.99</v>
          </cell>
          <cell r="F151">
            <v>105.0710650991402</v>
          </cell>
          <cell r="G151">
            <v>96.954866775421408</v>
          </cell>
          <cell r="H151">
            <v>90.316993789475504</v>
          </cell>
        </row>
        <row r="152">
          <cell r="A152">
            <v>40329</v>
          </cell>
          <cell r="B152">
            <v>14.97</v>
          </cell>
          <cell r="C152">
            <v>17.829999999999998</v>
          </cell>
          <cell r="D152">
            <v>61946.99</v>
          </cell>
          <cell r="F152">
            <v>105.0710650991402</v>
          </cell>
          <cell r="G152">
            <v>96.954866775421408</v>
          </cell>
          <cell r="H152">
            <v>90.316993789475504</v>
          </cell>
        </row>
        <row r="153">
          <cell r="A153">
            <v>40330</v>
          </cell>
          <cell r="B153">
            <v>14.8</v>
          </cell>
          <cell r="C153">
            <v>17.510000000000002</v>
          </cell>
          <cell r="D153">
            <v>61840.99</v>
          </cell>
          <cell r="F153">
            <v>103.87787331110721</v>
          </cell>
          <cell r="G153">
            <v>95.214790647090823</v>
          </cell>
          <cell r="H153">
            <v>90.162448728582561</v>
          </cell>
        </row>
        <row r="154">
          <cell r="A154">
            <v>40331</v>
          </cell>
          <cell r="B154">
            <v>15.35</v>
          </cell>
          <cell r="C154">
            <v>17.600000000000001</v>
          </cell>
          <cell r="D154">
            <v>62942.91</v>
          </cell>
          <cell r="F154">
            <v>107.73819968415511</v>
          </cell>
          <cell r="G154">
            <v>95.704187058183805</v>
          </cell>
          <cell r="H154">
            <v>91.769017535178321</v>
          </cell>
        </row>
        <row r="155">
          <cell r="A155">
            <v>40332</v>
          </cell>
          <cell r="B155">
            <v>15.35</v>
          </cell>
          <cell r="C155">
            <v>17.600000000000001</v>
          </cell>
          <cell r="D155">
            <v>62942.91</v>
          </cell>
          <cell r="F155">
            <v>107.73819968415511</v>
          </cell>
          <cell r="G155">
            <v>95.704187058183805</v>
          </cell>
          <cell r="H155">
            <v>91.769017535178321</v>
          </cell>
        </row>
        <row r="156">
          <cell r="A156">
            <v>40333</v>
          </cell>
          <cell r="B156">
            <v>15.4</v>
          </cell>
          <cell r="C156">
            <v>17.95</v>
          </cell>
          <cell r="D156">
            <v>61675.75</v>
          </cell>
          <cell r="F156">
            <v>108.08913844534129</v>
          </cell>
          <cell r="G156">
            <v>97.607395323545404</v>
          </cell>
          <cell r="H156">
            <v>89.921533390262283</v>
          </cell>
        </row>
        <row r="157">
          <cell r="A157">
            <v>40334</v>
          </cell>
          <cell r="B157">
            <v>15.4</v>
          </cell>
          <cell r="C157">
            <v>17.95</v>
          </cell>
          <cell r="D157">
            <v>61675.75</v>
          </cell>
          <cell r="F157">
            <v>108.08913844534129</v>
          </cell>
          <cell r="G157">
            <v>97.607395323545404</v>
          </cell>
          <cell r="H157">
            <v>89.921533390262283</v>
          </cell>
        </row>
        <row r="158">
          <cell r="A158">
            <v>40335</v>
          </cell>
          <cell r="B158">
            <v>15.4</v>
          </cell>
          <cell r="C158">
            <v>17.95</v>
          </cell>
          <cell r="D158">
            <v>61675.75</v>
          </cell>
          <cell r="F158">
            <v>108.08913844534129</v>
          </cell>
          <cell r="G158">
            <v>97.607395323545404</v>
          </cell>
          <cell r="H158">
            <v>89.921533390262283</v>
          </cell>
        </row>
        <row r="159">
          <cell r="A159">
            <v>40336</v>
          </cell>
          <cell r="B159">
            <v>15</v>
          </cell>
          <cell r="C159">
            <v>18.399999999999999</v>
          </cell>
          <cell r="D159">
            <v>61182.92</v>
          </cell>
          <cell r="F159">
            <v>105.28162835585191</v>
          </cell>
          <cell r="G159">
            <v>100.05437737901033</v>
          </cell>
          <cell r="H159">
            <v>89.203000915169184</v>
          </cell>
        </row>
        <row r="160">
          <cell r="A160">
            <v>40337</v>
          </cell>
          <cell r="B160">
            <v>14.56</v>
          </cell>
          <cell r="C160">
            <v>19</v>
          </cell>
          <cell r="D160">
            <v>61793</v>
          </cell>
          <cell r="F160">
            <v>102.1933672574136</v>
          </cell>
          <cell r="G160">
            <v>103.31702011963021</v>
          </cell>
          <cell r="H160">
            <v>90.092480639221691</v>
          </cell>
        </row>
        <row r="161">
          <cell r="A161">
            <v>40338</v>
          </cell>
          <cell r="B161">
            <v>14.48</v>
          </cell>
          <cell r="C161">
            <v>18.25</v>
          </cell>
          <cell r="D161">
            <v>61478.61</v>
          </cell>
          <cell r="F161">
            <v>101.6318652395157</v>
          </cell>
          <cell r="G161">
            <v>99.238716693855352</v>
          </cell>
          <cell r="H161">
            <v>89.634108736446876</v>
          </cell>
        </row>
        <row r="162">
          <cell r="A162">
            <v>40339</v>
          </cell>
          <cell r="B162">
            <v>14.36</v>
          </cell>
          <cell r="C162">
            <v>18.649999999999999</v>
          </cell>
          <cell r="D162">
            <v>63048.800000000003</v>
          </cell>
          <cell r="F162">
            <v>100.78961221266889</v>
          </cell>
          <cell r="G162">
            <v>101.41381185426862</v>
          </cell>
          <cell r="H162">
            <v>91.923402219121272</v>
          </cell>
        </row>
        <row r="163">
          <cell r="A163">
            <v>40340</v>
          </cell>
          <cell r="B163">
            <v>14.6</v>
          </cell>
          <cell r="C163">
            <v>18.5</v>
          </cell>
          <cell r="D163">
            <v>63605.38</v>
          </cell>
          <cell r="F163">
            <v>102.47411826636252</v>
          </cell>
          <cell r="G163">
            <v>100.59815116911363</v>
          </cell>
          <cell r="H163">
            <v>92.734880426591019</v>
          </cell>
        </row>
        <row r="164">
          <cell r="A164">
            <v>40341</v>
          </cell>
          <cell r="B164">
            <v>14.6</v>
          </cell>
          <cell r="C164">
            <v>18.5</v>
          </cell>
          <cell r="D164">
            <v>63605.38</v>
          </cell>
          <cell r="F164">
            <v>102.47411826636252</v>
          </cell>
          <cell r="G164">
            <v>100.59815116911363</v>
          </cell>
          <cell r="H164">
            <v>92.734880426591019</v>
          </cell>
        </row>
        <row r="165">
          <cell r="A165">
            <v>40342</v>
          </cell>
          <cell r="B165">
            <v>14.6</v>
          </cell>
          <cell r="C165">
            <v>18.5</v>
          </cell>
          <cell r="D165">
            <v>63605.38</v>
          </cell>
          <cell r="F165">
            <v>102.47411826636252</v>
          </cell>
          <cell r="G165">
            <v>100.59815116911363</v>
          </cell>
          <cell r="H165">
            <v>92.734880426591019</v>
          </cell>
        </row>
        <row r="166">
          <cell r="A166">
            <v>40343</v>
          </cell>
          <cell r="B166">
            <v>14.7</v>
          </cell>
          <cell r="C166">
            <v>18.2</v>
          </cell>
          <cell r="D166">
            <v>63532.85</v>
          </cell>
          <cell r="F166">
            <v>103.17599578873487</v>
          </cell>
          <cell r="G166">
            <v>98.966829798803687</v>
          </cell>
          <cell r="H166">
            <v>92.62913369766116</v>
          </cell>
        </row>
        <row r="167">
          <cell r="A167">
            <v>40344</v>
          </cell>
          <cell r="B167">
            <v>14.95</v>
          </cell>
          <cell r="C167">
            <v>18.27</v>
          </cell>
          <cell r="D167">
            <v>64442.27</v>
          </cell>
          <cell r="F167">
            <v>104.93068959466572</v>
          </cell>
          <cell r="G167">
            <v>99.347471451876018</v>
          </cell>
          <cell r="H167">
            <v>93.955042841786224</v>
          </cell>
        </row>
        <row r="168">
          <cell r="A168">
            <v>40345</v>
          </cell>
          <cell r="B168">
            <v>15.2</v>
          </cell>
          <cell r="C168">
            <v>18.100000000000001</v>
          </cell>
          <cell r="D168">
            <v>64750.71</v>
          </cell>
          <cell r="F168">
            <v>106.68538340059659</v>
          </cell>
          <cell r="G168">
            <v>98.423056008700385</v>
          </cell>
          <cell r="H168">
            <v>94.404739809539237</v>
          </cell>
        </row>
        <row r="169">
          <cell r="A169">
            <v>40346</v>
          </cell>
          <cell r="B169">
            <v>15.36</v>
          </cell>
          <cell r="C169">
            <v>18.3</v>
          </cell>
          <cell r="D169">
            <v>64540.91</v>
          </cell>
          <cell r="F169">
            <v>107.80838743639234</v>
          </cell>
          <cell r="G169">
            <v>99.510603588907017</v>
          </cell>
          <cell r="H169">
            <v>94.098857226753026</v>
          </cell>
        </row>
        <row r="170">
          <cell r="A170">
            <v>40347</v>
          </cell>
          <cell r="B170">
            <v>15.6</v>
          </cell>
          <cell r="C170">
            <v>18.36</v>
          </cell>
          <cell r="D170">
            <v>64437.58</v>
          </cell>
          <cell r="F170">
            <v>109.49289349008598</v>
          </cell>
          <cell r="G170">
            <v>99.836867862969001</v>
          </cell>
          <cell r="H170">
            <v>93.948204951827861</v>
          </cell>
        </row>
        <row r="171">
          <cell r="A171">
            <v>40348</v>
          </cell>
          <cell r="B171">
            <v>15.6</v>
          </cell>
          <cell r="C171">
            <v>18.36</v>
          </cell>
          <cell r="D171">
            <v>64437.58</v>
          </cell>
          <cell r="F171">
            <v>109.49289349008598</v>
          </cell>
          <cell r="G171">
            <v>99.836867862969001</v>
          </cell>
          <cell r="H171">
            <v>93.948204951827861</v>
          </cell>
        </row>
        <row r="172">
          <cell r="A172">
            <v>40349</v>
          </cell>
          <cell r="B172">
            <v>15.6</v>
          </cell>
          <cell r="C172">
            <v>18.36</v>
          </cell>
          <cell r="D172">
            <v>64437.58</v>
          </cell>
          <cell r="F172">
            <v>109.49289349008598</v>
          </cell>
          <cell r="G172">
            <v>99.836867862969001</v>
          </cell>
          <cell r="H172">
            <v>93.948204951827861</v>
          </cell>
        </row>
        <row r="173">
          <cell r="A173">
            <v>40350</v>
          </cell>
          <cell r="B173">
            <v>15.55</v>
          </cell>
          <cell r="C173">
            <v>18.5</v>
          </cell>
          <cell r="D173">
            <v>64829.03</v>
          </cell>
          <cell r="F173">
            <v>109.1419547288998</v>
          </cell>
          <cell r="G173">
            <v>100.59815116911363</v>
          </cell>
          <cell r="H173">
            <v>94.518928197927309</v>
          </cell>
        </row>
        <row r="174">
          <cell r="A174">
            <v>40351</v>
          </cell>
          <cell r="B174">
            <v>16.04</v>
          </cell>
          <cell r="C174">
            <v>18.8</v>
          </cell>
          <cell r="D174">
            <v>64810.62</v>
          </cell>
          <cell r="F174">
            <v>112.58115458852429</v>
          </cell>
          <cell r="G174">
            <v>102.22947253942361</v>
          </cell>
          <cell r="H174">
            <v>94.492086928389213</v>
          </cell>
        </row>
        <row r="175">
          <cell r="A175">
            <v>40352</v>
          </cell>
          <cell r="B175">
            <v>15.64</v>
          </cell>
          <cell r="C175">
            <v>19.010000000000002</v>
          </cell>
          <cell r="D175">
            <v>65160.33</v>
          </cell>
          <cell r="F175">
            <v>109.77364449903493</v>
          </cell>
          <cell r="G175">
            <v>103.37139749864058</v>
          </cell>
          <cell r="H175">
            <v>95.001954411831377</v>
          </cell>
        </row>
        <row r="176">
          <cell r="A176">
            <v>40353</v>
          </cell>
          <cell r="B176">
            <v>15.9</v>
          </cell>
          <cell r="C176">
            <v>19</v>
          </cell>
          <cell r="D176">
            <v>63936.7</v>
          </cell>
          <cell r="F176">
            <v>111.59852605720302</v>
          </cell>
          <cell r="G176">
            <v>103.31702011963021</v>
          </cell>
          <cell r="H176">
            <v>93.217935799940534</v>
          </cell>
        </row>
        <row r="177">
          <cell r="A177">
            <v>40354</v>
          </cell>
          <cell r="B177">
            <v>16.25</v>
          </cell>
          <cell r="C177">
            <v>19.2</v>
          </cell>
          <cell r="D177">
            <v>64823.83</v>
          </cell>
          <cell r="F177">
            <v>114.05509738550623</v>
          </cell>
          <cell r="G177">
            <v>104.40456769983686</v>
          </cell>
          <cell r="H177">
            <v>94.511346742109922</v>
          </cell>
        </row>
        <row r="178">
          <cell r="A178">
            <v>40355</v>
          </cell>
          <cell r="B178">
            <v>16.25</v>
          </cell>
          <cell r="C178">
            <v>19.2</v>
          </cell>
          <cell r="D178">
            <v>64823.83</v>
          </cell>
          <cell r="F178">
            <v>114.05509738550623</v>
          </cell>
          <cell r="G178">
            <v>104.40456769983686</v>
          </cell>
          <cell r="H178">
            <v>94.511346742109922</v>
          </cell>
        </row>
        <row r="179">
          <cell r="A179">
            <v>40356</v>
          </cell>
          <cell r="B179">
            <v>16.25</v>
          </cell>
          <cell r="C179">
            <v>19.2</v>
          </cell>
          <cell r="D179">
            <v>64823.83</v>
          </cell>
          <cell r="F179">
            <v>114.05509738550623</v>
          </cell>
          <cell r="G179">
            <v>104.40456769983686</v>
          </cell>
          <cell r="H179">
            <v>94.511346742109922</v>
          </cell>
        </row>
        <row r="180">
          <cell r="A180">
            <v>40357</v>
          </cell>
          <cell r="B180">
            <v>17</v>
          </cell>
          <cell r="C180">
            <v>19.5</v>
          </cell>
          <cell r="D180">
            <v>64225.22</v>
          </cell>
          <cell r="F180">
            <v>119.31917880329883</v>
          </cell>
          <cell r="G180">
            <v>106.03588907014681</v>
          </cell>
          <cell r="H180">
            <v>93.63858996002385</v>
          </cell>
        </row>
        <row r="181">
          <cell r="A181">
            <v>40358</v>
          </cell>
          <cell r="B181">
            <v>16.600000000000001</v>
          </cell>
          <cell r="C181">
            <v>19.5</v>
          </cell>
          <cell r="D181">
            <v>61977.91</v>
          </cell>
          <cell r="F181">
            <v>116.51166871380944</v>
          </cell>
          <cell r="G181">
            <v>106.03588907014681</v>
          </cell>
          <cell r="H181">
            <v>90.362074292143518</v>
          </cell>
        </row>
        <row r="182">
          <cell r="A182">
            <v>40359</v>
          </cell>
          <cell r="B182">
            <v>16.989999999999998</v>
          </cell>
          <cell r="C182">
            <v>19.989999999999998</v>
          </cell>
          <cell r="D182">
            <v>60935.9</v>
          </cell>
          <cell r="F182">
            <v>119.24899105106157</v>
          </cell>
          <cell r="G182">
            <v>108.70038064165306</v>
          </cell>
          <cell r="H182">
            <v>88.842852604397734</v>
          </cell>
        </row>
        <row r="183">
          <cell r="A183">
            <v>40360</v>
          </cell>
          <cell r="B183">
            <v>16.850000000000001</v>
          </cell>
          <cell r="C183">
            <v>19.940000000000001</v>
          </cell>
          <cell r="D183">
            <v>61236.2</v>
          </cell>
          <cell r="F183">
            <v>118.26636251974033</v>
          </cell>
          <cell r="G183">
            <v>108.42849374660142</v>
          </cell>
          <cell r="H183">
            <v>89.280681677851987</v>
          </cell>
        </row>
        <row r="184">
          <cell r="A184">
            <v>40361</v>
          </cell>
          <cell r="B184">
            <v>17.21</v>
          </cell>
          <cell r="C184">
            <v>19.920000000000002</v>
          </cell>
          <cell r="D184">
            <v>61429.79</v>
          </cell>
          <cell r="F184">
            <v>120.79312160028076</v>
          </cell>
          <cell r="G184">
            <v>108.31973898858077</v>
          </cell>
          <cell r="H184">
            <v>89.562930530099763</v>
          </cell>
        </row>
        <row r="185">
          <cell r="A185">
            <v>40362</v>
          </cell>
          <cell r="B185">
            <v>17.21</v>
          </cell>
          <cell r="C185">
            <v>19.920000000000002</v>
          </cell>
          <cell r="D185">
            <v>61429.79</v>
          </cell>
          <cell r="F185">
            <v>120.79312160028076</v>
          </cell>
          <cell r="G185">
            <v>108.31973898858077</v>
          </cell>
          <cell r="H185">
            <v>89.562930530099763</v>
          </cell>
        </row>
        <row r="186">
          <cell r="A186">
            <v>40363</v>
          </cell>
          <cell r="B186">
            <v>17.21</v>
          </cell>
          <cell r="C186">
            <v>19.920000000000002</v>
          </cell>
          <cell r="D186">
            <v>61429.79</v>
          </cell>
          <cell r="F186">
            <v>120.79312160028076</v>
          </cell>
          <cell r="G186">
            <v>108.31973898858077</v>
          </cell>
          <cell r="H186">
            <v>89.562930530099763</v>
          </cell>
        </row>
        <row r="187">
          <cell r="A187">
            <v>40364</v>
          </cell>
          <cell r="B187">
            <v>17.21</v>
          </cell>
          <cell r="C187">
            <v>19.920000000000002</v>
          </cell>
          <cell r="D187">
            <v>61429.79</v>
          </cell>
          <cell r="F187">
            <v>120.79312160028076</v>
          </cell>
          <cell r="G187">
            <v>108.31973898858077</v>
          </cell>
          <cell r="H187">
            <v>89.562930530099763</v>
          </cell>
        </row>
        <row r="188">
          <cell r="A188">
            <v>40365</v>
          </cell>
          <cell r="B188">
            <v>17.899999999999999</v>
          </cell>
          <cell r="C188">
            <v>20.2</v>
          </cell>
          <cell r="D188">
            <v>62064.75</v>
          </cell>
          <cell r="F188">
            <v>125.63607650464992</v>
          </cell>
          <cell r="G188">
            <v>109.84230560087002</v>
          </cell>
          <cell r="H188">
            <v>90.488684604293923</v>
          </cell>
        </row>
        <row r="189">
          <cell r="A189">
            <v>40366</v>
          </cell>
          <cell r="B189">
            <v>17.2</v>
          </cell>
          <cell r="C189">
            <v>20.82</v>
          </cell>
          <cell r="D189">
            <v>63283.8</v>
          </cell>
          <cell r="F189">
            <v>120.72293384804351</v>
          </cell>
          <cell r="G189">
            <v>113.2137030995106</v>
          </cell>
          <cell r="H189">
            <v>92.266025703176382</v>
          </cell>
        </row>
        <row r="190">
          <cell r="A190">
            <v>40367</v>
          </cell>
          <cell r="B190">
            <v>17</v>
          </cell>
          <cell r="C190">
            <v>21.4</v>
          </cell>
          <cell r="D190">
            <v>63476.32</v>
          </cell>
          <cell r="F190">
            <v>119.31917880329883</v>
          </cell>
          <cell r="G190">
            <v>116.36759108210984</v>
          </cell>
          <cell r="H190">
            <v>92.546714525092497</v>
          </cell>
        </row>
        <row r="191">
          <cell r="A191">
            <v>40368</v>
          </cell>
          <cell r="B191">
            <v>17</v>
          </cell>
          <cell r="C191">
            <v>21.4</v>
          </cell>
          <cell r="D191">
            <v>63476.32</v>
          </cell>
          <cell r="F191">
            <v>119.31917880329883</v>
          </cell>
          <cell r="G191">
            <v>116.36759108210984</v>
          </cell>
          <cell r="H191">
            <v>92.546714525092497</v>
          </cell>
        </row>
        <row r="192">
          <cell r="A192">
            <v>40369</v>
          </cell>
          <cell r="B192">
            <v>17</v>
          </cell>
          <cell r="C192">
            <v>21.4</v>
          </cell>
          <cell r="D192">
            <v>63476.32</v>
          </cell>
          <cell r="F192">
            <v>119.31917880329883</v>
          </cell>
          <cell r="G192">
            <v>116.36759108210984</v>
          </cell>
          <cell r="H192">
            <v>92.546714525092497</v>
          </cell>
        </row>
        <row r="193">
          <cell r="A193">
            <v>40370</v>
          </cell>
          <cell r="B193">
            <v>17</v>
          </cell>
          <cell r="C193">
            <v>21.4</v>
          </cell>
          <cell r="D193">
            <v>63476.32</v>
          </cell>
          <cell r="F193">
            <v>119.31917880329883</v>
          </cell>
          <cell r="G193">
            <v>116.36759108210984</v>
          </cell>
          <cell r="H193">
            <v>92.546714525092497</v>
          </cell>
        </row>
        <row r="194">
          <cell r="A194">
            <v>40371</v>
          </cell>
          <cell r="B194">
            <v>16.8</v>
          </cell>
          <cell r="C194">
            <v>20.2</v>
          </cell>
          <cell r="D194">
            <v>62960.1</v>
          </cell>
          <cell r="F194">
            <v>117.91542375855413</v>
          </cell>
          <cell r="G194">
            <v>109.84230560087002</v>
          </cell>
          <cell r="H194">
            <v>91.794080078543871</v>
          </cell>
        </row>
        <row r="195">
          <cell r="A195">
            <v>40372</v>
          </cell>
          <cell r="B195">
            <v>16.8</v>
          </cell>
          <cell r="C195">
            <v>20.5</v>
          </cell>
          <cell r="D195">
            <v>63685.56</v>
          </cell>
          <cell r="F195">
            <v>117.91542375855413</v>
          </cell>
          <cell r="G195">
            <v>111.47362697118</v>
          </cell>
          <cell r="H195">
            <v>92.851780643406073</v>
          </cell>
        </row>
        <row r="196">
          <cell r="A196">
            <v>40373</v>
          </cell>
          <cell r="B196">
            <v>16.95</v>
          </cell>
          <cell r="C196">
            <v>20</v>
          </cell>
          <cell r="D196">
            <v>63479.46</v>
          </cell>
          <cell r="F196">
            <v>118.96824004211264</v>
          </cell>
          <cell r="G196">
            <v>108.75475802066342</v>
          </cell>
          <cell r="H196">
            <v>92.551292558028393</v>
          </cell>
        </row>
        <row r="197">
          <cell r="A197">
            <v>40374</v>
          </cell>
          <cell r="B197">
            <v>17.010000000000002</v>
          </cell>
          <cell r="C197">
            <v>20</v>
          </cell>
          <cell r="D197">
            <v>63489.37</v>
          </cell>
          <cell r="F197">
            <v>119.38936655553607</v>
          </cell>
          <cell r="G197">
            <v>108.75475802066342</v>
          </cell>
          <cell r="H197">
            <v>92.565741063249604</v>
          </cell>
        </row>
        <row r="198">
          <cell r="A198">
            <v>40375</v>
          </cell>
          <cell r="B198">
            <v>16.899999999999999</v>
          </cell>
          <cell r="C198">
            <v>20</v>
          </cell>
          <cell r="D198">
            <v>62339.27</v>
          </cell>
          <cell r="F198">
            <v>118.61730128092647</v>
          </cell>
          <cell r="G198">
            <v>108.75475802066342</v>
          </cell>
          <cell r="H198">
            <v>90.888927152561195</v>
          </cell>
        </row>
        <row r="199">
          <cell r="A199">
            <v>40376</v>
          </cell>
          <cell r="B199">
            <v>16.899999999999999</v>
          </cell>
          <cell r="C199">
            <v>20</v>
          </cell>
          <cell r="D199">
            <v>62339.27</v>
          </cell>
          <cell r="F199">
            <v>118.61730128092647</v>
          </cell>
          <cell r="G199">
            <v>108.75475802066342</v>
          </cell>
          <cell r="H199">
            <v>90.888927152561195</v>
          </cell>
        </row>
        <row r="200">
          <cell r="A200">
            <v>40377</v>
          </cell>
          <cell r="B200">
            <v>16.899999999999999</v>
          </cell>
          <cell r="C200">
            <v>20</v>
          </cell>
          <cell r="D200">
            <v>62339.27</v>
          </cell>
          <cell r="F200">
            <v>118.61730128092647</v>
          </cell>
          <cell r="G200">
            <v>108.75475802066342</v>
          </cell>
          <cell r="H200">
            <v>90.888927152561195</v>
          </cell>
        </row>
        <row r="201">
          <cell r="A201">
            <v>40378</v>
          </cell>
          <cell r="B201">
            <v>16.850000000000001</v>
          </cell>
          <cell r="C201">
            <v>20.010000000000002</v>
          </cell>
          <cell r="D201">
            <v>63297.04</v>
          </cell>
          <cell r="F201">
            <v>118.26636251974033</v>
          </cell>
          <cell r="G201">
            <v>108.80913539967374</v>
          </cell>
          <cell r="H201">
            <v>92.285329256065268</v>
          </cell>
        </row>
        <row r="202">
          <cell r="A202">
            <v>40379</v>
          </cell>
          <cell r="B202">
            <v>16.899999999999999</v>
          </cell>
          <cell r="C202">
            <v>20</v>
          </cell>
          <cell r="D202">
            <v>64462.5</v>
          </cell>
          <cell r="F202">
            <v>118.61730128092647</v>
          </cell>
          <cell r="G202">
            <v>108.75475802066342</v>
          </cell>
          <cell r="H202">
            <v>93.984537620860436</v>
          </cell>
        </row>
        <row r="203">
          <cell r="A203">
            <v>40380</v>
          </cell>
          <cell r="B203">
            <v>16.95</v>
          </cell>
          <cell r="C203">
            <v>19.82</v>
          </cell>
          <cell r="D203">
            <v>64476.84</v>
          </cell>
          <cell r="F203">
            <v>118.96824004211264</v>
          </cell>
          <cell r="G203">
            <v>107.77596519847744</v>
          </cell>
          <cell r="H203">
            <v>94.005444943249145</v>
          </cell>
        </row>
        <row r="204">
          <cell r="A204">
            <v>40381</v>
          </cell>
          <cell r="B204">
            <v>17.100000000000001</v>
          </cell>
          <cell r="C204">
            <v>20.190000000000001</v>
          </cell>
          <cell r="D204">
            <v>65748.100000000006</v>
          </cell>
          <cell r="F204">
            <v>120.02105632567117</v>
          </cell>
          <cell r="G204">
            <v>109.78792822185972</v>
          </cell>
          <cell r="H204">
            <v>95.858906774482747</v>
          </cell>
        </row>
        <row r="205">
          <cell r="A205">
            <v>40382</v>
          </cell>
          <cell r="B205">
            <v>16.95</v>
          </cell>
          <cell r="C205">
            <v>20.02</v>
          </cell>
          <cell r="D205">
            <v>66322.990000000005</v>
          </cell>
          <cell r="F205">
            <v>118.96824004211264</v>
          </cell>
          <cell r="G205">
            <v>108.86351277868407</v>
          </cell>
          <cell r="H205">
            <v>96.697080454263343</v>
          </cell>
        </row>
        <row r="206">
          <cell r="A206">
            <v>40383</v>
          </cell>
          <cell r="B206">
            <v>16.95</v>
          </cell>
          <cell r="C206">
            <v>20.02</v>
          </cell>
          <cell r="D206">
            <v>66322.990000000005</v>
          </cell>
          <cell r="F206">
            <v>118.96824004211264</v>
          </cell>
          <cell r="G206">
            <v>108.86351277868407</v>
          </cell>
          <cell r="H206">
            <v>96.697080454263343</v>
          </cell>
        </row>
        <row r="207">
          <cell r="A207">
            <v>40384</v>
          </cell>
          <cell r="B207">
            <v>16.95</v>
          </cell>
          <cell r="C207">
            <v>20.02</v>
          </cell>
          <cell r="D207">
            <v>66322.990000000005</v>
          </cell>
          <cell r="F207">
            <v>118.96824004211264</v>
          </cell>
          <cell r="G207">
            <v>108.86351277868407</v>
          </cell>
          <cell r="H207">
            <v>96.697080454263343</v>
          </cell>
        </row>
        <row r="208">
          <cell r="A208">
            <v>40385</v>
          </cell>
          <cell r="B208">
            <v>16.75</v>
          </cell>
          <cell r="C208">
            <v>20.05</v>
          </cell>
          <cell r="D208">
            <v>66443.259999999995</v>
          </cell>
          <cell r="F208">
            <v>117.56448499736796</v>
          </cell>
          <cell r="G208">
            <v>109.02664491571505</v>
          </cell>
          <cell r="H208">
            <v>96.87243077948591</v>
          </cell>
        </row>
        <row r="209">
          <cell r="A209">
            <v>40386</v>
          </cell>
          <cell r="B209">
            <v>16.8</v>
          </cell>
          <cell r="C209">
            <v>20.14</v>
          </cell>
          <cell r="D209">
            <v>66674.44</v>
          </cell>
          <cell r="F209">
            <v>117.91542375855413</v>
          </cell>
          <cell r="G209">
            <v>109.51604132680805</v>
          </cell>
          <cell r="H209">
            <v>97.209484809459795</v>
          </cell>
        </row>
        <row r="210">
          <cell r="A210">
            <v>40387</v>
          </cell>
          <cell r="B210">
            <v>16.45</v>
          </cell>
          <cell r="C210">
            <v>19.850000000000001</v>
          </cell>
          <cell r="D210">
            <v>66808.25</v>
          </cell>
          <cell r="F210">
            <v>115.45885243025091</v>
          </cell>
          <cell r="G210">
            <v>107.93909733550844</v>
          </cell>
          <cell r="H210">
            <v>97.404576079253033</v>
          </cell>
        </row>
        <row r="211">
          <cell r="A211">
            <v>40388</v>
          </cell>
          <cell r="B211">
            <v>16.45</v>
          </cell>
          <cell r="C211">
            <v>20.04</v>
          </cell>
          <cell r="D211">
            <v>66953.83</v>
          </cell>
          <cell r="F211">
            <v>115.45885243025091</v>
          </cell>
          <cell r="G211">
            <v>108.97226753670472</v>
          </cell>
          <cell r="H211">
            <v>97.616827682694492</v>
          </cell>
        </row>
        <row r="212">
          <cell r="A212">
            <v>40389</v>
          </cell>
          <cell r="B212">
            <v>16.91</v>
          </cell>
          <cell r="C212">
            <v>20.399999999999999</v>
          </cell>
          <cell r="D212">
            <v>67515.399999999994</v>
          </cell>
          <cell r="F212">
            <v>118.6874890331637</v>
          </cell>
          <cell r="G212">
            <v>110.92985318107667</v>
          </cell>
          <cell r="H212">
            <v>98.435581171804373</v>
          </cell>
        </row>
        <row r="213">
          <cell r="A213">
            <v>40390</v>
          </cell>
          <cell r="B213">
            <v>16.91</v>
          </cell>
          <cell r="C213">
            <v>20.399999999999999</v>
          </cell>
          <cell r="D213">
            <v>67515.399999999994</v>
          </cell>
          <cell r="F213">
            <v>118.6874890331637</v>
          </cell>
          <cell r="G213">
            <v>110.92985318107667</v>
          </cell>
          <cell r="H213">
            <v>98.435581171804373</v>
          </cell>
        </row>
        <row r="214">
          <cell r="A214">
            <v>40391</v>
          </cell>
          <cell r="B214">
            <v>16.91</v>
          </cell>
          <cell r="C214">
            <v>20.399999999999999</v>
          </cell>
          <cell r="D214">
            <v>67515.399999999994</v>
          </cell>
          <cell r="F214">
            <v>118.6874890331637</v>
          </cell>
          <cell r="G214">
            <v>110.92985318107667</v>
          </cell>
          <cell r="H214">
            <v>98.435581171804373</v>
          </cell>
        </row>
        <row r="215">
          <cell r="A215">
            <v>40392</v>
          </cell>
          <cell r="B215">
            <v>16.95</v>
          </cell>
          <cell r="C215">
            <v>20.149999999999999</v>
          </cell>
          <cell r="D215">
            <v>68517.460000000006</v>
          </cell>
          <cell r="F215">
            <v>118.96824004211264</v>
          </cell>
          <cell r="G215">
            <v>109.57041870581835</v>
          </cell>
          <cell r="H215">
            <v>99.896556867260813</v>
          </cell>
        </row>
        <row r="216">
          <cell r="A216">
            <v>40393</v>
          </cell>
          <cell r="B216">
            <v>16.8</v>
          </cell>
          <cell r="C216">
            <v>20.2</v>
          </cell>
          <cell r="D216">
            <v>67997.36</v>
          </cell>
          <cell r="F216">
            <v>117.91542375855413</v>
          </cell>
          <cell r="G216">
            <v>109.84230560087002</v>
          </cell>
          <cell r="H216">
            <v>99.138265488294593</v>
          </cell>
        </row>
        <row r="217">
          <cell r="A217">
            <v>40394</v>
          </cell>
          <cell r="B217">
            <v>17.079999999999998</v>
          </cell>
          <cell r="C217">
            <v>19.899999999999999</v>
          </cell>
          <cell r="D217">
            <v>68272</v>
          </cell>
          <cell r="F217">
            <v>119.88068082119669</v>
          </cell>
          <cell r="G217">
            <v>108.21098423056009</v>
          </cell>
          <cell r="H217">
            <v>99.538682993234559</v>
          </cell>
        </row>
        <row r="218">
          <cell r="A218">
            <v>40395</v>
          </cell>
          <cell r="B218">
            <v>16.95</v>
          </cell>
          <cell r="C218">
            <v>20.25</v>
          </cell>
          <cell r="D218">
            <v>68411.72</v>
          </cell>
          <cell r="F218">
            <v>118.96824004211264</v>
          </cell>
          <cell r="G218">
            <v>110.11419249592169</v>
          </cell>
          <cell r="H218">
            <v>99.742390879158734</v>
          </cell>
        </row>
        <row r="219">
          <cell r="A219">
            <v>40396</v>
          </cell>
          <cell r="B219">
            <v>16.78</v>
          </cell>
          <cell r="C219">
            <v>20.02</v>
          </cell>
          <cell r="D219">
            <v>68094.759999999995</v>
          </cell>
          <cell r="F219">
            <v>117.77504825407968</v>
          </cell>
          <cell r="G219">
            <v>108.86351277868407</v>
          </cell>
          <cell r="H219">
            <v>99.280271987643374</v>
          </cell>
        </row>
        <row r="220">
          <cell r="A220">
            <v>40397</v>
          </cell>
          <cell r="B220">
            <v>16.78</v>
          </cell>
          <cell r="C220">
            <v>20.02</v>
          </cell>
          <cell r="D220">
            <v>68094.759999999995</v>
          </cell>
          <cell r="F220">
            <v>117.77504825407968</v>
          </cell>
          <cell r="G220">
            <v>108.86351277868407</v>
          </cell>
          <cell r="H220">
            <v>99.280271987643374</v>
          </cell>
        </row>
        <row r="221">
          <cell r="A221">
            <v>40398</v>
          </cell>
          <cell r="B221">
            <v>16.78</v>
          </cell>
          <cell r="C221">
            <v>20.02</v>
          </cell>
          <cell r="D221">
            <v>68094.759999999995</v>
          </cell>
          <cell r="F221">
            <v>117.77504825407968</v>
          </cell>
          <cell r="G221">
            <v>108.86351277868407</v>
          </cell>
          <cell r="H221">
            <v>99.280271987643374</v>
          </cell>
        </row>
        <row r="222">
          <cell r="A222">
            <v>40399</v>
          </cell>
          <cell r="B222">
            <v>16.52</v>
          </cell>
          <cell r="C222">
            <v>20.399999999999999</v>
          </cell>
          <cell r="D222">
            <v>67862.28</v>
          </cell>
          <cell r="F222">
            <v>115.95016669591156</v>
          </cell>
          <cell r="G222">
            <v>110.92985318107667</v>
          </cell>
          <cell r="H222">
            <v>98.941322593715171</v>
          </cell>
        </row>
        <row r="223">
          <cell r="A223">
            <v>40400</v>
          </cell>
          <cell r="B223">
            <v>16.5</v>
          </cell>
          <cell r="C223">
            <v>20.22</v>
          </cell>
          <cell r="D223">
            <v>67223.23</v>
          </cell>
          <cell r="F223">
            <v>115.80979119143709</v>
          </cell>
          <cell r="G223">
            <v>109.95106035889069</v>
          </cell>
          <cell r="H223">
            <v>98.009605412926177</v>
          </cell>
        </row>
        <row r="224">
          <cell r="A224">
            <v>40401</v>
          </cell>
          <cell r="B224">
            <v>16</v>
          </cell>
          <cell r="C224">
            <v>20.13</v>
          </cell>
          <cell r="D224">
            <v>65790.289999999994</v>
          </cell>
          <cell r="F224">
            <v>112.30040357957536</v>
          </cell>
          <cell r="G224">
            <v>109.4616639477977</v>
          </cell>
          <cell r="H224">
            <v>95.920418624662659</v>
          </cell>
        </row>
        <row r="225">
          <cell r="A225">
            <v>40402</v>
          </cell>
          <cell r="B225">
            <v>16.34</v>
          </cell>
          <cell r="C225">
            <v>20.39</v>
          </cell>
          <cell r="D225">
            <v>65966.17</v>
          </cell>
          <cell r="F225">
            <v>114.68678715564134</v>
          </cell>
          <cell r="G225">
            <v>110.87547580206633</v>
          </cell>
          <cell r="H225">
            <v>96.176846787963143</v>
          </cell>
        </row>
        <row r="226">
          <cell r="A226">
            <v>40403</v>
          </cell>
          <cell r="B226">
            <v>15.8</v>
          </cell>
          <cell r="C226">
            <v>20.45</v>
          </cell>
          <cell r="D226">
            <v>66264.429999999993</v>
          </cell>
          <cell r="F226">
            <v>110.89664853483067</v>
          </cell>
          <cell r="G226">
            <v>111.20174007612833</v>
          </cell>
          <cell r="H226">
            <v>96.611701597981337</v>
          </cell>
        </row>
        <row r="227">
          <cell r="A227">
            <v>40404</v>
          </cell>
          <cell r="B227">
            <v>15.8</v>
          </cell>
          <cell r="C227">
            <v>20.45</v>
          </cell>
          <cell r="D227">
            <v>66264.429999999993</v>
          </cell>
          <cell r="F227">
            <v>110.89664853483067</v>
          </cell>
          <cell r="G227">
            <v>111.20174007612833</v>
          </cell>
          <cell r="H227">
            <v>96.611701597981337</v>
          </cell>
        </row>
        <row r="228">
          <cell r="A228">
            <v>40405</v>
          </cell>
          <cell r="B228">
            <v>15.8</v>
          </cell>
          <cell r="C228">
            <v>20.45</v>
          </cell>
          <cell r="D228">
            <v>66264.429999999993</v>
          </cell>
          <cell r="F228">
            <v>110.89664853483067</v>
          </cell>
          <cell r="G228">
            <v>111.20174007612833</v>
          </cell>
          <cell r="H228">
            <v>96.611701597981337</v>
          </cell>
        </row>
        <row r="229">
          <cell r="A229">
            <v>40406</v>
          </cell>
          <cell r="B229">
            <v>15.77</v>
          </cell>
          <cell r="C229">
            <v>20.11</v>
          </cell>
          <cell r="D229">
            <v>66701.89</v>
          </cell>
          <cell r="F229">
            <v>110.68608527811897</v>
          </cell>
          <cell r="G229">
            <v>109.35290918977705</v>
          </cell>
          <cell r="H229">
            <v>97.249506148341965</v>
          </cell>
        </row>
        <row r="230">
          <cell r="A230">
            <v>40407</v>
          </cell>
          <cell r="B230">
            <v>16.3</v>
          </cell>
          <cell r="C230">
            <v>20.350000000000001</v>
          </cell>
          <cell r="D230">
            <v>67583.77</v>
          </cell>
          <cell r="F230">
            <v>114.4060361466924</v>
          </cell>
          <cell r="G230">
            <v>110.65796628602502</v>
          </cell>
          <cell r="H230">
            <v>98.535262736080341</v>
          </cell>
        </row>
        <row r="231">
          <cell r="A231">
            <v>40408</v>
          </cell>
          <cell r="B231">
            <v>16.8</v>
          </cell>
          <cell r="C231">
            <v>21.08</v>
          </cell>
          <cell r="D231">
            <v>67638.38</v>
          </cell>
          <cell r="F231">
            <v>117.91542375855413</v>
          </cell>
          <cell r="G231">
            <v>114.62751495377921</v>
          </cell>
          <cell r="H231">
            <v>98.614882601885654</v>
          </cell>
        </row>
        <row r="232">
          <cell r="A232">
            <v>40409</v>
          </cell>
          <cell r="B232">
            <v>17.899999999999999</v>
          </cell>
          <cell r="C232">
            <v>23.17</v>
          </cell>
          <cell r="D232">
            <v>66887.13</v>
          </cell>
          <cell r="F232">
            <v>125.63607650464992</v>
          </cell>
          <cell r="G232">
            <v>125.99238716693857</v>
          </cell>
          <cell r="H232">
            <v>97.51958093211374</v>
          </cell>
        </row>
        <row r="233">
          <cell r="A233">
            <v>40410</v>
          </cell>
          <cell r="B233">
            <v>18.350000000000001</v>
          </cell>
          <cell r="C233">
            <v>22.3</v>
          </cell>
          <cell r="D233">
            <v>66677.16</v>
          </cell>
          <cell r="F233">
            <v>128.7945253553255</v>
          </cell>
          <cell r="G233">
            <v>121.2615551930397</v>
          </cell>
          <cell r="H233">
            <v>97.213450494041197</v>
          </cell>
        </row>
        <row r="234">
          <cell r="A234">
            <v>40411</v>
          </cell>
          <cell r="B234">
            <v>18.350000000000001</v>
          </cell>
          <cell r="C234">
            <v>22.3</v>
          </cell>
          <cell r="D234">
            <v>66677.16</v>
          </cell>
          <cell r="F234">
            <v>128.7945253553255</v>
          </cell>
          <cell r="G234">
            <v>121.2615551930397</v>
          </cell>
          <cell r="H234">
            <v>97.213450494041197</v>
          </cell>
        </row>
        <row r="235">
          <cell r="A235">
            <v>40412</v>
          </cell>
          <cell r="B235">
            <v>18.350000000000001</v>
          </cell>
          <cell r="C235">
            <v>22.3</v>
          </cell>
          <cell r="D235">
            <v>66677.16</v>
          </cell>
          <cell r="F235">
            <v>128.7945253553255</v>
          </cell>
          <cell r="G235">
            <v>121.2615551930397</v>
          </cell>
          <cell r="H235">
            <v>97.213450494041197</v>
          </cell>
        </row>
        <row r="236">
          <cell r="A236">
            <v>40413</v>
          </cell>
          <cell r="B236">
            <v>18.399999999999999</v>
          </cell>
          <cell r="C236">
            <v>21.8</v>
          </cell>
          <cell r="D236">
            <v>65981.86</v>
          </cell>
          <cell r="F236">
            <v>129.14546411651165</v>
          </cell>
          <cell r="G236">
            <v>118.5426862425231</v>
          </cell>
          <cell r="H236">
            <v>96.199722372919851</v>
          </cell>
        </row>
        <row r="237">
          <cell r="A237">
            <v>40414</v>
          </cell>
          <cell r="B237">
            <v>18.25</v>
          </cell>
          <cell r="C237">
            <v>20.75</v>
          </cell>
          <cell r="D237">
            <v>65156.36</v>
          </cell>
          <cell r="F237">
            <v>128.09264783295316</v>
          </cell>
          <cell r="G237">
            <v>112.83306144643828</v>
          </cell>
          <cell r="H237">
            <v>94.996166261909266</v>
          </cell>
        </row>
        <row r="238">
          <cell r="A238">
            <v>40415</v>
          </cell>
          <cell r="B238">
            <v>18.45</v>
          </cell>
          <cell r="C238">
            <v>21.6</v>
          </cell>
          <cell r="D238">
            <v>64803.43</v>
          </cell>
          <cell r="F238">
            <v>129.49640287769785</v>
          </cell>
          <cell r="G238">
            <v>117.45513866231647</v>
          </cell>
          <cell r="H238">
            <v>94.481604107749391</v>
          </cell>
        </row>
        <row r="239">
          <cell r="A239">
            <v>40416</v>
          </cell>
          <cell r="B239">
            <v>18.21</v>
          </cell>
          <cell r="C239">
            <v>21.7</v>
          </cell>
          <cell r="D239">
            <v>63867.48</v>
          </cell>
          <cell r="F239">
            <v>127.81189682400422</v>
          </cell>
          <cell r="G239">
            <v>117.99891245241977</v>
          </cell>
          <cell r="H239">
            <v>93.117014959232918</v>
          </cell>
        </row>
        <row r="240">
          <cell r="A240">
            <v>40417</v>
          </cell>
          <cell r="B240">
            <v>18</v>
          </cell>
          <cell r="C240">
            <v>21.7</v>
          </cell>
          <cell r="D240">
            <v>65585.14</v>
          </cell>
          <cell r="F240">
            <v>126.33795402702228</v>
          </cell>
          <cell r="G240">
            <v>117.99891245241977</v>
          </cell>
          <cell r="H240">
            <v>95.621315612943931</v>
          </cell>
        </row>
        <row r="241">
          <cell r="A241">
            <v>40418</v>
          </cell>
          <cell r="B241">
            <v>18</v>
          </cell>
          <cell r="C241">
            <v>21.7</v>
          </cell>
          <cell r="D241">
            <v>65585.14</v>
          </cell>
          <cell r="F241">
            <v>126.33795402702228</v>
          </cell>
          <cell r="G241">
            <v>117.99891245241977</v>
          </cell>
          <cell r="H241">
            <v>95.621315612943931</v>
          </cell>
        </row>
        <row r="242">
          <cell r="A242">
            <v>40419</v>
          </cell>
          <cell r="B242">
            <v>18</v>
          </cell>
          <cell r="C242">
            <v>21.7</v>
          </cell>
          <cell r="D242">
            <v>65585.14</v>
          </cell>
          <cell r="F242">
            <v>126.33795402702228</v>
          </cell>
          <cell r="G242">
            <v>117.99891245241977</v>
          </cell>
          <cell r="H242">
            <v>95.621315612943931</v>
          </cell>
        </row>
        <row r="243">
          <cell r="A243">
            <v>40420</v>
          </cell>
          <cell r="B243">
            <v>19.2</v>
          </cell>
          <cell r="C243">
            <v>21.1</v>
          </cell>
          <cell r="D243">
            <v>64260.79</v>
          </cell>
          <cell r="F243">
            <v>134.76048429549044</v>
          </cell>
          <cell r="G243">
            <v>114.73626971179989</v>
          </cell>
          <cell r="H243">
            <v>93.690450033759348</v>
          </cell>
        </row>
        <row r="244">
          <cell r="A244">
            <v>40421</v>
          </cell>
          <cell r="B244">
            <v>18.399999999999999</v>
          </cell>
          <cell r="C244">
            <v>21.6</v>
          </cell>
          <cell r="D244">
            <v>65145.45</v>
          </cell>
          <cell r="F244">
            <v>129.14546411651165</v>
          </cell>
          <cell r="G244">
            <v>117.45513866231647</v>
          </cell>
          <cell r="H244">
            <v>94.980259784415466</v>
          </cell>
        </row>
        <row r="245">
          <cell r="A245">
            <v>40422</v>
          </cell>
          <cell r="B245">
            <v>18</v>
          </cell>
          <cell r="C245">
            <v>21.65</v>
          </cell>
          <cell r="D245">
            <v>67072.53</v>
          </cell>
          <cell r="F245">
            <v>126.33795402702228</v>
          </cell>
          <cell r="G245">
            <v>117.72702555736811</v>
          </cell>
          <cell r="H245">
            <v>97.789888991449132</v>
          </cell>
        </row>
        <row r="246">
          <cell r="A246">
            <v>40423</v>
          </cell>
          <cell r="B246">
            <v>18.399999999999999</v>
          </cell>
          <cell r="C246">
            <v>22</v>
          </cell>
          <cell r="D246">
            <v>66808.08</v>
          </cell>
          <cell r="F246">
            <v>129.14546411651165</v>
          </cell>
          <cell r="G246">
            <v>119.63023382272975</v>
          </cell>
          <cell r="H246">
            <v>97.404328223966701</v>
          </cell>
        </row>
        <row r="247">
          <cell r="A247">
            <v>40424</v>
          </cell>
          <cell r="B247">
            <v>19.2</v>
          </cell>
          <cell r="C247">
            <v>21.4</v>
          </cell>
          <cell r="D247">
            <v>66678.62</v>
          </cell>
          <cell r="F247">
            <v>134.76048429549044</v>
          </cell>
          <cell r="G247">
            <v>116.36759108210984</v>
          </cell>
          <cell r="H247">
            <v>97.215579133559132</v>
          </cell>
        </row>
        <row r="248">
          <cell r="A248">
            <v>40425</v>
          </cell>
          <cell r="B248">
            <v>19.2</v>
          </cell>
          <cell r="C248">
            <v>21.4</v>
          </cell>
          <cell r="D248">
            <v>66678.62</v>
          </cell>
          <cell r="F248">
            <v>134.76048429549044</v>
          </cell>
          <cell r="G248">
            <v>116.36759108210984</v>
          </cell>
          <cell r="H248">
            <v>97.215579133559132</v>
          </cell>
        </row>
        <row r="249">
          <cell r="A249">
            <v>40426</v>
          </cell>
          <cell r="B249">
            <v>19.2</v>
          </cell>
          <cell r="C249">
            <v>21.4</v>
          </cell>
          <cell r="D249">
            <v>66678.62</v>
          </cell>
          <cell r="F249">
            <v>134.76048429549044</v>
          </cell>
          <cell r="G249">
            <v>116.36759108210984</v>
          </cell>
          <cell r="H249">
            <v>97.215579133559132</v>
          </cell>
        </row>
        <row r="250">
          <cell r="A250">
            <v>40427</v>
          </cell>
          <cell r="B250">
            <v>19.2</v>
          </cell>
          <cell r="C250">
            <v>21.4</v>
          </cell>
          <cell r="D250">
            <v>66678.62</v>
          </cell>
          <cell r="F250">
            <v>134.76048429549044</v>
          </cell>
          <cell r="G250">
            <v>116.36759108210984</v>
          </cell>
          <cell r="H250">
            <v>97.215579133559132</v>
          </cell>
        </row>
        <row r="251">
          <cell r="A251">
            <v>40428</v>
          </cell>
          <cell r="B251">
            <v>19.2</v>
          </cell>
          <cell r="C251">
            <v>21.9</v>
          </cell>
          <cell r="D251">
            <v>66747.3</v>
          </cell>
          <cell r="F251">
            <v>134.76048429549044</v>
          </cell>
          <cell r="G251">
            <v>119.08646003262642</v>
          </cell>
          <cell r="H251">
            <v>97.315712669239602</v>
          </cell>
        </row>
        <row r="252">
          <cell r="A252">
            <v>40429</v>
          </cell>
          <cell r="B252">
            <v>19.79</v>
          </cell>
          <cell r="C252">
            <v>21.85</v>
          </cell>
          <cell r="D252">
            <v>66407.28</v>
          </cell>
          <cell r="F252">
            <v>138.90156167748725</v>
          </cell>
          <cell r="G252">
            <v>118.81457313757477</v>
          </cell>
          <cell r="H252">
            <v>96.819972937118663</v>
          </cell>
        </row>
        <row r="253">
          <cell r="A253">
            <v>40430</v>
          </cell>
          <cell r="B253">
            <v>20.149999999999999</v>
          </cell>
          <cell r="C253">
            <v>21.8</v>
          </cell>
          <cell r="D253">
            <v>66624.100000000006</v>
          </cell>
          <cell r="F253">
            <v>141.42832075802772</v>
          </cell>
          <cell r="G253">
            <v>118.5426862425231</v>
          </cell>
          <cell r="H253">
            <v>97.136090485258379</v>
          </cell>
        </row>
        <row r="254">
          <cell r="A254">
            <v>40431</v>
          </cell>
          <cell r="B254">
            <v>20.3</v>
          </cell>
          <cell r="C254">
            <v>21.79</v>
          </cell>
          <cell r="D254">
            <v>66806.789999999994</v>
          </cell>
          <cell r="F254">
            <v>142.48113704158624</v>
          </cell>
          <cell r="G254">
            <v>118.48830886351278</v>
          </cell>
          <cell r="H254">
            <v>97.402447439735056</v>
          </cell>
        </row>
        <row r="255">
          <cell r="A255">
            <v>40432</v>
          </cell>
          <cell r="B255">
            <v>20.3</v>
          </cell>
          <cell r="C255">
            <v>21.79</v>
          </cell>
          <cell r="D255">
            <v>66806.789999999994</v>
          </cell>
          <cell r="F255">
            <v>142.48113704158624</v>
          </cell>
          <cell r="G255">
            <v>118.48830886351278</v>
          </cell>
          <cell r="H255">
            <v>97.402447439735056</v>
          </cell>
        </row>
        <row r="256">
          <cell r="A256">
            <v>40433</v>
          </cell>
          <cell r="B256">
            <v>20.3</v>
          </cell>
          <cell r="C256">
            <v>21.79</v>
          </cell>
          <cell r="D256">
            <v>66806.789999999994</v>
          </cell>
          <cell r="F256">
            <v>142.48113704158624</v>
          </cell>
          <cell r="G256">
            <v>118.48830886351278</v>
          </cell>
          <cell r="H256">
            <v>97.402447439735056</v>
          </cell>
        </row>
        <row r="257">
          <cell r="A257">
            <v>40434</v>
          </cell>
          <cell r="B257">
            <v>20.48</v>
          </cell>
          <cell r="C257">
            <v>21.82</v>
          </cell>
          <cell r="D257">
            <v>68030.58</v>
          </cell>
          <cell r="F257">
            <v>143.74451658185649</v>
          </cell>
          <cell r="G257">
            <v>118.65144100054377</v>
          </cell>
          <cell r="H257">
            <v>99.18669932718953</v>
          </cell>
        </row>
        <row r="258">
          <cell r="A258">
            <v>40435</v>
          </cell>
          <cell r="B258">
            <v>20.3</v>
          </cell>
          <cell r="C258">
            <v>21.81</v>
          </cell>
          <cell r="D258">
            <v>67691.850000000006</v>
          </cell>
          <cell r="F258">
            <v>142.48113704158624</v>
          </cell>
          <cell r="G258">
            <v>118.59706362153344</v>
          </cell>
          <cell r="H258">
            <v>98.692840379300236</v>
          </cell>
        </row>
        <row r="259">
          <cell r="A259">
            <v>40436</v>
          </cell>
          <cell r="B259">
            <v>20.5</v>
          </cell>
          <cell r="C259">
            <v>21.95</v>
          </cell>
          <cell r="D259">
            <v>68106.850000000006</v>
          </cell>
          <cell r="F259">
            <v>143.88489208633092</v>
          </cell>
          <cell r="G259">
            <v>119.35834692767808</v>
          </cell>
          <cell r="H259">
            <v>99.297898872418827</v>
          </cell>
        </row>
        <row r="260">
          <cell r="A260">
            <v>40437</v>
          </cell>
          <cell r="B260">
            <v>20.7</v>
          </cell>
          <cell r="C260">
            <v>22</v>
          </cell>
          <cell r="D260">
            <v>67662.990000000005</v>
          </cell>
          <cell r="F260">
            <v>145.28864713107561</v>
          </cell>
          <cell r="G260">
            <v>119.63023382272975</v>
          </cell>
          <cell r="H260">
            <v>98.650763299513727</v>
          </cell>
        </row>
        <row r="261">
          <cell r="A261">
            <v>40438</v>
          </cell>
          <cell r="B261">
            <v>20.96</v>
          </cell>
          <cell r="C261">
            <v>22.4</v>
          </cell>
          <cell r="D261">
            <v>67089.119999999995</v>
          </cell>
          <cell r="F261">
            <v>147.11352868924371</v>
          </cell>
          <cell r="G261">
            <v>121.805328983143</v>
          </cell>
          <cell r="H261">
            <v>97.81407675145114</v>
          </cell>
        </row>
        <row r="262">
          <cell r="A262">
            <v>40439</v>
          </cell>
          <cell r="B262">
            <v>20.96</v>
          </cell>
          <cell r="C262">
            <v>22.4</v>
          </cell>
          <cell r="D262">
            <v>67089.119999999995</v>
          </cell>
          <cell r="F262">
            <v>147.11352868924371</v>
          </cell>
          <cell r="G262">
            <v>121.805328983143</v>
          </cell>
          <cell r="H262">
            <v>97.81407675145114</v>
          </cell>
        </row>
        <row r="263">
          <cell r="A263">
            <v>40440</v>
          </cell>
          <cell r="B263">
            <v>20.96</v>
          </cell>
          <cell r="C263">
            <v>22.4</v>
          </cell>
          <cell r="D263">
            <v>67089.119999999995</v>
          </cell>
          <cell r="F263">
            <v>147.11352868924371</v>
          </cell>
          <cell r="G263">
            <v>121.805328983143</v>
          </cell>
          <cell r="H263">
            <v>97.81407675145114</v>
          </cell>
        </row>
        <row r="264">
          <cell r="A264">
            <v>40441</v>
          </cell>
          <cell r="B264">
            <v>20.87</v>
          </cell>
          <cell r="C264">
            <v>22.69</v>
          </cell>
          <cell r="D264">
            <v>68190.460000000006</v>
          </cell>
          <cell r="F264">
            <v>146.48183891910861</v>
          </cell>
          <cell r="G264">
            <v>123.38227297444264</v>
          </cell>
          <cell r="H264">
            <v>99.419799934128818</v>
          </cell>
        </row>
        <row r="265">
          <cell r="A265">
            <v>40442</v>
          </cell>
          <cell r="B265">
            <v>20.2</v>
          </cell>
          <cell r="C265">
            <v>22.05</v>
          </cell>
          <cell r="D265">
            <v>67719.13</v>
          </cell>
          <cell r="F265">
            <v>141.77925951921389</v>
          </cell>
          <cell r="G265">
            <v>119.90212071778141</v>
          </cell>
          <cell r="H265">
            <v>98.732613862896073</v>
          </cell>
        </row>
        <row r="266">
          <cell r="A266">
            <v>40443</v>
          </cell>
          <cell r="B266">
            <v>19.7</v>
          </cell>
          <cell r="C266">
            <v>21.8</v>
          </cell>
          <cell r="D266">
            <v>68325.179999999993</v>
          </cell>
          <cell r="F266">
            <v>138.26987190735215</v>
          </cell>
          <cell r="G266">
            <v>118.5426862425231</v>
          </cell>
          <cell r="H266">
            <v>99.616217958690086</v>
          </cell>
        </row>
        <row r="267">
          <cell r="A267">
            <v>40444</v>
          </cell>
          <cell r="B267">
            <v>19.7</v>
          </cell>
          <cell r="C267">
            <v>21.77</v>
          </cell>
          <cell r="D267">
            <v>68794.320000000007</v>
          </cell>
          <cell r="F267">
            <v>138.26987190735215</v>
          </cell>
          <cell r="G267">
            <v>118.3795541054921</v>
          </cell>
          <cell r="H267">
            <v>100.3002110706459</v>
          </cell>
        </row>
        <row r="268">
          <cell r="A268">
            <v>40445</v>
          </cell>
          <cell r="B268">
            <v>19.5</v>
          </cell>
          <cell r="C268">
            <v>21.2</v>
          </cell>
          <cell r="D268">
            <v>68196.479999999996</v>
          </cell>
          <cell r="F268">
            <v>136.86611686260747</v>
          </cell>
          <cell r="G268">
            <v>115.28004350190319</v>
          </cell>
          <cell r="H268">
            <v>99.428576927209704</v>
          </cell>
        </row>
        <row r="269">
          <cell r="A269">
            <v>40446</v>
          </cell>
          <cell r="B269">
            <v>19.5</v>
          </cell>
          <cell r="C269">
            <v>21.2</v>
          </cell>
          <cell r="D269">
            <v>68196.479999999996</v>
          </cell>
          <cell r="F269">
            <v>136.86611686260747</v>
          </cell>
          <cell r="G269">
            <v>115.28004350190319</v>
          </cell>
          <cell r="H269">
            <v>99.428576927209704</v>
          </cell>
        </row>
        <row r="270">
          <cell r="A270">
            <v>40447</v>
          </cell>
          <cell r="B270">
            <v>19.5</v>
          </cell>
          <cell r="C270">
            <v>21.2</v>
          </cell>
          <cell r="D270">
            <v>68196.479999999996</v>
          </cell>
          <cell r="F270">
            <v>136.86611686260747</v>
          </cell>
          <cell r="G270">
            <v>115.28004350190319</v>
          </cell>
          <cell r="H270">
            <v>99.428576927209704</v>
          </cell>
        </row>
        <row r="271">
          <cell r="A271">
            <v>40448</v>
          </cell>
          <cell r="B271">
            <v>20.29</v>
          </cell>
          <cell r="C271">
            <v>21.35</v>
          </cell>
          <cell r="D271">
            <v>68815.97</v>
          </cell>
          <cell r="F271">
            <v>142.41094928934899</v>
          </cell>
          <cell r="G271">
            <v>116.09570418705819</v>
          </cell>
          <cell r="H271">
            <v>100.33177617034714</v>
          </cell>
        </row>
        <row r="272">
          <cell r="A272">
            <v>40449</v>
          </cell>
          <cell r="B272">
            <v>20.3</v>
          </cell>
          <cell r="C272">
            <v>21.14</v>
          </cell>
          <cell r="D272">
            <v>69227.63</v>
          </cell>
          <cell r="F272">
            <v>142.48113704158624</v>
          </cell>
          <cell r="G272">
            <v>114.95377922784122</v>
          </cell>
          <cell r="H272">
            <v>100.93196503607533</v>
          </cell>
        </row>
        <row r="273">
          <cell r="A273">
            <v>40450</v>
          </cell>
          <cell r="B273">
            <v>20.399999999999999</v>
          </cell>
          <cell r="C273">
            <v>21.3</v>
          </cell>
          <cell r="D273">
            <v>69228.240000000005</v>
          </cell>
          <cell r="F273">
            <v>143.18301456395858</v>
          </cell>
          <cell r="G273">
            <v>115.82381729200652</v>
          </cell>
          <cell r="H273">
            <v>100.93285439916161</v>
          </cell>
        </row>
        <row r="274">
          <cell r="A274">
            <v>40451</v>
          </cell>
          <cell r="B274">
            <v>20.399999999999999</v>
          </cell>
          <cell r="C274">
            <v>21</v>
          </cell>
          <cell r="D274">
            <v>69429.78</v>
          </cell>
          <cell r="F274">
            <v>143.18301456395858</v>
          </cell>
          <cell r="G274">
            <v>114.19249592169658</v>
          </cell>
          <cell r="H274">
            <v>101.22669413097636</v>
          </cell>
        </row>
        <row r="275">
          <cell r="A275">
            <v>40452</v>
          </cell>
          <cell r="B275">
            <v>20.6</v>
          </cell>
          <cell r="C275">
            <v>21.15</v>
          </cell>
          <cell r="D275">
            <v>70229.350000000006</v>
          </cell>
          <cell r="F275">
            <v>144.58676960870329</v>
          </cell>
          <cell r="G275">
            <v>115.00815660685153</v>
          </cell>
          <cell r="H275">
            <v>102.39244502095907</v>
          </cell>
        </row>
        <row r="276">
          <cell r="A276">
            <v>40453</v>
          </cell>
          <cell r="B276">
            <v>20.6</v>
          </cell>
          <cell r="C276">
            <v>21.15</v>
          </cell>
          <cell r="D276">
            <v>70229.350000000006</v>
          </cell>
          <cell r="F276">
            <v>144.58676960870329</v>
          </cell>
          <cell r="G276">
            <v>115.00815660685153</v>
          </cell>
          <cell r="H276">
            <v>102.39244502095907</v>
          </cell>
        </row>
        <row r="277">
          <cell r="A277">
            <v>40454</v>
          </cell>
          <cell r="B277">
            <v>20.6</v>
          </cell>
          <cell r="C277">
            <v>21.15</v>
          </cell>
          <cell r="D277">
            <v>70229.350000000006</v>
          </cell>
          <cell r="F277">
            <v>144.58676960870329</v>
          </cell>
          <cell r="G277">
            <v>115.00815660685153</v>
          </cell>
          <cell r="H277">
            <v>102.39244502095907</v>
          </cell>
        </row>
        <row r="278">
          <cell r="A278">
            <v>40455</v>
          </cell>
          <cell r="B278">
            <v>20.14</v>
          </cell>
          <cell r="C278">
            <v>21.1</v>
          </cell>
          <cell r="D278">
            <v>70384.92</v>
          </cell>
          <cell r="F278">
            <v>141.35813300579051</v>
          </cell>
          <cell r="G278">
            <v>114.73626971179989</v>
          </cell>
          <cell r="H278">
            <v>102.61926176740354</v>
          </cell>
        </row>
        <row r="279">
          <cell r="A279">
            <v>40456</v>
          </cell>
          <cell r="B279">
            <v>19.8</v>
          </cell>
          <cell r="C279">
            <v>21</v>
          </cell>
          <cell r="D279">
            <v>71283.11</v>
          </cell>
          <cell r="F279">
            <v>138.97174942972453</v>
          </cell>
          <cell r="G279">
            <v>114.19249592169658</v>
          </cell>
          <cell r="H279">
            <v>103.9287978829076</v>
          </cell>
        </row>
        <row r="280">
          <cell r="A280">
            <v>40457</v>
          </cell>
          <cell r="B280">
            <v>19.579999999999998</v>
          </cell>
          <cell r="C280">
            <v>21</v>
          </cell>
          <cell r="D280">
            <v>70541.37</v>
          </cell>
          <cell r="F280">
            <v>137.42761888050535</v>
          </cell>
          <cell r="G280">
            <v>114.19249592169658</v>
          </cell>
          <cell r="H280">
            <v>102.84736152944789</v>
          </cell>
        </row>
        <row r="281">
          <cell r="A281">
            <v>40458</v>
          </cell>
          <cell r="B281">
            <v>19.75</v>
          </cell>
          <cell r="C281">
            <v>21</v>
          </cell>
          <cell r="D281">
            <v>69918.399999999994</v>
          </cell>
          <cell r="F281">
            <v>138.62081066853833</v>
          </cell>
          <cell r="G281">
            <v>114.19249592169658</v>
          </cell>
          <cell r="H281">
            <v>101.9390885428019</v>
          </cell>
        </row>
        <row r="282">
          <cell r="A282">
            <v>40459</v>
          </cell>
          <cell r="B282">
            <v>20.46</v>
          </cell>
          <cell r="C282">
            <v>21.01</v>
          </cell>
          <cell r="D282">
            <v>70808.800000000003</v>
          </cell>
          <cell r="F282">
            <v>143.604141077382</v>
          </cell>
          <cell r="G282">
            <v>114.24687330070691</v>
          </cell>
          <cell r="H282">
            <v>103.23726705430261</v>
          </cell>
        </row>
        <row r="283">
          <cell r="A283">
            <v>40460</v>
          </cell>
          <cell r="B283">
            <v>20.46</v>
          </cell>
          <cell r="C283">
            <v>21.01</v>
          </cell>
          <cell r="D283">
            <v>70808.800000000003</v>
          </cell>
          <cell r="F283">
            <v>143.604141077382</v>
          </cell>
          <cell r="G283">
            <v>114.24687330070691</v>
          </cell>
          <cell r="H283">
            <v>103.23726705430261</v>
          </cell>
        </row>
        <row r="284">
          <cell r="A284">
            <v>40461</v>
          </cell>
          <cell r="B284">
            <v>20.46</v>
          </cell>
          <cell r="C284">
            <v>21.01</v>
          </cell>
          <cell r="D284">
            <v>70808.800000000003</v>
          </cell>
          <cell r="F284">
            <v>143.604141077382</v>
          </cell>
          <cell r="G284">
            <v>114.24687330070691</v>
          </cell>
          <cell r="H284">
            <v>103.23726705430261</v>
          </cell>
        </row>
        <row r="285">
          <cell r="A285">
            <v>40462</v>
          </cell>
          <cell r="B285">
            <v>20.49</v>
          </cell>
          <cell r="C285">
            <v>21.53</v>
          </cell>
          <cell r="D285">
            <v>70946.490000000005</v>
          </cell>
          <cell r="F285">
            <v>143.81470433409368</v>
          </cell>
          <cell r="G285">
            <v>117.07449700924415</v>
          </cell>
          <cell r="H285">
            <v>103.43801525651347</v>
          </cell>
        </row>
        <row r="286">
          <cell r="A286">
            <v>40463</v>
          </cell>
          <cell r="B286">
            <v>20.49</v>
          </cell>
          <cell r="C286">
            <v>21.53</v>
          </cell>
          <cell r="D286">
            <v>70946.490000000005</v>
          </cell>
          <cell r="F286">
            <v>143.81470433409368</v>
          </cell>
          <cell r="G286">
            <v>117.07449700924415</v>
          </cell>
          <cell r="H286">
            <v>103.43801525651347</v>
          </cell>
        </row>
        <row r="287">
          <cell r="A287">
            <v>40464</v>
          </cell>
          <cell r="B287">
            <v>20.6</v>
          </cell>
          <cell r="C287">
            <v>21.25</v>
          </cell>
          <cell r="D287">
            <v>71674.899999999994</v>
          </cell>
          <cell r="F287">
            <v>144.58676960870329</v>
          </cell>
          <cell r="G287">
            <v>115.55193039695486</v>
          </cell>
          <cell r="H287">
            <v>104.50001683957973</v>
          </cell>
        </row>
        <row r="288">
          <cell r="A288">
            <v>40465</v>
          </cell>
          <cell r="B288">
            <v>20.079999999999998</v>
          </cell>
          <cell r="C288">
            <v>21</v>
          </cell>
          <cell r="D288">
            <v>71692.289999999994</v>
          </cell>
          <cell r="F288">
            <v>140.93700649236706</v>
          </cell>
          <cell r="G288">
            <v>114.19249592169658</v>
          </cell>
          <cell r="H288">
            <v>104.5253709773998</v>
          </cell>
        </row>
        <row r="289">
          <cell r="A289">
            <v>40466</v>
          </cell>
          <cell r="B289">
            <v>20.350000000000001</v>
          </cell>
          <cell r="C289">
            <v>21</v>
          </cell>
          <cell r="D289">
            <v>71830.179999999993</v>
          </cell>
          <cell r="F289">
            <v>142.83207580277241</v>
          </cell>
          <cell r="G289">
            <v>114.19249592169658</v>
          </cell>
          <cell r="H289">
            <v>104.72641077406517</v>
          </cell>
        </row>
        <row r="290">
          <cell r="A290">
            <v>40467</v>
          </cell>
          <cell r="B290">
            <v>20.350000000000001</v>
          </cell>
          <cell r="C290">
            <v>21</v>
          </cell>
          <cell r="D290">
            <v>71830.179999999993</v>
          </cell>
          <cell r="F290">
            <v>142.83207580277241</v>
          </cell>
          <cell r="G290">
            <v>114.19249592169658</v>
          </cell>
          <cell r="H290">
            <v>104.72641077406517</v>
          </cell>
        </row>
        <row r="291">
          <cell r="A291">
            <v>40468</v>
          </cell>
          <cell r="B291">
            <v>20.350000000000001</v>
          </cell>
          <cell r="C291">
            <v>21</v>
          </cell>
          <cell r="D291">
            <v>71830.179999999993</v>
          </cell>
          <cell r="F291">
            <v>142.83207580277241</v>
          </cell>
          <cell r="G291">
            <v>114.19249592169658</v>
          </cell>
          <cell r="H291">
            <v>104.72641077406517</v>
          </cell>
        </row>
        <row r="292">
          <cell r="A292">
            <v>40469</v>
          </cell>
          <cell r="B292">
            <v>19.87</v>
          </cell>
          <cell r="C292">
            <v>20.99</v>
          </cell>
          <cell r="D292">
            <v>71735.53</v>
          </cell>
          <cell r="F292">
            <v>139.46306369538516</v>
          </cell>
          <cell r="G292">
            <v>114.13811854268623</v>
          </cell>
          <cell r="H292">
            <v>104.58841369846597</v>
          </cell>
        </row>
        <row r="293">
          <cell r="A293">
            <v>40470</v>
          </cell>
          <cell r="B293">
            <v>19.899999999999999</v>
          </cell>
          <cell r="C293">
            <v>21</v>
          </cell>
          <cell r="D293">
            <v>69863.58</v>
          </cell>
          <cell r="F293">
            <v>139.67362695209684</v>
          </cell>
          <cell r="G293">
            <v>114.19249592169658</v>
          </cell>
          <cell r="H293">
            <v>101.85916250281934</v>
          </cell>
        </row>
        <row r="294">
          <cell r="A294">
            <v>40471</v>
          </cell>
          <cell r="B294">
            <v>20.03</v>
          </cell>
          <cell r="C294">
            <v>20.92</v>
          </cell>
          <cell r="D294">
            <v>70404.679999999993</v>
          </cell>
          <cell r="F294">
            <v>140.58606773118092</v>
          </cell>
          <cell r="G294">
            <v>113.75747688961393</v>
          </cell>
          <cell r="H294">
            <v>102.64807129950964</v>
          </cell>
          <cell r="I294">
            <v>0.3695928813019258</v>
          </cell>
          <cell r="J294">
            <v>0.10822809868184402</v>
          </cell>
        </row>
        <row r="295">
          <cell r="I295">
            <v>0.23584024167132744</v>
          </cell>
        </row>
      </sheetData>
      <sheetData sheetId="2">
        <row r="2">
          <cell r="B2" t="str">
            <v>SHL-AU</v>
          </cell>
          <cell r="C2" t="str">
            <v>DGX-US</v>
          </cell>
          <cell r="D2">
            <v>6869</v>
          </cell>
          <cell r="E2">
            <v>4544</v>
          </cell>
          <cell r="F2" t="str">
            <v>LH-US</v>
          </cell>
          <cell r="G2" t="str">
            <v>R01-SG</v>
          </cell>
          <cell r="H2" t="str">
            <v>BRLI-US</v>
          </cell>
          <cell r="I2" t="str">
            <v>GXDX-US</v>
          </cell>
          <cell r="J2" t="str">
            <v>RMD-US</v>
          </cell>
          <cell r="K2" t="str">
            <v>HSP-AU</v>
          </cell>
          <cell r="L2" t="str">
            <v>RDNT-US</v>
          </cell>
          <cell r="M2" t="str">
            <v>HWAY-US</v>
          </cell>
          <cell r="N2" t="str">
            <v>DASA3-BR</v>
          </cell>
          <cell r="O2" t="str">
            <v>FLRY3-BR</v>
          </cell>
          <cell r="Q2" t="str">
            <v>SHL-AU</v>
          </cell>
          <cell r="R2" t="str">
            <v>DGX-US</v>
          </cell>
          <cell r="S2">
            <v>6869</v>
          </cell>
          <cell r="T2">
            <v>4544</v>
          </cell>
          <cell r="U2" t="str">
            <v>LH-US</v>
          </cell>
          <cell r="V2" t="str">
            <v>R01-SG</v>
          </cell>
          <cell r="W2" t="str">
            <v>BRLI-US</v>
          </cell>
          <cell r="X2" t="str">
            <v>GXDX-US</v>
          </cell>
          <cell r="Y2" t="str">
            <v>RMD-US</v>
          </cell>
          <cell r="Z2" t="str">
            <v>HSP-AU</v>
          </cell>
          <cell r="AA2" t="str">
            <v>RDNT-US</v>
          </cell>
          <cell r="AB2" t="str">
            <v>HWAY-US</v>
          </cell>
          <cell r="AC2" t="str">
            <v>DASA3-BR</v>
          </cell>
          <cell r="AD2" t="str">
            <v>FLRY3-BR</v>
          </cell>
          <cell r="AF2" t="str">
            <v xml:space="preserve">Global </v>
          </cell>
          <cell r="AG2" t="str">
            <v xml:space="preserve">Brazilian </v>
          </cell>
        </row>
        <row r="3">
          <cell r="A3">
            <v>40179</v>
          </cell>
          <cell r="B3">
            <v>13.8230095</v>
          </cell>
          <cell r="C3">
            <v>60.38</v>
          </cell>
          <cell r="D3">
            <v>52.097320000000003</v>
          </cell>
          <cell r="E3">
            <v>27.337665999999999</v>
          </cell>
          <cell r="F3">
            <v>74.84</v>
          </cell>
          <cell r="G3">
            <v>1.0328004</v>
          </cell>
          <cell r="H3">
            <v>19.559999999999999</v>
          </cell>
          <cell r="I3">
            <v>35.53</v>
          </cell>
          <cell r="J3">
            <v>26.135000000000002</v>
          </cell>
          <cell r="K3">
            <v>4.5597050000000001</v>
          </cell>
          <cell r="L3">
            <v>2.04</v>
          </cell>
          <cell r="M3">
            <v>18.34</v>
          </cell>
          <cell r="N3">
            <v>8.1731870000000004</v>
          </cell>
          <cell r="O3">
            <v>10.549562999999999</v>
          </cell>
          <cell r="Q3">
            <v>100</v>
          </cell>
          <cell r="R3">
            <v>100</v>
          </cell>
          <cell r="S3">
            <v>100</v>
          </cell>
          <cell r="T3">
            <v>100</v>
          </cell>
          <cell r="U3">
            <v>100</v>
          </cell>
          <cell r="V3">
            <v>100</v>
          </cell>
          <cell r="W3">
            <v>100</v>
          </cell>
          <cell r="X3">
            <v>100</v>
          </cell>
          <cell r="Y3">
            <v>100</v>
          </cell>
          <cell r="Z3">
            <v>100</v>
          </cell>
          <cell r="AA3">
            <v>100</v>
          </cell>
          <cell r="AB3">
            <v>100</v>
          </cell>
          <cell r="AC3">
            <v>100</v>
          </cell>
          <cell r="AD3">
            <v>100</v>
          </cell>
          <cell r="AF3">
            <v>100</v>
          </cell>
          <cell r="AG3">
            <v>100</v>
          </cell>
        </row>
        <row r="4">
          <cell r="A4">
            <v>40180</v>
          </cell>
          <cell r="B4">
            <v>13.8230095</v>
          </cell>
          <cell r="C4">
            <v>60.38</v>
          </cell>
          <cell r="D4">
            <v>52.097320000000003</v>
          </cell>
          <cell r="E4">
            <v>27.337665999999999</v>
          </cell>
          <cell r="F4">
            <v>74.84</v>
          </cell>
          <cell r="G4">
            <v>1.0328004</v>
          </cell>
          <cell r="H4">
            <v>19.559999999999999</v>
          </cell>
          <cell r="I4">
            <v>35.53</v>
          </cell>
          <cell r="J4">
            <v>26.135000000000002</v>
          </cell>
          <cell r="K4">
            <v>4.5597050000000001</v>
          </cell>
          <cell r="L4">
            <v>2.04</v>
          </cell>
          <cell r="M4">
            <v>18.34</v>
          </cell>
          <cell r="N4">
            <v>8.1731870000000004</v>
          </cell>
          <cell r="O4">
            <v>10.549562999999999</v>
          </cell>
          <cell r="Q4">
            <v>100</v>
          </cell>
          <cell r="R4">
            <v>100</v>
          </cell>
          <cell r="S4">
            <v>100</v>
          </cell>
          <cell r="T4">
            <v>100</v>
          </cell>
          <cell r="U4">
            <v>100</v>
          </cell>
          <cell r="V4">
            <v>100</v>
          </cell>
          <cell r="W4">
            <v>100</v>
          </cell>
          <cell r="X4">
            <v>100</v>
          </cell>
          <cell r="Y4">
            <v>100</v>
          </cell>
          <cell r="Z4">
            <v>100</v>
          </cell>
          <cell r="AA4">
            <v>100</v>
          </cell>
          <cell r="AB4">
            <v>100</v>
          </cell>
          <cell r="AC4">
            <v>100</v>
          </cell>
          <cell r="AD4">
            <v>100</v>
          </cell>
          <cell r="AF4">
            <v>100</v>
          </cell>
          <cell r="AG4">
            <v>100</v>
          </cell>
        </row>
        <row r="5">
          <cell r="A5">
            <v>40181</v>
          </cell>
          <cell r="B5">
            <v>13.8230095</v>
          </cell>
          <cell r="C5">
            <v>60.38</v>
          </cell>
          <cell r="D5">
            <v>52.097320000000003</v>
          </cell>
          <cell r="E5">
            <v>27.337665999999999</v>
          </cell>
          <cell r="F5">
            <v>74.84</v>
          </cell>
          <cell r="G5">
            <v>1.0328004</v>
          </cell>
          <cell r="H5">
            <v>19.559999999999999</v>
          </cell>
          <cell r="I5">
            <v>35.53</v>
          </cell>
          <cell r="J5">
            <v>26.135000000000002</v>
          </cell>
          <cell r="K5">
            <v>4.5597050000000001</v>
          </cell>
          <cell r="L5">
            <v>2.04</v>
          </cell>
          <cell r="M5">
            <v>18.34</v>
          </cell>
          <cell r="N5">
            <v>8.1731870000000004</v>
          </cell>
          <cell r="O5">
            <v>10.549562999999999</v>
          </cell>
          <cell r="Q5">
            <v>100</v>
          </cell>
          <cell r="R5">
            <v>100</v>
          </cell>
          <cell r="S5">
            <v>100</v>
          </cell>
          <cell r="T5">
            <v>100</v>
          </cell>
          <cell r="U5">
            <v>100</v>
          </cell>
          <cell r="V5">
            <v>100</v>
          </cell>
          <cell r="W5">
            <v>100</v>
          </cell>
          <cell r="X5">
            <v>100</v>
          </cell>
          <cell r="Y5">
            <v>100</v>
          </cell>
          <cell r="Z5">
            <v>100</v>
          </cell>
          <cell r="AA5">
            <v>100</v>
          </cell>
          <cell r="AB5">
            <v>100</v>
          </cell>
          <cell r="AC5">
            <v>100</v>
          </cell>
          <cell r="AD5">
            <v>100</v>
          </cell>
          <cell r="AF5">
            <v>100</v>
          </cell>
          <cell r="AG5">
            <v>100</v>
          </cell>
        </row>
        <row r="6">
          <cell r="A6">
            <v>40182</v>
          </cell>
          <cell r="B6">
            <v>13.895096000000001</v>
          </cell>
          <cell r="C6">
            <v>61.16</v>
          </cell>
          <cell r="D6">
            <v>52.680019999999999</v>
          </cell>
          <cell r="E6">
            <v>27.937194999999999</v>
          </cell>
          <cell r="F6">
            <v>76.37</v>
          </cell>
          <cell r="G6">
            <v>1.0373072999999999</v>
          </cell>
          <cell r="H6">
            <v>19.885000000000002</v>
          </cell>
          <cell r="I6">
            <v>35.74</v>
          </cell>
          <cell r="J6">
            <v>26.395</v>
          </cell>
          <cell r="K6">
            <v>4.6773759999999998</v>
          </cell>
          <cell r="L6">
            <v>2.12</v>
          </cell>
          <cell r="M6">
            <v>18.899999999999999</v>
          </cell>
          <cell r="N6">
            <v>8.3463879999999993</v>
          </cell>
          <cell r="O6">
            <v>10.501886000000001</v>
          </cell>
          <cell r="Q6">
            <v>100.52149642232395</v>
          </cell>
          <cell r="R6">
            <v>101.29181848294135</v>
          </cell>
          <cell r="S6">
            <v>101.11848363792993</v>
          </cell>
          <cell r="T6">
            <v>102.19305115513519</v>
          </cell>
          <cell r="U6">
            <v>102.04436130411545</v>
          </cell>
          <cell r="V6">
            <v>100.43637667065195</v>
          </cell>
          <cell r="W6">
            <v>101.66155419222906</v>
          </cell>
          <cell r="X6">
            <v>100.59104981705602</v>
          </cell>
          <cell r="Y6">
            <v>100.99483451310502</v>
          </cell>
          <cell r="Z6">
            <v>102.58067133729045</v>
          </cell>
          <cell r="AA6">
            <v>103.92156862745099</v>
          </cell>
          <cell r="AB6">
            <v>103.0534351145038</v>
          </cell>
          <cell r="AC6">
            <v>102.11913663543974</v>
          </cell>
          <cell r="AD6">
            <v>99.548066588161049</v>
          </cell>
          <cell r="AF6">
            <v>101.70072510622778</v>
          </cell>
          <cell r="AG6">
            <v>100.83360161180039</v>
          </cell>
        </row>
        <row r="7">
          <cell r="A7">
            <v>40183</v>
          </cell>
          <cell r="B7">
            <v>13.945361999999999</v>
          </cell>
          <cell r="C7">
            <v>59.79</v>
          </cell>
          <cell r="D7">
            <v>52.545333999999997</v>
          </cell>
          <cell r="E7">
            <v>28.097006</v>
          </cell>
          <cell r="F7">
            <v>75.44</v>
          </cell>
          <cell r="G7">
            <v>1.0318513</v>
          </cell>
          <cell r="H7">
            <v>19.975000000000001</v>
          </cell>
          <cell r="I7">
            <v>35.58</v>
          </cell>
          <cell r="J7">
            <v>25.274999999999999</v>
          </cell>
          <cell r="K7">
            <v>4.5905389999999997</v>
          </cell>
          <cell r="L7">
            <v>2.1</v>
          </cell>
          <cell r="M7">
            <v>18.27</v>
          </cell>
          <cell r="N7">
            <v>8.4140890000000006</v>
          </cell>
          <cell r="O7">
            <v>10.445077</v>
          </cell>
          <cell r="Q7">
            <v>100.88513648203742</v>
          </cell>
          <cell r="R7">
            <v>99.022855250082813</v>
          </cell>
          <cell r="S7">
            <v>100.85995594399095</v>
          </cell>
          <cell r="T7">
            <v>102.77763288204633</v>
          </cell>
          <cell r="U7">
            <v>100.80171031533938</v>
          </cell>
          <cell r="V7">
            <v>99.908104218394968</v>
          </cell>
          <cell r="W7">
            <v>102.12167689161555</v>
          </cell>
          <cell r="X7">
            <v>100.1407261469181</v>
          </cell>
          <cell r="Y7">
            <v>96.70939353357565</v>
          </cell>
          <cell r="Z7">
            <v>100.67622795772971</v>
          </cell>
          <cell r="AA7">
            <v>102.94117647058825</v>
          </cell>
          <cell r="AB7">
            <v>99.618320610687022</v>
          </cell>
          <cell r="AC7">
            <v>102.94746712634864</v>
          </cell>
          <cell r="AD7">
            <v>99.009570349027726</v>
          </cell>
          <cell r="AF7">
            <v>100.53857639191718</v>
          </cell>
          <cell r="AG7">
            <v>100.97851873768818</v>
          </cell>
        </row>
        <row r="8">
          <cell r="A8">
            <v>40184</v>
          </cell>
          <cell r="B8">
            <v>13.78792</v>
          </cell>
          <cell r="C8">
            <v>58.87</v>
          </cell>
          <cell r="D8">
            <v>51.481299999999997</v>
          </cell>
          <cell r="E8">
            <v>27.553830000000001</v>
          </cell>
          <cell r="F8">
            <v>74.19</v>
          </cell>
          <cell r="G8">
            <v>1.0319992</v>
          </cell>
          <cell r="H8">
            <v>19.600000000000001</v>
          </cell>
          <cell r="I8">
            <v>34.86</v>
          </cell>
          <cell r="J8">
            <v>26.085000000000001</v>
          </cell>
          <cell r="K8">
            <v>4.6204200000000002</v>
          </cell>
          <cell r="L8">
            <v>2.04</v>
          </cell>
          <cell r="M8">
            <v>18.260000000000002</v>
          </cell>
          <cell r="N8">
            <v>8.1852330000000002</v>
          </cell>
          <cell r="O8">
            <v>10.778789</v>
          </cell>
          <cell r="Q8">
            <v>99.746151516426295</v>
          </cell>
          <cell r="R8">
            <v>97.499171911228871</v>
          </cell>
          <cell r="S8">
            <v>98.817559137398987</v>
          </cell>
          <cell r="T8">
            <v>100.79071856390374</v>
          </cell>
          <cell r="U8">
            <v>99.131480491715649</v>
          </cell>
          <cell r="V8">
            <v>99.922424507194236</v>
          </cell>
          <cell r="W8">
            <v>100.20449897750512</v>
          </cell>
          <cell r="X8">
            <v>98.114269631297489</v>
          </cell>
          <cell r="Y8">
            <v>99.808685670556713</v>
          </cell>
          <cell r="Z8">
            <v>101.33155544053838</v>
          </cell>
          <cell r="AA8">
            <v>100</v>
          </cell>
          <cell r="AB8">
            <v>99.56379498364231</v>
          </cell>
          <cell r="AC8">
            <v>100.14738436793382</v>
          </cell>
          <cell r="AD8">
            <v>102.17284829712851</v>
          </cell>
          <cell r="AF8">
            <v>99.577525902617325</v>
          </cell>
          <cell r="AG8">
            <v>101.16011633253117</v>
          </cell>
        </row>
        <row r="9">
          <cell r="A9">
            <v>40185</v>
          </cell>
          <cell r="B9">
            <v>13.644923</v>
          </cell>
          <cell r="C9">
            <v>59.44</v>
          </cell>
          <cell r="D9">
            <v>51.183002000000002</v>
          </cell>
          <cell r="E9">
            <v>27.297602000000001</v>
          </cell>
          <cell r="F9">
            <v>74.17</v>
          </cell>
          <cell r="G9">
            <v>1.0238419999999999</v>
          </cell>
          <cell r="H9">
            <v>19.36</v>
          </cell>
          <cell r="I9">
            <v>34.92</v>
          </cell>
          <cell r="J9">
            <v>26.13</v>
          </cell>
          <cell r="K9">
            <v>4.5483073999999997</v>
          </cell>
          <cell r="L9">
            <v>2.08</v>
          </cell>
          <cell r="M9">
            <v>18.309999999999999</v>
          </cell>
          <cell r="N9">
            <v>8.1931550000000009</v>
          </cell>
          <cell r="O9">
            <v>10.778269999999999</v>
          </cell>
          <cell r="Q9">
            <v>98.711666225795483</v>
          </cell>
          <cell r="R9">
            <v>98.443193110301422</v>
          </cell>
          <cell r="S9">
            <v>98.244980739892185</v>
          </cell>
          <cell r="T9">
            <v>99.853447620583268</v>
          </cell>
          <cell r="U9">
            <v>99.10475681453768</v>
          </cell>
          <cell r="V9">
            <v>99.132610715487715</v>
          </cell>
          <cell r="W9">
            <v>98.977505112474446</v>
          </cell>
          <cell r="X9">
            <v>98.283141007599212</v>
          </cell>
          <cell r="Y9">
            <v>99.980868567055666</v>
          </cell>
          <cell r="Z9">
            <v>99.750036460692073</v>
          </cell>
          <cell r="AA9">
            <v>101.96078431372548</v>
          </cell>
          <cell r="AB9">
            <v>99.836423118865852</v>
          </cell>
          <cell r="AC9">
            <v>100.24431106250231</v>
          </cell>
          <cell r="AD9">
            <v>102.16792866206875</v>
          </cell>
          <cell r="AF9">
            <v>99.356617817250864</v>
          </cell>
          <cell r="AG9">
            <v>101.20611986228553</v>
          </cell>
        </row>
        <row r="10">
          <cell r="A10">
            <v>40186</v>
          </cell>
          <cell r="B10">
            <v>13.581754</v>
          </cell>
          <cell r="C10">
            <v>59.44</v>
          </cell>
          <cell r="D10">
            <v>52.286180000000002</v>
          </cell>
          <cell r="E10">
            <v>27.380312</v>
          </cell>
          <cell r="F10">
            <v>74.06</v>
          </cell>
          <cell r="G10">
            <v>1.0245021999999999</v>
          </cell>
          <cell r="H10">
            <v>19.614999999999998</v>
          </cell>
          <cell r="I10">
            <v>34.19</v>
          </cell>
          <cell r="J10">
            <v>26.114999999999998</v>
          </cell>
          <cell r="K10">
            <v>4.6161409999999998</v>
          </cell>
          <cell r="L10">
            <v>2.11</v>
          </cell>
          <cell r="M10">
            <v>18.18</v>
          </cell>
          <cell r="N10">
            <v>8.2349549999999994</v>
          </cell>
          <cell r="O10">
            <v>10.993378</v>
          </cell>
          <cell r="Q10">
            <v>98.254681804277141</v>
          </cell>
          <cell r="R10">
            <v>98.443193110301422</v>
          </cell>
          <cell r="S10">
            <v>100.3625138490809</v>
          </cell>
          <cell r="T10">
            <v>100.15599722375714</v>
          </cell>
          <cell r="U10">
            <v>98.957776590058785</v>
          </cell>
          <cell r="V10">
            <v>99.196534005989918</v>
          </cell>
          <cell r="W10">
            <v>100.28118609406953</v>
          </cell>
          <cell r="X10">
            <v>96.228539262594978</v>
          </cell>
          <cell r="Y10">
            <v>99.923474268222677</v>
          </cell>
          <cell r="Z10">
            <v>101.23771165020543</v>
          </cell>
          <cell r="AA10">
            <v>103.4313725490196</v>
          </cell>
          <cell r="AB10">
            <v>99.127589967284621</v>
          </cell>
          <cell r="AC10">
            <v>100.75573946858182</v>
          </cell>
          <cell r="AD10">
            <v>104.20695151069293</v>
          </cell>
          <cell r="AF10">
            <v>99.633380864571848</v>
          </cell>
          <cell r="AG10">
            <v>102.48134548963738</v>
          </cell>
        </row>
        <row r="11">
          <cell r="A11">
            <v>40187</v>
          </cell>
          <cell r="B11">
            <v>13.581754</v>
          </cell>
          <cell r="C11">
            <v>59.44</v>
          </cell>
          <cell r="D11">
            <v>52.286180000000002</v>
          </cell>
          <cell r="E11">
            <v>27.380312</v>
          </cell>
          <cell r="F11">
            <v>74.06</v>
          </cell>
          <cell r="G11">
            <v>1.0245021999999999</v>
          </cell>
          <cell r="H11">
            <v>19.614999999999998</v>
          </cell>
          <cell r="I11">
            <v>34.19</v>
          </cell>
          <cell r="J11">
            <v>26.114999999999998</v>
          </cell>
          <cell r="K11">
            <v>4.6161409999999998</v>
          </cell>
          <cell r="L11">
            <v>2.11</v>
          </cell>
          <cell r="M11">
            <v>18.18</v>
          </cell>
          <cell r="N11">
            <v>8.2349549999999994</v>
          </cell>
          <cell r="O11">
            <v>10.993378</v>
          </cell>
          <cell r="Q11">
            <v>98.254681804277141</v>
          </cell>
          <cell r="R11">
            <v>98.443193110301422</v>
          </cell>
          <cell r="S11">
            <v>100.3625138490809</v>
          </cell>
          <cell r="T11">
            <v>100.15599722375714</v>
          </cell>
          <cell r="U11">
            <v>98.957776590058785</v>
          </cell>
          <cell r="V11">
            <v>99.196534005989918</v>
          </cell>
          <cell r="W11">
            <v>100.28118609406953</v>
          </cell>
          <cell r="X11">
            <v>96.228539262594978</v>
          </cell>
          <cell r="Y11">
            <v>99.923474268222677</v>
          </cell>
          <cell r="Z11">
            <v>101.23771165020543</v>
          </cell>
          <cell r="AA11">
            <v>103.4313725490196</v>
          </cell>
          <cell r="AB11">
            <v>99.127589967284621</v>
          </cell>
          <cell r="AC11">
            <v>100.75573946858182</v>
          </cell>
          <cell r="AD11">
            <v>104.20695151069293</v>
          </cell>
          <cell r="AF11">
            <v>99.633380864571848</v>
          </cell>
          <cell r="AG11">
            <v>102.48134548963738</v>
          </cell>
        </row>
        <row r="12">
          <cell r="A12">
            <v>40188</v>
          </cell>
          <cell r="B12">
            <v>13.581754</v>
          </cell>
          <cell r="C12">
            <v>59.44</v>
          </cell>
          <cell r="D12">
            <v>52.286180000000002</v>
          </cell>
          <cell r="E12">
            <v>27.380312</v>
          </cell>
          <cell r="F12">
            <v>74.06</v>
          </cell>
          <cell r="G12">
            <v>1.0245021999999999</v>
          </cell>
          <cell r="H12">
            <v>19.614999999999998</v>
          </cell>
          <cell r="I12">
            <v>34.19</v>
          </cell>
          <cell r="J12">
            <v>26.114999999999998</v>
          </cell>
          <cell r="K12">
            <v>4.6161409999999998</v>
          </cell>
          <cell r="L12">
            <v>2.11</v>
          </cell>
          <cell r="M12">
            <v>18.18</v>
          </cell>
          <cell r="N12">
            <v>8.2349549999999994</v>
          </cell>
          <cell r="O12">
            <v>10.993378</v>
          </cell>
          <cell r="Q12">
            <v>98.254681804277141</v>
          </cell>
          <cell r="R12">
            <v>98.443193110301422</v>
          </cell>
          <cell r="S12">
            <v>100.3625138490809</v>
          </cell>
          <cell r="T12">
            <v>100.15599722375714</v>
          </cell>
          <cell r="U12">
            <v>98.957776590058785</v>
          </cell>
          <cell r="V12">
            <v>99.196534005989918</v>
          </cell>
          <cell r="W12">
            <v>100.28118609406953</v>
          </cell>
          <cell r="X12">
            <v>96.228539262594978</v>
          </cell>
          <cell r="Y12">
            <v>99.923474268222677</v>
          </cell>
          <cell r="Z12">
            <v>101.23771165020543</v>
          </cell>
          <cell r="AA12">
            <v>103.4313725490196</v>
          </cell>
          <cell r="AB12">
            <v>99.127589967284621</v>
          </cell>
          <cell r="AC12">
            <v>100.75573946858182</v>
          </cell>
          <cell r="AD12">
            <v>104.20695151069293</v>
          </cell>
          <cell r="AF12">
            <v>99.633380864571848</v>
          </cell>
          <cell r="AG12">
            <v>102.48134548963738</v>
          </cell>
        </row>
        <row r="13">
          <cell r="A13">
            <v>40189</v>
          </cell>
          <cell r="B13">
            <v>14.038726</v>
          </cell>
          <cell r="C13">
            <v>59.59</v>
          </cell>
          <cell r="D13">
            <v>52.866314000000003</v>
          </cell>
          <cell r="E13">
            <v>27.684108999999999</v>
          </cell>
          <cell r="F13">
            <v>74.89</v>
          </cell>
          <cell r="G13">
            <v>1.038025</v>
          </cell>
          <cell r="H13">
            <v>19.68</v>
          </cell>
          <cell r="I13">
            <v>34.369999999999997</v>
          </cell>
          <cell r="J13">
            <v>26.42</v>
          </cell>
          <cell r="K13">
            <v>4.7199169999999997</v>
          </cell>
          <cell r="L13">
            <v>2.11</v>
          </cell>
          <cell r="M13">
            <v>17.97</v>
          </cell>
          <cell r="N13">
            <v>8.5223169999999993</v>
          </cell>
          <cell r="O13">
            <v>11.122346</v>
          </cell>
          <cell r="Q13">
            <v>101.56056103412214</v>
          </cell>
          <cell r="R13">
            <v>98.691619741636302</v>
          </cell>
          <cell r="S13">
            <v>101.47607208969673</v>
          </cell>
          <cell r="T13">
            <v>101.26727351193772</v>
          </cell>
          <cell r="U13">
            <v>100.06680919294494</v>
          </cell>
          <cell r="V13">
            <v>100.50586734861837</v>
          </cell>
          <cell r="W13">
            <v>100.61349693251533</v>
          </cell>
          <cell r="X13">
            <v>96.735153391500134</v>
          </cell>
          <cell r="Y13">
            <v>101.09049167782666</v>
          </cell>
          <cell r="Z13">
            <v>103.51364836102334</v>
          </cell>
          <cell r="AA13">
            <v>103.4313725490196</v>
          </cell>
          <cell r="AB13">
            <v>97.982551799345686</v>
          </cell>
          <cell r="AC13">
            <v>104.27165070369733</v>
          </cell>
          <cell r="AD13">
            <v>105.42944764631483</v>
          </cell>
          <cell r="AF13">
            <v>100.57790980251558</v>
          </cell>
          <cell r="AG13">
            <v>104.85054917500608</v>
          </cell>
        </row>
        <row r="14">
          <cell r="A14">
            <v>40190</v>
          </cell>
          <cell r="B14">
            <v>13.587075</v>
          </cell>
          <cell r="C14">
            <v>59.21</v>
          </cell>
          <cell r="D14">
            <v>56.197074999999998</v>
          </cell>
          <cell r="E14">
            <v>28.417463000000001</v>
          </cell>
          <cell r="F14">
            <v>73.81</v>
          </cell>
          <cell r="G14">
            <v>1.030111</v>
          </cell>
          <cell r="H14">
            <v>19.535</v>
          </cell>
          <cell r="I14">
            <v>34.79</v>
          </cell>
          <cell r="J14">
            <v>25.72</v>
          </cell>
          <cell r="K14">
            <v>4.6370060000000004</v>
          </cell>
          <cell r="L14">
            <v>2.06</v>
          </cell>
          <cell r="M14">
            <v>18.079999999999998</v>
          </cell>
          <cell r="N14">
            <v>8.3573269999999997</v>
          </cell>
          <cell r="O14">
            <v>11.287070999999999</v>
          </cell>
          <cell r="Q14">
            <v>98.293175592478619</v>
          </cell>
          <cell r="R14">
            <v>98.062272275587929</v>
          </cell>
          <cell r="S14">
            <v>107.86941631546496</v>
          </cell>
          <cell r="T14">
            <v>103.94985072975874</v>
          </cell>
          <cell r="U14">
            <v>98.623730625334048</v>
          </cell>
          <cell r="V14">
            <v>99.739601185282268</v>
          </cell>
          <cell r="W14">
            <v>99.872188139059318</v>
          </cell>
          <cell r="X14">
            <v>97.917253025612155</v>
          </cell>
          <cell r="Y14">
            <v>98.4120910656208</v>
          </cell>
          <cell r="Z14">
            <v>101.69530704288985</v>
          </cell>
          <cell r="AA14">
            <v>100.98039215686273</v>
          </cell>
          <cell r="AB14">
            <v>98.582333696837509</v>
          </cell>
          <cell r="AC14">
            <v>102.25297671520302</v>
          </cell>
          <cell r="AD14">
            <v>106.99088673151675</v>
          </cell>
          <cell r="AF14">
            <v>100.33313432089908</v>
          </cell>
          <cell r="AG14">
            <v>104.62193172335989</v>
          </cell>
        </row>
        <row r="15">
          <cell r="A15">
            <v>40191</v>
          </cell>
          <cell r="B15">
            <v>13.675155999999999</v>
          </cell>
          <cell r="C15">
            <v>59.94</v>
          </cell>
          <cell r="D15">
            <v>56.109589999999997</v>
          </cell>
          <cell r="E15">
            <v>28.120547999999999</v>
          </cell>
          <cell r="F15">
            <v>75.36</v>
          </cell>
          <cell r="G15">
            <v>1.0223549999999999</v>
          </cell>
          <cell r="H15">
            <v>19.87</v>
          </cell>
          <cell r="I15">
            <v>35.799999999999997</v>
          </cell>
          <cell r="J15">
            <v>26.1</v>
          </cell>
          <cell r="K15">
            <v>4.6045227000000004</v>
          </cell>
          <cell r="L15">
            <v>2.06</v>
          </cell>
          <cell r="M15">
            <v>18.07</v>
          </cell>
          <cell r="N15">
            <v>8.3335720000000002</v>
          </cell>
          <cell r="O15">
            <v>11.244956999999999</v>
          </cell>
          <cell r="Q15">
            <v>98.930381260318171</v>
          </cell>
          <cell r="R15">
            <v>99.271281881417679</v>
          </cell>
          <cell r="S15">
            <v>107.70149021101277</v>
          </cell>
          <cell r="T15">
            <v>102.86374849996338</v>
          </cell>
          <cell r="U15">
            <v>100.69481560662747</v>
          </cell>
          <cell r="V15">
            <v>98.988633234456529</v>
          </cell>
          <cell r="W15">
            <v>101.58486707566463</v>
          </cell>
          <cell r="X15">
            <v>100.7599211933577</v>
          </cell>
          <cell r="Y15">
            <v>99.866079969389716</v>
          </cell>
          <cell r="Z15">
            <v>100.9829078854882</v>
          </cell>
          <cell r="AA15">
            <v>100.98039215686273</v>
          </cell>
          <cell r="AB15">
            <v>98.527808069792812</v>
          </cell>
          <cell r="AC15">
            <v>101.96233121792024</v>
          </cell>
          <cell r="AD15">
            <v>106.59168536175385</v>
          </cell>
          <cell r="AF15">
            <v>100.92936058702934</v>
          </cell>
          <cell r="AG15">
            <v>104.27700828983704</v>
          </cell>
        </row>
        <row r="16">
          <cell r="A16">
            <v>40192</v>
          </cell>
          <cell r="B16">
            <v>13.681035</v>
          </cell>
          <cell r="C16">
            <v>60.9</v>
          </cell>
          <cell r="D16">
            <v>58.390957</v>
          </cell>
          <cell r="E16">
            <v>27.87839</v>
          </cell>
          <cell r="F16">
            <v>76.92</v>
          </cell>
          <cell r="G16">
            <v>1.0079193</v>
          </cell>
          <cell r="H16">
            <v>19.905000000000001</v>
          </cell>
          <cell r="I16">
            <v>35.72</v>
          </cell>
          <cell r="J16">
            <v>26.28</v>
          </cell>
          <cell r="K16">
            <v>4.5851459999999999</v>
          </cell>
          <cell r="L16">
            <v>2.04</v>
          </cell>
          <cell r="M16">
            <v>17.96</v>
          </cell>
          <cell r="N16">
            <v>8.159084</v>
          </cell>
          <cell r="O16">
            <v>11.302628</v>
          </cell>
          <cell r="Q16">
            <v>98.972911796088979</v>
          </cell>
          <cell r="R16">
            <v>100.86121232196091</v>
          </cell>
          <cell r="S16">
            <v>112.080538883766</v>
          </cell>
          <cell r="T16">
            <v>101.9779450081803</v>
          </cell>
          <cell r="U16">
            <v>102.77926242650987</v>
          </cell>
          <cell r="V16">
            <v>97.590909143722243</v>
          </cell>
          <cell r="W16">
            <v>101.76380368098161</v>
          </cell>
          <cell r="X16">
            <v>100.53475935828877</v>
          </cell>
          <cell r="Y16">
            <v>100.5548115553855</v>
          </cell>
          <cell r="Z16">
            <v>100.55795276229493</v>
          </cell>
          <cell r="AA16">
            <v>100</v>
          </cell>
          <cell r="AB16">
            <v>97.928026172300989</v>
          </cell>
          <cell r="AC16">
            <v>99.827447971030153</v>
          </cell>
          <cell r="AD16">
            <v>107.13835255545658</v>
          </cell>
          <cell r="AF16">
            <v>101.30017775912336</v>
          </cell>
          <cell r="AG16">
            <v>103.48290026324337</v>
          </cell>
        </row>
        <row r="17">
          <cell r="A17">
            <v>40193</v>
          </cell>
          <cell r="B17">
            <v>13.836277000000001</v>
          </cell>
          <cell r="C17">
            <v>60.25</v>
          </cell>
          <cell r="D17">
            <v>57.891260000000003</v>
          </cell>
          <cell r="E17">
            <v>28.516397000000001</v>
          </cell>
          <cell r="F17">
            <v>75.75</v>
          </cell>
          <cell r="G17">
            <v>1.0062169000000001</v>
          </cell>
          <cell r="H17">
            <v>19.850000000000001</v>
          </cell>
          <cell r="I17">
            <v>35.25</v>
          </cell>
          <cell r="J17">
            <v>26.08</v>
          </cell>
          <cell r="K17">
            <v>4.5813040000000003</v>
          </cell>
          <cell r="L17">
            <v>2.0499999999999998</v>
          </cell>
          <cell r="M17">
            <v>17.98</v>
          </cell>
          <cell r="N17">
            <v>8.0583589999999994</v>
          </cell>
          <cell r="O17">
            <v>11.145982999999999</v>
          </cell>
          <cell r="Q17">
            <v>100.09598126949129</v>
          </cell>
          <cell r="R17">
            <v>99.78469691950977</v>
          </cell>
          <cell r="S17">
            <v>111.12137822060713</v>
          </cell>
          <cell r="T17">
            <v>104.3117470233194</v>
          </cell>
          <cell r="U17">
            <v>101.21592731159808</v>
          </cell>
          <cell r="V17">
            <v>97.426075745129467</v>
          </cell>
          <cell r="W17">
            <v>101.48261758691208</v>
          </cell>
          <cell r="X17">
            <v>99.211933577258648</v>
          </cell>
          <cell r="Y17">
            <v>99.789554237612393</v>
          </cell>
          <cell r="Z17">
            <v>100.47369292530985</v>
          </cell>
          <cell r="AA17">
            <v>100.49019607843137</v>
          </cell>
          <cell r="AB17">
            <v>98.037077426390411</v>
          </cell>
          <cell r="AC17">
            <v>98.595064569059758</v>
          </cell>
          <cell r="AD17">
            <v>105.65350432051073</v>
          </cell>
          <cell r="AF17">
            <v>101.12007319346414</v>
          </cell>
          <cell r="AG17">
            <v>102.12428444478525</v>
          </cell>
        </row>
        <row r="18">
          <cell r="A18">
            <v>40194</v>
          </cell>
          <cell r="B18">
            <v>13.836277000000001</v>
          </cell>
          <cell r="C18">
            <v>60.25</v>
          </cell>
          <cell r="D18">
            <v>57.891260000000003</v>
          </cell>
          <cell r="E18">
            <v>28.516397000000001</v>
          </cell>
          <cell r="F18">
            <v>75.75</v>
          </cell>
          <cell r="G18">
            <v>1.0062169000000001</v>
          </cell>
          <cell r="H18">
            <v>19.850000000000001</v>
          </cell>
          <cell r="I18">
            <v>35.25</v>
          </cell>
          <cell r="J18">
            <v>26.08</v>
          </cell>
          <cell r="K18">
            <v>4.5813040000000003</v>
          </cell>
          <cell r="L18">
            <v>2.0499999999999998</v>
          </cell>
          <cell r="M18">
            <v>17.98</v>
          </cell>
          <cell r="N18">
            <v>8.0583589999999994</v>
          </cell>
          <cell r="O18">
            <v>11.145982999999999</v>
          </cell>
          <cell r="Q18">
            <v>100.09598126949129</v>
          </cell>
          <cell r="R18">
            <v>99.78469691950977</v>
          </cell>
          <cell r="S18">
            <v>111.12137822060713</v>
          </cell>
          <cell r="T18">
            <v>104.3117470233194</v>
          </cell>
          <cell r="U18">
            <v>101.21592731159808</v>
          </cell>
          <cell r="V18">
            <v>97.426075745129467</v>
          </cell>
          <cell r="W18">
            <v>101.48261758691208</v>
          </cell>
          <cell r="X18">
            <v>99.211933577258648</v>
          </cell>
          <cell r="Y18">
            <v>99.789554237612393</v>
          </cell>
          <cell r="Z18">
            <v>100.47369292530985</v>
          </cell>
          <cell r="AA18">
            <v>100.49019607843137</v>
          </cell>
          <cell r="AB18">
            <v>98.037077426390411</v>
          </cell>
          <cell r="AC18">
            <v>98.595064569059758</v>
          </cell>
          <cell r="AD18">
            <v>105.65350432051073</v>
          </cell>
          <cell r="AF18">
            <v>101.12007319346414</v>
          </cell>
          <cell r="AG18">
            <v>102.12428444478525</v>
          </cell>
        </row>
        <row r="19">
          <cell r="A19">
            <v>40195</v>
          </cell>
          <cell r="B19">
            <v>13.836277000000001</v>
          </cell>
          <cell r="C19">
            <v>60.25</v>
          </cell>
          <cell r="D19">
            <v>57.891260000000003</v>
          </cell>
          <cell r="E19">
            <v>28.516397000000001</v>
          </cell>
          <cell r="F19">
            <v>75.75</v>
          </cell>
          <cell r="G19">
            <v>1.0062169000000001</v>
          </cell>
          <cell r="H19">
            <v>19.850000000000001</v>
          </cell>
          <cell r="I19">
            <v>35.25</v>
          </cell>
          <cell r="J19">
            <v>26.08</v>
          </cell>
          <cell r="K19">
            <v>4.5813040000000003</v>
          </cell>
          <cell r="L19">
            <v>2.0499999999999998</v>
          </cell>
          <cell r="M19">
            <v>17.98</v>
          </cell>
          <cell r="N19">
            <v>8.0583589999999994</v>
          </cell>
          <cell r="O19">
            <v>11.145982999999999</v>
          </cell>
          <cell r="Q19">
            <v>100.09598126949129</v>
          </cell>
          <cell r="R19">
            <v>99.78469691950977</v>
          </cell>
          <cell r="S19">
            <v>111.12137822060713</v>
          </cell>
          <cell r="T19">
            <v>104.3117470233194</v>
          </cell>
          <cell r="U19">
            <v>101.21592731159808</v>
          </cell>
          <cell r="V19">
            <v>97.426075745129467</v>
          </cell>
          <cell r="W19">
            <v>101.48261758691208</v>
          </cell>
          <cell r="X19">
            <v>99.211933577258648</v>
          </cell>
          <cell r="Y19">
            <v>99.789554237612393</v>
          </cell>
          <cell r="Z19">
            <v>100.47369292530985</v>
          </cell>
          <cell r="AA19">
            <v>100.49019607843137</v>
          </cell>
          <cell r="AB19">
            <v>98.037077426390411</v>
          </cell>
          <cell r="AC19">
            <v>98.595064569059758</v>
          </cell>
          <cell r="AD19">
            <v>105.65350432051073</v>
          </cell>
          <cell r="AF19">
            <v>101.12007319346414</v>
          </cell>
          <cell r="AG19">
            <v>102.12428444478525</v>
          </cell>
        </row>
        <row r="20">
          <cell r="A20">
            <v>40196</v>
          </cell>
          <cell r="B20">
            <v>13.836277000000001</v>
          </cell>
          <cell r="C20">
            <v>60.25</v>
          </cell>
          <cell r="D20">
            <v>57.891260000000003</v>
          </cell>
          <cell r="E20">
            <v>28.516397000000001</v>
          </cell>
          <cell r="F20">
            <v>75.75</v>
          </cell>
          <cell r="G20">
            <v>1.0062169000000001</v>
          </cell>
          <cell r="H20">
            <v>19.850000000000001</v>
          </cell>
          <cell r="I20">
            <v>35.25</v>
          </cell>
          <cell r="J20">
            <v>26.08</v>
          </cell>
          <cell r="K20">
            <v>4.5813040000000003</v>
          </cell>
          <cell r="L20">
            <v>2.0499999999999998</v>
          </cell>
          <cell r="M20">
            <v>17.98</v>
          </cell>
          <cell r="N20">
            <v>8.0583589999999994</v>
          </cell>
          <cell r="O20">
            <v>11.145982999999999</v>
          </cell>
          <cell r="Q20">
            <v>100.09598126949129</v>
          </cell>
          <cell r="R20">
            <v>99.78469691950977</v>
          </cell>
          <cell r="S20">
            <v>111.12137822060713</v>
          </cell>
          <cell r="T20">
            <v>104.3117470233194</v>
          </cell>
          <cell r="U20">
            <v>101.21592731159808</v>
          </cell>
          <cell r="V20">
            <v>97.426075745129467</v>
          </cell>
          <cell r="W20">
            <v>101.48261758691208</v>
          </cell>
          <cell r="X20">
            <v>99.211933577258648</v>
          </cell>
          <cell r="Y20">
            <v>99.789554237612393</v>
          </cell>
          <cell r="Z20">
            <v>100.47369292530985</v>
          </cell>
          <cell r="AA20">
            <v>100.49019607843137</v>
          </cell>
          <cell r="AB20">
            <v>98.037077426390411</v>
          </cell>
          <cell r="AC20">
            <v>98.595064569059758</v>
          </cell>
          <cell r="AD20">
            <v>105.65350432051073</v>
          </cell>
          <cell r="AF20">
            <v>101.12007319346414</v>
          </cell>
          <cell r="AG20">
            <v>102.12428444478525</v>
          </cell>
        </row>
        <row r="21">
          <cell r="A21">
            <v>40197</v>
          </cell>
          <cell r="B21">
            <v>13.106593</v>
          </cell>
          <cell r="C21">
            <v>61.61</v>
          </cell>
          <cell r="D21">
            <v>56.256169999999997</v>
          </cell>
          <cell r="E21">
            <v>29.718170000000001</v>
          </cell>
          <cell r="F21">
            <v>76.569999999999993</v>
          </cell>
          <cell r="G21">
            <v>0.97799515999999997</v>
          </cell>
          <cell r="H21">
            <v>20.2</v>
          </cell>
          <cell r="I21">
            <v>35.06</v>
          </cell>
          <cell r="J21">
            <v>26.46</v>
          </cell>
          <cell r="K21">
            <v>4.5166482999999999</v>
          </cell>
          <cell r="L21">
            <v>2.2000000000000002</v>
          </cell>
          <cell r="M21">
            <v>18.440000000000001</v>
          </cell>
          <cell r="N21">
            <v>8.1828439999999993</v>
          </cell>
          <cell r="O21">
            <v>11.292325</v>
          </cell>
          <cell r="Q21">
            <v>94.817217625438232</v>
          </cell>
          <cell r="R21">
            <v>102.03709837694601</v>
          </cell>
          <cell r="S21">
            <v>107.98284825399847</v>
          </cell>
          <cell r="T21">
            <v>108.70778068617857</v>
          </cell>
          <cell r="U21">
            <v>102.31159807589523</v>
          </cell>
          <cell r="V21">
            <v>94.693530327834878</v>
          </cell>
          <cell r="W21">
            <v>103.27198364008181</v>
          </cell>
          <cell r="X21">
            <v>98.677174218969881</v>
          </cell>
          <cell r="Y21">
            <v>101.24354314138128</v>
          </cell>
          <cell r="Z21">
            <v>99.055713034066898</v>
          </cell>
          <cell r="AA21">
            <v>107.84313725490198</v>
          </cell>
          <cell r="AB21">
            <v>100.54525627044713</v>
          </cell>
          <cell r="AC21">
            <v>100.11815464395957</v>
          </cell>
          <cell r="AD21">
            <v>107.04068974231444</v>
          </cell>
          <cell r="AF21">
            <v>101.76557340884501</v>
          </cell>
          <cell r="AG21">
            <v>103.57942219313701</v>
          </cell>
        </row>
        <row r="22">
          <cell r="A22">
            <v>40198</v>
          </cell>
          <cell r="B22">
            <v>12.931940000000001</v>
          </cell>
          <cell r="C22">
            <v>60.64</v>
          </cell>
          <cell r="D22">
            <v>56.463107999999998</v>
          </cell>
          <cell r="E22">
            <v>30.259840000000001</v>
          </cell>
          <cell r="F22">
            <v>75.78</v>
          </cell>
          <cell r="G22">
            <v>0.97892106000000001</v>
          </cell>
          <cell r="H22">
            <v>19.96</v>
          </cell>
          <cell r="I22">
            <v>34.9</v>
          </cell>
          <cell r="J22">
            <v>26.465</v>
          </cell>
          <cell r="K22">
            <v>4.4533230000000001</v>
          </cell>
          <cell r="L22">
            <v>2.25</v>
          </cell>
          <cell r="M22">
            <v>19.12</v>
          </cell>
          <cell r="N22">
            <v>8.2244189999999993</v>
          </cell>
          <cell r="O22">
            <v>11.0310545</v>
          </cell>
          <cell r="Q22">
            <v>93.553722870551454</v>
          </cell>
          <cell r="R22">
            <v>100.43060616098045</v>
          </cell>
          <cell r="S22">
            <v>108.38006254448405</v>
          </cell>
          <cell r="T22">
            <v>110.68918612144871</v>
          </cell>
          <cell r="U22">
            <v>101.25601282736505</v>
          </cell>
          <cell r="V22">
            <v>94.783179789628278</v>
          </cell>
          <cell r="W22">
            <v>102.04498977505114</v>
          </cell>
          <cell r="X22">
            <v>98.226850548831962</v>
          </cell>
          <cell r="Y22">
            <v>101.2626745743256</v>
          </cell>
          <cell r="Z22">
            <v>97.666910468988675</v>
          </cell>
          <cell r="AA22">
            <v>110.29411764705883</v>
          </cell>
          <cell r="AB22">
            <v>104.25299890948747</v>
          </cell>
          <cell r="AC22">
            <v>100.62683014593938</v>
          </cell>
          <cell r="AD22">
            <v>104.56408952674154</v>
          </cell>
          <cell r="AF22">
            <v>101.90344268651681</v>
          </cell>
          <cell r="AG22">
            <v>102.59545983634047</v>
          </cell>
        </row>
        <row r="23">
          <cell r="A23">
            <v>40199</v>
          </cell>
          <cell r="B23">
            <v>13.159095000000001</v>
          </cell>
          <cell r="C23">
            <v>59.77</v>
          </cell>
          <cell r="D23">
            <v>55.592106000000001</v>
          </cell>
          <cell r="E23">
            <v>31.524121999999998</v>
          </cell>
          <cell r="F23">
            <v>74.599999999999994</v>
          </cell>
          <cell r="G23">
            <v>0.97606159999999997</v>
          </cell>
          <cell r="H23">
            <v>19.68</v>
          </cell>
          <cell r="I23">
            <v>34.159999999999997</v>
          </cell>
          <cell r="J23">
            <v>25.97</v>
          </cell>
          <cell r="K23">
            <v>4.3924025999999996</v>
          </cell>
          <cell r="L23">
            <v>2.14</v>
          </cell>
          <cell r="M23">
            <v>18.07</v>
          </cell>
          <cell r="N23">
            <v>8.1387269999999994</v>
          </cell>
          <cell r="O23">
            <v>10.909091999999999</v>
          </cell>
          <cell r="Q23">
            <v>95.197033612687605</v>
          </cell>
          <cell r="R23">
            <v>98.989731699238163</v>
          </cell>
          <cell r="S23">
            <v>106.7081876764486</v>
          </cell>
          <cell r="T23">
            <v>115.31387500308183</v>
          </cell>
          <cell r="U23">
            <v>99.679315873864226</v>
          </cell>
          <cell r="V23">
            <v>94.506315063394624</v>
          </cell>
          <cell r="W23">
            <v>100.61349693251533</v>
          </cell>
          <cell r="X23">
            <v>96.144103574444117</v>
          </cell>
          <cell r="Y23">
            <v>99.368662712837192</v>
          </cell>
          <cell r="Z23">
            <v>96.33085035106437</v>
          </cell>
          <cell r="AA23">
            <v>104.90196078431373</v>
          </cell>
          <cell r="AB23">
            <v>98.527808069792812</v>
          </cell>
          <cell r="AC23">
            <v>99.578377443217676</v>
          </cell>
          <cell r="AD23">
            <v>103.40799898536082</v>
          </cell>
          <cell r="AF23">
            <v>100.52344511280688</v>
          </cell>
          <cell r="AG23">
            <v>101.49318821428925</v>
          </cell>
        </row>
        <row r="24">
          <cell r="A24">
            <v>40200</v>
          </cell>
          <cell r="B24">
            <v>12.869811</v>
          </cell>
          <cell r="C24">
            <v>58.8</v>
          </cell>
          <cell r="D24">
            <v>55.614142999999999</v>
          </cell>
          <cell r="E24">
            <v>31.281569000000001</v>
          </cell>
          <cell r="F24">
            <v>72.27</v>
          </cell>
          <cell r="G24">
            <v>0.95502819999999999</v>
          </cell>
          <cell r="H24">
            <v>19.585000000000001</v>
          </cell>
          <cell r="I24">
            <v>33.56</v>
          </cell>
          <cell r="J24">
            <v>25.984999999999999</v>
          </cell>
          <cell r="K24">
            <v>4.3623409999999998</v>
          </cell>
          <cell r="L24">
            <v>2.14</v>
          </cell>
          <cell r="M24">
            <v>17.53</v>
          </cell>
          <cell r="N24">
            <v>7.9255877000000003</v>
          </cell>
          <cell r="O24">
            <v>10.732567</v>
          </cell>
          <cell r="Q24">
            <v>93.104262136259123</v>
          </cell>
          <cell r="R24">
            <v>97.383239483272604</v>
          </cell>
          <cell r="S24">
            <v>106.75048735712316</v>
          </cell>
          <cell r="T24">
            <v>114.42662661838068</v>
          </cell>
          <cell r="U24">
            <v>96.566007482629601</v>
          </cell>
          <cell r="V24">
            <v>92.469774411396429</v>
          </cell>
          <cell r="W24">
            <v>100.12781186094071</v>
          </cell>
          <cell r="X24">
            <v>94.455389811426969</v>
          </cell>
          <cell r="Y24">
            <v>99.426057011670167</v>
          </cell>
          <cell r="Z24">
            <v>95.671562085705091</v>
          </cell>
          <cell r="AA24">
            <v>104.90196078431373</v>
          </cell>
          <cell r="AB24">
            <v>95.583424209378421</v>
          </cell>
          <cell r="AC24">
            <v>96.970590541975852</v>
          </cell>
          <cell r="AD24">
            <v>101.73470692577504</v>
          </cell>
          <cell r="AF24">
            <v>99.23888360437472</v>
          </cell>
          <cell r="AG24">
            <v>99.352648733875441</v>
          </cell>
        </row>
        <row r="25">
          <cell r="A25">
            <v>40201</v>
          </cell>
          <cell r="B25">
            <v>12.869811</v>
          </cell>
          <cell r="C25">
            <v>58.8</v>
          </cell>
          <cell r="D25">
            <v>55.614142999999999</v>
          </cell>
          <cell r="E25">
            <v>31.281569000000001</v>
          </cell>
          <cell r="F25">
            <v>72.27</v>
          </cell>
          <cell r="G25">
            <v>0.95502819999999999</v>
          </cell>
          <cell r="H25">
            <v>19.585000000000001</v>
          </cell>
          <cell r="I25">
            <v>33.56</v>
          </cell>
          <cell r="J25">
            <v>25.984999999999999</v>
          </cell>
          <cell r="K25">
            <v>4.3623409999999998</v>
          </cell>
          <cell r="L25">
            <v>2.14</v>
          </cell>
          <cell r="M25">
            <v>17.53</v>
          </cell>
          <cell r="N25">
            <v>7.9255877000000003</v>
          </cell>
          <cell r="O25">
            <v>10.732567</v>
          </cell>
          <cell r="Q25">
            <v>93.104262136259123</v>
          </cell>
          <cell r="R25">
            <v>97.383239483272604</v>
          </cell>
          <cell r="S25">
            <v>106.75048735712316</v>
          </cell>
          <cell r="T25">
            <v>114.42662661838068</v>
          </cell>
          <cell r="U25">
            <v>96.566007482629601</v>
          </cell>
          <cell r="V25">
            <v>92.469774411396429</v>
          </cell>
          <cell r="W25">
            <v>100.12781186094071</v>
          </cell>
          <cell r="X25">
            <v>94.455389811426969</v>
          </cell>
          <cell r="Y25">
            <v>99.426057011670167</v>
          </cell>
          <cell r="Z25">
            <v>95.671562085705091</v>
          </cell>
          <cell r="AA25">
            <v>104.90196078431373</v>
          </cell>
          <cell r="AB25">
            <v>95.583424209378421</v>
          </cell>
          <cell r="AC25">
            <v>96.970590541975852</v>
          </cell>
          <cell r="AD25">
            <v>101.73470692577504</v>
          </cell>
          <cell r="AF25">
            <v>99.23888360437472</v>
          </cell>
          <cell r="AG25">
            <v>99.352648733875441</v>
          </cell>
        </row>
        <row r="26">
          <cell r="A26">
            <v>40202</v>
          </cell>
          <cell r="B26">
            <v>12.869811</v>
          </cell>
          <cell r="C26">
            <v>58.8</v>
          </cell>
          <cell r="D26">
            <v>55.614142999999999</v>
          </cell>
          <cell r="E26">
            <v>31.281569000000001</v>
          </cell>
          <cell r="F26">
            <v>72.27</v>
          </cell>
          <cell r="G26">
            <v>0.95502819999999999</v>
          </cell>
          <cell r="H26">
            <v>19.585000000000001</v>
          </cell>
          <cell r="I26">
            <v>33.56</v>
          </cell>
          <cell r="J26">
            <v>25.984999999999999</v>
          </cell>
          <cell r="K26">
            <v>4.3623409999999998</v>
          </cell>
          <cell r="L26">
            <v>2.14</v>
          </cell>
          <cell r="M26">
            <v>17.53</v>
          </cell>
          <cell r="N26">
            <v>7.9255877000000003</v>
          </cell>
          <cell r="O26">
            <v>10.732567</v>
          </cell>
          <cell r="Q26">
            <v>93.104262136259123</v>
          </cell>
          <cell r="R26">
            <v>97.383239483272604</v>
          </cell>
          <cell r="S26">
            <v>106.75048735712316</v>
          </cell>
          <cell r="T26">
            <v>114.42662661838068</v>
          </cell>
          <cell r="U26">
            <v>96.566007482629601</v>
          </cell>
          <cell r="V26">
            <v>92.469774411396429</v>
          </cell>
          <cell r="W26">
            <v>100.12781186094071</v>
          </cell>
          <cell r="X26">
            <v>94.455389811426969</v>
          </cell>
          <cell r="Y26">
            <v>99.426057011670167</v>
          </cell>
          <cell r="Z26">
            <v>95.671562085705091</v>
          </cell>
          <cell r="AA26">
            <v>104.90196078431373</v>
          </cell>
          <cell r="AB26">
            <v>95.583424209378421</v>
          </cell>
          <cell r="AC26">
            <v>96.970590541975852</v>
          </cell>
          <cell r="AD26">
            <v>101.73470692577504</v>
          </cell>
          <cell r="AF26">
            <v>99.23888360437472</v>
          </cell>
          <cell r="AG26">
            <v>99.352648733875441</v>
          </cell>
        </row>
        <row r="27">
          <cell r="A27">
            <v>40203</v>
          </cell>
          <cell r="B27">
            <v>13.01112</v>
          </cell>
          <cell r="C27">
            <v>57.44</v>
          </cell>
          <cell r="D27">
            <v>54.812762999999997</v>
          </cell>
          <cell r="E27">
            <v>30.34674</v>
          </cell>
          <cell r="F27">
            <v>73.05</v>
          </cell>
          <cell r="G27">
            <v>0.95724547000000004</v>
          </cell>
          <cell r="H27">
            <v>19.094999999999999</v>
          </cell>
          <cell r="I27">
            <v>32.6</v>
          </cell>
          <cell r="J27">
            <v>26.515000000000001</v>
          </cell>
          <cell r="K27">
            <v>4.3008986</v>
          </cell>
          <cell r="L27">
            <v>2.2200000000000002</v>
          </cell>
          <cell r="M27">
            <v>17.39</v>
          </cell>
          <cell r="N27">
            <v>7.8947370000000001</v>
          </cell>
          <cell r="O27">
            <v>10.690789000000001</v>
          </cell>
          <cell r="Q27">
            <v>94.126535903776968</v>
          </cell>
          <cell r="R27">
            <v>95.130838025836368</v>
          </cell>
          <cell r="S27">
            <v>105.21225084131005</v>
          </cell>
          <cell r="T27">
            <v>111.00706256342441</v>
          </cell>
          <cell r="U27">
            <v>97.608230892570816</v>
          </cell>
          <cell r="V27">
            <v>92.684459649705801</v>
          </cell>
          <cell r="W27">
            <v>97.622699386503058</v>
          </cell>
          <cell r="X27">
            <v>91.753447790599495</v>
          </cell>
          <cell r="Y27">
            <v>101.45398890376889</v>
          </cell>
          <cell r="Z27">
            <v>94.324053858747433</v>
          </cell>
          <cell r="AA27">
            <v>108.82352941176472</v>
          </cell>
          <cell r="AB27">
            <v>94.82006543075245</v>
          </cell>
          <cell r="AC27">
            <v>96.593128237491683</v>
          </cell>
          <cell r="AD27">
            <v>101.33869052206239</v>
          </cell>
          <cell r="AF27">
            <v>98.713930221563373</v>
          </cell>
          <cell r="AG27">
            <v>98.965909379777031</v>
          </cell>
        </row>
        <row r="28">
          <cell r="A28">
            <v>40204</v>
          </cell>
          <cell r="B28">
            <v>12.941998999999999</v>
          </cell>
          <cell r="C28">
            <v>57.52</v>
          </cell>
          <cell r="D28">
            <v>54.354506999999998</v>
          </cell>
          <cell r="E28">
            <v>31.070892000000001</v>
          </cell>
          <cell r="F28">
            <v>73.180000000000007</v>
          </cell>
          <cell r="G28">
            <v>0.96184676999999996</v>
          </cell>
          <cell r="H28">
            <v>18.91</v>
          </cell>
          <cell r="I28">
            <v>30.41</v>
          </cell>
          <cell r="J28">
            <v>26.734999999999999</v>
          </cell>
          <cell r="K28">
            <v>4.2780503999999997</v>
          </cell>
          <cell r="L28">
            <v>2.2200000000000002</v>
          </cell>
          <cell r="M28">
            <v>16.98</v>
          </cell>
          <cell r="N28">
            <v>7.8652595999999999</v>
          </cell>
          <cell r="O28">
            <v>10.517751000000001</v>
          </cell>
          <cell r="Q28">
            <v>93.626492841519067</v>
          </cell>
          <cell r="R28">
            <v>95.263332229214967</v>
          </cell>
          <cell r="S28">
            <v>104.33263553672241</v>
          </cell>
          <cell r="T28">
            <v>113.65597926318949</v>
          </cell>
          <cell r="U28">
            <v>97.781934794227681</v>
          </cell>
          <cell r="V28">
            <v>93.129976518212047</v>
          </cell>
          <cell r="W28">
            <v>96.676891615541933</v>
          </cell>
          <cell r="X28">
            <v>85.589642555586835</v>
          </cell>
          <cell r="Y28">
            <v>102.29577195331929</v>
          </cell>
          <cell r="Z28">
            <v>93.822964424233575</v>
          </cell>
          <cell r="AA28">
            <v>108.82352941176472</v>
          </cell>
          <cell r="AB28">
            <v>92.584514721919305</v>
          </cell>
          <cell r="AC28">
            <v>96.23246843611922</v>
          </cell>
          <cell r="AD28">
            <v>99.698451964313605</v>
          </cell>
          <cell r="AF28">
            <v>98.131972155454278</v>
          </cell>
          <cell r="AG28">
            <v>97.965460200216413</v>
          </cell>
        </row>
        <row r="29">
          <cell r="A29">
            <v>40205</v>
          </cell>
          <cell r="B29">
            <v>12.993907</v>
          </cell>
          <cell r="C29">
            <v>56.63</v>
          </cell>
          <cell r="D29">
            <v>53.840992</v>
          </cell>
          <cell r="E29">
            <v>31.029855999999999</v>
          </cell>
          <cell r="F29">
            <v>72.19</v>
          </cell>
          <cell r="G29">
            <v>0.97529719999999998</v>
          </cell>
          <cell r="H29">
            <v>19.18</v>
          </cell>
          <cell r="I29">
            <v>30.175000000000001</v>
          </cell>
          <cell r="J29">
            <v>26.335000000000001</v>
          </cell>
          <cell r="K29">
            <v>4.1788550000000004</v>
          </cell>
          <cell r="L29">
            <v>2.2200000000000002</v>
          </cell>
          <cell r="M29">
            <v>16.809999999999999</v>
          </cell>
          <cell r="N29">
            <v>7.7734813999999997</v>
          </cell>
          <cell r="O29">
            <v>10.407603</v>
          </cell>
          <cell r="Q29">
            <v>94.002011645872045</v>
          </cell>
          <cell r="R29">
            <v>93.789334216628021</v>
          </cell>
          <cell r="S29">
            <v>103.34695143627349</v>
          </cell>
          <cell r="T29">
            <v>113.50587134980725</v>
          </cell>
          <cell r="U29">
            <v>96.459112773917681</v>
          </cell>
          <cell r="V29">
            <v>94.432302698565962</v>
          </cell>
          <cell r="W29">
            <v>98.057259713701441</v>
          </cell>
          <cell r="X29">
            <v>84.928229665071768</v>
          </cell>
          <cell r="Y29">
            <v>100.76525731777311</v>
          </cell>
          <cell r="Z29">
            <v>91.647485966745663</v>
          </cell>
          <cell r="AA29">
            <v>108.82352941176472</v>
          </cell>
          <cell r="AB29">
            <v>91.657579062159215</v>
          </cell>
          <cell r="AC29">
            <v>95.109550289256802</v>
          </cell>
          <cell r="AD29">
            <v>98.654351843768325</v>
          </cell>
          <cell r="AF29">
            <v>97.617910438190009</v>
          </cell>
          <cell r="AG29">
            <v>96.881951066512556</v>
          </cell>
        </row>
        <row r="30">
          <cell r="A30">
            <v>40206</v>
          </cell>
          <cell r="B30">
            <v>12.947317999999999</v>
          </cell>
          <cell r="C30">
            <v>56.05</v>
          </cell>
          <cell r="D30">
            <v>56.154784999999997</v>
          </cell>
          <cell r="E30">
            <v>31.135325999999999</v>
          </cell>
          <cell r="F30">
            <v>71.040000000000006</v>
          </cell>
          <cell r="G30">
            <v>0.99048703999999999</v>
          </cell>
          <cell r="H30">
            <v>18.57</v>
          </cell>
          <cell r="I30">
            <v>30.95</v>
          </cell>
          <cell r="J30">
            <v>26.05</v>
          </cell>
          <cell r="K30">
            <v>4.2798824</v>
          </cell>
          <cell r="L30">
            <v>2.21</v>
          </cell>
          <cell r="M30">
            <v>16.7</v>
          </cell>
          <cell r="N30">
            <v>7.6540889999999999</v>
          </cell>
          <cell r="O30">
            <v>10.474016000000001</v>
          </cell>
          <cell r="Q30">
            <v>93.664972161091256</v>
          </cell>
          <cell r="R30">
            <v>92.828751242133151</v>
          </cell>
          <cell r="S30">
            <v>107.78824131452443</v>
          </cell>
          <cell r="T30">
            <v>113.89167604871608</v>
          </cell>
          <cell r="U30">
            <v>94.922501336183856</v>
          </cell>
          <cell r="V30">
            <v>95.90304573855704</v>
          </cell>
          <cell r="W30">
            <v>94.938650306748471</v>
          </cell>
          <cell r="X30">
            <v>87.109484942302274</v>
          </cell>
          <cell r="Y30">
            <v>99.674765639946429</v>
          </cell>
          <cell r="Z30">
            <v>93.863142462067174</v>
          </cell>
          <cell r="AA30">
            <v>108.33333333333333</v>
          </cell>
          <cell r="AB30">
            <v>91.057797164667392</v>
          </cell>
          <cell r="AC30">
            <v>93.648768833993387</v>
          </cell>
          <cell r="AD30">
            <v>99.283885029171373</v>
          </cell>
          <cell r="AF30">
            <v>97.831363474189232</v>
          </cell>
          <cell r="AG30">
            <v>96.466326931582387</v>
          </cell>
        </row>
        <row r="31">
          <cell r="A31">
            <v>40207</v>
          </cell>
          <cell r="B31">
            <v>12.612781</v>
          </cell>
          <cell r="C31">
            <v>55.67</v>
          </cell>
          <cell r="D31">
            <v>55.816006000000002</v>
          </cell>
          <cell r="E31">
            <v>29.893553000000001</v>
          </cell>
          <cell r="F31">
            <v>71.099999999999994</v>
          </cell>
          <cell r="G31">
            <v>0.98308110000000004</v>
          </cell>
          <cell r="H31">
            <v>18.899999999999999</v>
          </cell>
          <cell r="I31">
            <v>32.56</v>
          </cell>
          <cell r="J31">
            <v>25.57</v>
          </cell>
          <cell r="K31">
            <v>4.1598176999999996</v>
          </cell>
          <cell r="L31">
            <v>2.2000000000000002</v>
          </cell>
          <cell r="M31">
            <v>17.059999999999999</v>
          </cell>
          <cell r="N31">
            <v>7.7241635000000004</v>
          </cell>
          <cell r="O31">
            <v>10.414662</v>
          </cell>
          <cell r="Q31">
            <v>91.244826244241537</v>
          </cell>
          <cell r="R31">
            <v>92.199403776084793</v>
          </cell>
          <cell r="S31">
            <v>107.13796026359897</v>
          </cell>
          <cell r="T31">
            <v>109.3493241156725</v>
          </cell>
          <cell r="U31">
            <v>95.002672367717793</v>
          </cell>
          <cell r="V31">
            <v>95.185972042613471</v>
          </cell>
          <cell r="W31">
            <v>96.625766871165638</v>
          </cell>
          <cell r="X31">
            <v>91.640866873065022</v>
          </cell>
          <cell r="Y31">
            <v>97.838148077290981</v>
          </cell>
          <cell r="Z31">
            <v>91.229974307548389</v>
          </cell>
          <cell r="AA31">
            <v>107.84313725490198</v>
          </cell>
          <cell r="AB31">
            <v>93.020719738276981</v>
          </cell>
          <cell r="AC31">
            <v>94.506139404371879</v>
          </cell>
          <cell r="AD31">
            <v>98.721264568020501</v>
          </cell>
          <cell r="AF31">
            <v>97.359897661014827</v>
          </cell>
          <cell r="AG31">
            <v>96.61370198619619</v>
          </cell>
        </row>
        <row r="32">
          <cell r="A32">
            <v>40208</v>
          </cell>
          <cell r="B32">
            <v>12.612781</v>
          </cell>
          <cell r="C32">
            <v>55.67</v>
          </cell>
          <cell r="D32">
            <v>55.816006000000002</v>
          </cell>
          <cell r="E32">
            <v>29.893553000000001</v>
          </cell>
          <cell r="F32">
            <v>71.099999999999994</v>
          </cell>
          <cell r="G32">
            <v>0.98308110000000004</v>
          </cell>
          <cell r="H32">
            <v>18.899999999999999</v>
          </cell>
          <cell r="I32">
            <v>32.56</v>
          </cell>
          <cell r="J32">
            <v>25.57</v>
          </cell>
          <cell r="K32">
            <v>4.1598176999999996</v>
          </cell>
          <cell r="L32">
            <v>2.2000000000000002</v>
          </cell>
          <cell r="M32">
            <v>17.059999999999999</v>
          </cell>
          <cell r="N32">
            <v>7.7241635000000004</v>
          </cell>
          <cell r="O32">
            <v>10.414662</v>
          </cell>
          <cell r="Q32">
            <v>91.244826244241537</v>
          </cell>
          <cell r="R32">
            <v>92.199403776084793</v>
          </cell>
          <cell r="S32">
            <v>107.13796026359897</v>
          </cell>
          <cell r="T32">
            <v>109.3493241156725</v>
          </cell>
          <cell r="U32">
            <v>95.002672367717793</v>
          </cell>
          <cell r="V32">
            <v>95.185972042613471</v>
          </cell>
          <cell r="W32">
            <v>96.625766871165638</v>
          </cell>
          <cell r="X32">
            <v>91.640866873065022</v>
          </cell>
          <cell r="Y32">
            <v>97.838148077290981</v>
          </cell>
          <cell r="Z32">
            <v>91.229974307548389</v>
          </cell>
          <cell r="AA32">
            <v>107.84313725490198</v>
          </cell>
          <cell r="AB32">
            <v>93.020719738276981</v>
          </cell>
          <cell r="AC32">
            <v>94.506139404371879</v>
          </cell>
          <cell r="AD32">
            <v>98.721264568020501</v>
          </cell>
          <cell r="AF32">
            <v>97.359897661014827</v>
          </cell>
          <cell r="AG32">
            <v>96.61370198619619</v>
          </cell>
        </row>
        <row r="33">
          <cell r="A33">
            <v>40209</v>
          </cell>
          <cell r="B33">
            <v>12.612781</v>
          </cell>
          <cell r="C33">
            <v>55.67</v>
          </cell>
          <cell r="D33">
            <v>55.816006000000002</v>
          </cell>
          <cell r="E33">
            <v>29.893553000000001</v>
          </cell>
          <cell r="F33">
            <v>71.099999999999994</v>
          </cell>
          <cell r="G33">
            <v>0.98308110000000004</v>
          </cell>
          <cell r="H33">
            <v>18.899999999999999</v>
          </cell>
          <cell r="I33">
            <v>32.56</v>
          </cell>
          <cell r="J33">
            <v>25.57</v>
          </cell>
          <cell r="K33">
            <v>4.1598176999999996</v>
          </cell>
          <cell r="L33">
            <v>2.2000000000000002</v>
          </cell>
          <cell r="M33">
            <v>17.059999999999999</v>
          </cell>
          <cell r="N33">
            <v>7.7241635000000004</v>
          </cell>
          <cell r="O33">
            <v>10.414662</v>
          </cell>
          <cell r="Q33">
            <v>91.244826244241537</v>
          </cell>
          <cell r="R33">
            <v>92.199403776084793</v>
          </cell>
          <cell r="S33">
            <v>107.13796026359897</v>
          </cell>
          <cell r="T33">
            <v>109.3493241156725</v>
          </cell>
          <cell r="U33">
            <v>95.002672367717793</v>
          </cell>
          <cell r="V33">
            <v>95.185972042613471</v>
          </cell>
          <cell r="W33">
            <v>96.625766871165638</v>
          </cell>
          <cell r="X33">
            <v>91.640866873065022</v>
          </cell>
          <cell r="Y33">
            <v>97.838148077290981</v>
          </cell>
          <cell r="Z33">
            <v>91.229974307548389</v>
          </cell>
          <cell r="AA33">
            <v>107.84313725490198</v>
          </cell>
          <cell r="AB33">
            <v>93.020719738276981</v>
          </cell>
          <cell r="AC33">
            <v>94.506139404371879</v>
          </cell>
          <cell r="AD33">
            <v>98.721264568020501</v>
          </cell>
          <cell r="AF33">
            <v>97.359897661014827</v>
          </cell>
          <cell r="AG33">
            <v>96.61370198619619</v>
          </cell>
        </row>
        <row r="34">
          <cell r="A34">
            <v>40210</v>
          </cell>
          <cell r="B34">
            <v>12.746661</v>
          </cell>
          <cell r="C34">
            <v>56.44</v>
          </cell>
          <cell r="D34">
            <v>55.962542999999997</v>
          </cell>
          <cell r="E34">
            <v>30.492977</v>
          </cell>
          <cell r="F34">
            <v>71.599999999999994</v>
          </cell>
          <cell r="G34">
            <v>0.98379225000000003</v>
          </cell>
          <cell r="H34">
            <v>18.809999999999999</v>
          </cell>
          <cell r="I34">
            <v>31.67</v>
          </cell>
          <cell r="J34">
            <v>25.734999999999999</v>
          </cell>
          <cell r="K34">
            <v>4.2518399999999996</v>
          </cell>
          <cell r="L34">
            <v>2.27</v>
          </cell>
          <cell r="M34">
            <v>17.13</v>
          </cell>
          <cell r="N34">
            <v>7.8474139999999997</v>
          </cell>
          <cell r="O34">
            <v>10.270545</v>
          </cell>
          <cell r="Q34">
            <v>92.213356288295984</v>
          </cell>
          <cell r="R34">
            <v>93.474660483603827</v>
          </cell>
          <cell r="S34">
            <v>107.4192357687497</v>
          </cell>
          <cell r="T34">
            <v>111.54199118534845</v>
          </cell>
          <cell r="U34">
            <v>95.670764297167281</v>
          </cell>
          <cell r="V34">
            <v>95.254828522529621</v>
          </cell>
          <cell r="W34">
            <v>96.165644171779135</v>
          </cell>
          <cell r="X34">
            <v>89.135941457922883</v>
          </cell>
          <cell r="Y34">
            <v>98.469485364453789</v>
          </cell>
          <cell r="Z34">
            <v>93.248137763298274</v>
          </cell>
          <cell r="AA34">
            <v>111.27450980392157</v>
          </cell>
          <cell r="AB34">
            <v>93.402399127589959</v>
          </cell>
          <cell r="AC34">
            <v>96.014125212111253</v>
          </cell>
          <cell r="AD34">
            <v>97.35517006723407</v>
          </cell>
          <cell r="AF34">
            <v>98.105912852888366</v>
          </cell>
          <cell r="AG34">
            <v>96.684647639672662</v>
          </cell>
        </row>
        <row r="35">
          <cell r="A35">
            <v>40211</v>
          </cell>
          <cell r="B35">
            <v>12.6595955</v>
          </cell>
          <cell r="C35">
            <v>57</v>
          </cell>
          <cell r="D35">
            <v>57.221912000000003</v>
          </cell>
          <cell r="E35">
            <v>30.160485999999999</v>
          </cell>
          <cell r="F35">
            <v>72.599999999999994</v>
          </cell>
          <cell r="G35">
            <v>0.99318949999999995</v>
          </cell>
          <cell r="H35">
            <v>19.024999999999999</v>
          </cell>
          <cell r="I35">
            <v>31.42</v>
          </cell>
          <cell r="J35">
            <v>26.105</v>
          </cell>
          <cell r="K35">
            <v>4.1550349999999998</v>
          </cell>
          <cell r="L35">
            <v>2.5</v>
          </cell>
          <cell r="M35">
            <v>17.149999999999999</v>
          </cell>
          <cell r="N35">
            <v>8.2925500000000003</v>
          </cell>
          <cell r="O35">
            <v>10.277324</v>
          </cell>
          <cell r="Q35">
            <v>91.583497066973734</v>
          </cell>
          <cell r="R35">
            <v>94.402119907254061</v>
          </cell>
          <cell r="S35">
            <v>109.83657508677989</v>
          </cell>
          <cell r="T35">
            <v>110.32575348605107</v>
          </cell>
          <cell r="U35">
            <v>97.006948156066258</v>
          </cell>
          <cell r="V35">
            <v>96.164709076410119</v>
          </cell>
          <cell r="W35">
            <v>97.264826175869118</v>
          </cell>
          <cell r="X35">
            <v>88.432310723332392</v>
          </cell>
          <cell r="Y35">
            <v>99.885211402334022</v>
          </cell>
          <cell r="Z35">
            <v>91.12508374993557</v>
          </cell>
          <cell r="AA35">
            <v>122.54901960784315</v>
          </cell>
          <cell r="AB35">
            <v>93.511450381679381</v>
          </cell>
          <cell r="AC35">
            <v>101.46042174246104</v>
          </cell>
          <cell r="AD35">
            <v>97.419428653111041</v>
          </cell>
          <cell r="AF35">
            <v>99.340625401710724</v>
          </cell>
          <cell r="AG35">
            <v>99.439925197786039</v>
          </cell>
        </row>
        <row r="36">
          <cell r="A36">
            <v>40212</v>
          </cell>
          <cell r="B36">
            <v>12.736465000000001</v>
          </cell>
          <cell r="C36">
            <v>56.48</v>
          </cell>
          <cell r="D36">
            <v>56.831924000000001</v>
          </cell>
          <cell r="E36">
            <v>30.570518</v>
          </cell>
          <cell r="F36">
            <v>71.8</v>
          </cell>
          <cell r="G36">
            <v>0.99164180000000002</v>
          </cell>
          <cell r="H36">
            <v>19.18</v>
          </cell>
          <cell r="I36">
            <v>31.05</v>
          </cell>
          <cell r="J36">
            <v>26.08</v>
          </cell>
          <cell r="K36">
            <v>4.1159452999999999</v>
          </cell>
          <cell r="L36">
            <v>2.46</v>
          </cell>
          <cell r="M36">
            <v>17.059999999999999</v>
          </cell>
          <cell r="N36">
            <v>8.3428135000000001</v>
          </cell>
          <cell r="O36">
            <v>10.23349</v>
          </cell>
          <cell r="Q36">
            <v>92.139595216222631</v>
          </cell>
          <cell r="R36">
            <v>93.540907585293127</v>
          </cell>
          <cell r="S36">
            <v>109.08799915235564</v>
          </cell>
          <cell r="T36">
            <v>111.82563281005775</v>
          </cell>
          <cell r="U36">
            <v>95.938001068947074</v>
          </cell>
          <cell r="V36">
            <v>96.014854370699325</v>
          </cell>
          <cell r="W36">
            <v>98.057259713701441</v>
          </cell>
          <cell r="X36">
            <v>87.390937236138484</v>
          </cell>
          <cell r="Y36">
            <v>99.789554237612393</v>
          </cell>
          <cell r="Z36">
            <v>90.267798026407405</v>
          </cell>
          <cell r="AA36">
            <v>120.58823529411764</v>
          </cell>
          <cell r="AB36">
            <v>93.020719738276981</v>
          </cell>
          <cell r="AC36">
            <v>102.07540216564234</v>
          </cell>
          <cell r="AD36">
            <v>97.003923290471846</v>
          </cell>
          <cell r="AF36">
            <v>98.971791204152495</v>
          </cell>
          <cell r="AG36">
            <v>99.539662728057095</v>
          </cell>
        </row>
        <row r="37">
          <cell r="A37">
            <v>40213</v>
          </cell>
          <cell r="B37">
            <v>12.443592000000001</v>
          </cell>
          <cell r="C37">
            <v>55.43</v>
          </cell>
          <cell r="D37">
            <v>60.780518000000001</v>
          </cell>
          <cell r="E37">
            <v>30.877388</v>
          </cell>
          <cell r="F37">
            <v>70.540000000000006</v>
          </cell>
          <cell r="G37">
            <v>0.97306440000000005</v>
          </cell>
          <cell r="H37">
            <v>18.920000000000002</v>
          </cell>
          <cell r="I37">
            <v>32.6</v>
          </cell>
          <cell r="J37">
            <v>25.465</v>
          </cell>
          <cell r="K37">
            <v>4.0868659999999997</v>
          </cell>
          <cell r="L37">
            <v>2.19</v>
          </cell>
          <cell r="M37">
            <v>16.149999999999999</v>
          </cell>
          <cell r="N37">
            <v>7.7420726000000002</v>
          </cell>
          <cell r="O37">
            <v>9.5079010000000004</v>
          </cell>
          <cell r="Q37">
            <v>90.020859784549828</v>
          </cell>
          <cell r="R37">
            <v>91.801921165948983</v>
          </cell>
          <cell r="S37">
            <v>116.6672642661849</v>
          </cell>
          <cell r="T37">
            <v>112.94814999934523</v>
          </cell>
          <cell r="U37">
            <v>94.254409406734368</v>
          </cell>
          <cell r="V37">
            <v>94.216113781520619</v>
          </cell>
          <cell r="W37">
            <v>96.728016359918215</v>
          </cell>
          <cell r="X37">
            <v>91.753447790599495</v>
          </cell>
          <cell r="Y37">
            <v>97.436387985460101</v>
          </cell>
          <cell r="Z37">
            <v>89.630052821399616</v>
          </cell>
          <cell r="AA37">
            <v>107.35294117647058</v>
          </cell>
          <cell r="AB37">
            <v>88.05888767720829</v>
          </cell>
          <cell r="AC37">
            <v>94.725259559092436</v>
          </cell>
          <cell r="AD37">
            <v>90.126017542148446</v>
          </cell>
          <cell r="AF37">
            <v>97.572371017945031</v>
          </cell>
          <cell r="AG37">
            <v>92.425638550620448</v>
          </cell>
        </row>
        <row r="38">
          <cell r="A38">
            <v>40214</v>
          </cell>
          <cell r="B38">
            <v>12.478343000000001</v>
          </cell>
          <cell r="C38">
            <v>55.6</v>
          </cell>
          <cell r="D38">
            <v>61.548789999999997</v>
          </cell>
          <cell r="E38">
            <v>30.528199999999998</v>
          </cell>
          <cell r="F38">
            <v>70.64</v>
          </cell>
          <cell r="G38">
            <v>0.93549979999999999</v>
          </cell>
          <cell r="H38">
            <v>19</v>
          </cell>
          <cell r="I38">
            <v>32.39</v>
          </cell>
          <cell r="J38">
            <v>27.45</v>
          </cell>
          <cell r="K38">
            <v>4.0037929999999999</v>
          </cell>
          <cell r="L38">
            <v>2.2000000000000002</v>
          </cell>
          <cell r="M38">
            <v>15.93</v>
          </cell>
          <cell r="N38">
            <v>7.6853337000000002</v>
          </cell>
          <cell r="O38">
            <v>9.4346680000000003</v>
          </cell>
          <cell r="Q38">
            <v>90.27225945261776</v>
          </cell>
          <cell r="R38">
            <v>92.083471348128526</v>
          </cell>
          <cell r="S38">
            <v>118.14195048804812</v>
          </cell>
          <cell r="T38">
            <v>111.6708353961161</v>
          </cell>
          <cell r="U38">
            <v>94.388027792624257</v>
          </cell>
          <cell r="V38">
            <v>90.578954074766045</v>
          </cell>
          <cell r="W38">
            <v>97.137014314928422</v>
          </cell>
          <cell r="X38">
            <v>91.162397973543492</v>
          </cell>
          <cell r="Y38">
            <v>105.03156686435813</v>
          </cell>
          <cell r="Z38">
            <v>87.808158641841956</v>
          </cell>
          <cell r="AA38">
            <v>107.84313725490198</v>
          </cell>
          <cell r="AB38">
            <v>86.859323882224643</v>
          </cell>
          <cell r="AC38">
            <v>94.031051779434378</v>
          </cell>
          <cell r="AD38">
            <v>89.431837129177779</v>
          </cell>
          <cell r="AF38">
            <v>97.748091457008272</v>
          </cell>
          <cell r="AG38">
            <v>91.731444454306086</v>
          </cell>
        </row>
        <row r="39">
          <cell r="A39">
            <v>40215</v>
          </cell>
          <cell r="B39">
            <v>12.478343000000001</v>
          </cell>
          <cell r="C39">
            <v>55.6</v>
          </cell>
          <cell r="D39">
            <v>61.548789999999997</v>
          </cell>
          <cell r="E39">
            <v>30.528199999999998</v>
          </cell>
          <cell r="F39">
            <v>70.64</v>
          </cell>
          <cell r="G39">
            <v>0.93549979999999999</v>
          </cell>
          <cell r="H39">
            <v>19</v>
          </cell>
          <cell r="I39">
            <v>32.39</v>
          </cell>
          <cell r="J39">
            <v>27.45</v>
          </cell>
          <cell r="K39">
            <v>4.0037929999999999</v>
          </cell>
          <cell r="L39">
            <v>2.2000000000000002</v>
          </cell>
          <cell r="M39">
            <v>15.93</v>
          </cell>
          <cell r="N39">
            <v>7.6853337000000002</v>
          </cell>
          <cell r="O39">
            <v>9.4346680000000003</v>
          </cell>
          <cell r="Q39">
            <v>90.27225945261776</v>
          </cell>
          <cell r="R39">
            <v>92.083471348128526</v>
          </cell>
          <cell r="S39">
            <v>118.14195048804812</v>
          </cell>
          <cell r="T39">
            <v>111.6708353961161</v>
          </cell>
          <cell r="U39">
            <v>94.388027792624257</v>
          </cell>
          <cell r="V39">
            <v>90.578954074766045</v>
          </cell>
          <cell r="W39">
            <v>97.137014314928422</v>
          </cell>
          <cell r="X39">
            <v>91.162397973543492</v>
          </cell>
          <cell r="Y39">
            <v>105.03156686435813</v>
          </cell>
          <cell r="Z39">
            <v>87.808158641841956</v>
          </cell>
          <cell r="AA39">
            <v>107.84313725490198</v>
          </cell>
          <cell r="AB39">
            <v>86.859323882224643</v>
          </cell>
          <cell r="AC39">
            <v>94.031051779434378</v>
          </cell>
          <cell r="AD39">
            <v>89.431837129177779</v>
          </cell>
          <cell r="AF39">
            <v>97.748091457008272</v>
          </cell>
          <cell r="AG39">
            <v>91.731444454306086</v>
          </cell>
        </row>
        <row r="40">
          <cell r="A40">
            <v>40216</v>
          </cell>
          <cell r="B40">
            <v>12.478343000000001</v>
          </cell>
          <cell r="C40">
            <v>55.6</v>
          </cell>
          <cell r="D40">
            <v>61.548789999999997</v>
          </cell>
          <cell r="E40">
            <v>30.528199999999998</v>
          </cell>
          <cell r="F40">
            <v>70.64</v>
          </cell>
          <cell r="G40">
            <v>0.93549979999999999</v>
          </cell>
          <cell r="H40">
            <v>19</v>
          </cell>
          <cell r="I40">
            <v>32.39</v>
          </cell>
          <cell r="J40">
            <v>27.45</v>
          </cell>
          <cell r="K40">
            <v>4.0037929999999999</v>
          </cell>
          <cell r="L40">
            <v>2.2000000000000002</v>
          </cell>
          <cell r="M40">
            <v>15.93</v>
          </cell>
          <cell r="N40">
            <v>7.6853337000000002</v>
          </cell>
          <cell r="O40">
            <v>9.4346680000000003</v>
          </cell>
          <cell r="Q40">
            <v>90.27225945261776</v>
          </cell>
          <cell r="R40">
            <v>92.083471348128526</v>
          </cell>
          <cell r="S40">
            <v>118.14195048804812</v>
          </cell>
          <cell r="T40">
            <v>111.6708353961161</v>
          </cell>
          <cell r="U40">
            <v>94.388027792624257</v>
          </cell>
          <cell r="V40">
            <v>90.578954074766045</v>
          </cell>
          <cell r="W40">
            <v>97.137014314928422</v>
          </cell>
          <cell r="X40">
            <v>91.162397973543492</v>
          </cell>
          <cell r="Y40">
            <v>105.03156686435813</v>
          </cell>
          <cell r="Z40">
            <v>87.808158641841956</v>
          </cell>
          <cell r="AA40">
            <v>107.84313725490198</v>
          </cell>
          <cell r="AB40">
            <v>86.859323882224643</v>
          </cell>
          <cell r="AC40">
            <v>94.031051779434378</v>
          </cell>
          <cell r="AD40">
            <v>89.431837129177779</v>
          </cell>
          <cell r="AF40">
            <v>97.748091457008272</v>
          </cell>
          <cell r="AG40">
            <v>91.731444454306086</v>
          </cell>
        </row>
        <row r="41">
          <cell r="A41">
            <v>40217</v>
          </cell>
          <cell r="B41">
            <v>12.69403</v>
          </cell>
          <cell r="C41">
            <v>55</v>
          </cell>
          <cell r="D41">
            <v>60.395539999999997</v>
          </cell>
          <cell r="E41">
            <v>29.077256999999999</v>
          </cell>
          <cell r="F41">
            <v>70.14</v>
          </cell>
          <cell r="G41">
            <v>0.94916690000000004</v>
          </cell>
          <cell r="H41">
            <v>18.975000000000001</v>
          </cell>
          <cell r="I41">
            <v>31.25</v>
          </cell>
          <cell r="J41">
            <v>27.42</v>
          </cell>
          <cell r="K41">
            <v>4.071834</v>
          </cell>
          <cell r="L41">
            <v>2.25</v>
          </cell>
          <cell r="M41">
            <v>15.52</v>
          </cell>
          <cell r="N41">
            <v>7.9067273</v>
          </cell>
          <cell r="O41">
            <v>9.5845610000000008</v>
          </cell>
          <cell r="Q41">
            <v>91.832607074457997</v>
          </cell>
          <cell r="R41">
            <v>91.089764822788993</v>
          </cell>
          <cell r="S41">
            <v>115.92830494927568</v>
          </cell>
          <cell r="T41">
            <v>106.36334864871053</v>
          </cell>
          <cell r="U41">
            <v>93.719935863174769</v>
          </cell>
          <cell r="V41">
            <v>91.902259139326446</v>
          </cell>
          <cell r="W41">
            <v>97.00920245398774</v>
          </cell>
          <cell r="X41">
            <v>87.953841823810862</v>
          </cell>
          <cell r="Y41">
            <v>104.91677826669216</v>
          </cell>
          <cell r="Z41">
            <v>89.300382371227954</v>
          </cell>
          <cell r="AA41">
            <v>110.29411764705883</v>
          </cell>
          <cell r="AB41">
            <v>84.623773173391498</v>
          </cell>
          <cell r="AC41">
            <v>96.739831108721717</v>
          </cell>
          <cell r="AD41">
            <v>90.852682713018552</v>
          </cell>
          <cell r="AF41">
            <v>97.077859686158618</v>
          </cell>
          <cell r="AG41">
            <v>93.796256910870142</v>
          </cell>
        </row>
        <row r="42">
          <cell r="A42">
            <v>40218</v>
          </cell>
          <cell r="B42">
            <v>12.830894000000001</v>
          </cell>
          <cell r="C42">
            <v>55.68</v>
          </cell>
          <cell r="D42">
            <v>60.409443000000003</v>
          </cell>
          <cell r="E42">
            <v>28.783981000000001</v>
          </cell>
          <cell r="F42">
            <v>70.150000000000006</v>
          </cell>
          <cell r="G42">
            <v>0.95191084999999998</v>
          </cell>
          <cell r="H42">
            <v>19.175000000000001</v>
          </cell>
          <cell r="I42">
            <v>31.34</v>
          </cell>
          <cell r="J42">
            <v>27.135000000000002</v>
          </cell>
          <cell r="K42">
            <v>4.0412955000000004</v>
          </cell>
          <cell r="L42">
            <v>2.35</v>
          </cell>
          <cell r="M42">
            <v>15.97</v>
          </cell>
          <cell r="N42">
            <v>8.0086300000000001</v>
          </cell>
          <cell r="O42">
            <v>9.9770800000000008</v>
          </cell>
          <cell r="Q42">
            <v>92.822724313399334</v>
          </cell>
          <cell r="R42">
            <v>92.215965551507111</v>
          </cell>
          <cell r="S42">
            <v>115.95499154275115</v>
          </cell>
          <cell r="T42">
            <v>105.29055772354525</v>
          </cell>
          <cell r="U42">
            <v>93.73329770176376</v>
          </cell>
          <cell r="V42">
            <v>92.167939710325442</v>
          </cell>
          <cell r="W42">
            <v>98.031697341513308</v>
          </cell>
          <cell r="X42">
            <v>88.207148888263433</v>
          </cell>
          <cell r="Y42">
            <v>103.8262865888655</v>
          </cell>
          <cell r="Z42">
            <v>88.630635095910819</v>
          </cell>
          <cell r="AA42">
            <v>115.19607843137256</v>
          </cell>
          <cell r="AB42">
            <v>87.077426390403488</v>
          </cell>
          <cell r="AC42">
            <v>97.986623822506445</v>
          </cell>
          <cell r="AD42">
            <v>94.573396073372919</v>
          </cell>
          <cell r="AF42">
            <v>97.762895773301764</v>
          </cell>
          <cell r="AG42">
            <v>96.280009947939675</v>
          </cell>
        </row>
        <row r="43">
          <cell r="A43">
            <v>40219</v>
          </cell>
          <cell r="B43">
            <v>12.854134</v>
          </cell>
          <cell r="C43">
            <v>55.76</v>
          </cell>
          <cell r="D43">
            <v>60.218170000000001</v>
          </cell>
          <cell r="E43">
            <v>28.495104000000001</v>
          </cell>
          <cell r="F43">
            <v>70.97</v>
          </cell>
          <cell r="G43">
            <v>0.95862406</v>
          </cell>
          <cell r="H43">
            <v>19.350000000000001</v>
          </cell>
          <cell r="I43">
            <v>31.29</v>
          </cell>
          <cell r="J43">
            <v>27.14</v>
          </cell>
          <cell r="K43">
            <v>4.0403694999999997</v>
          </cell>
          <cell r="L43">
            <v>2.39</v>
          </cell>
          <cell r="M43">
            <v>15.74</v>
          </cell>
          <cell r="N43">
            <v>8.3191900000000008</v>
          </cell>
          <cell r="O43">
            <v>10.205017</v>
          </cell>
          <cell r="Q43">
            <v>92.990849785641842</v>
          </cell>
          <cell r="R43">
            <v>92.34845975488571</v>
          </cell>
          <cell r="S43">
            <v>115.58784597748981</v>
          </cell>
          <cell r="T43">
            <v>104.23385815014348</v>
          </cell>
          <cell r="U43">
            <v>94.828968466060928</v>
          </cell>
          <cell r="V43">
            <v>92.817940426824009</v>
          </cell>
          <cell r="W43">
            <v>98.926380368098179</v>
          </cell>
          <cell r="X43">
            <v>88.066422741345335</v>
          </cell>
          <cell r="Y43">
            <v>103.84541802180982</v>
          </cell>
          <cell r="Z43">
            <v>88.610326764560426</v>
          </cell>
          <cell r="AA43">
            <v>117.15686274509804</v>
          </cell>
          <cell r="AB43">
            <v>85.823336968375145</v>
          </cell>
          <cell r="AC43">
            <v>101.78636558786678</v>
          </cell>
          <cell r="AD43">
            <v>96.734025854909817</v>
          </cell>
          <cell r="AF43">
            <v>97.936389180861056</v>
          </cell>
          <cell r="AG43">
            <v>99.2601957213883</v>
          </cell>
        </row>
        <row r="44">
          <cell r="A44">
            <v>40220</v>
          </cell>
          <cell r="B44">
            <v>13.052269000000001</v>
          </cell>
          <cell r="C44">
            <v>55.9</v>
          </cell>
          <cell r="D44">
            <v>60.258409999999998</v>
          </cell>
          <cell r="E44">
            <v>28.514147000000001</v>
          </cell>
          <cell r="F44">
            <v>71.56</v>
          </cell>
          <cell r="G44">
            <v>0.94039459999999997</v>
          </cell>
          <cell r="H44">
            <v>19.71</v>
          </cell>
          <cell r="I44">
            <v>31.41</v>
          </cell>
          <cell r="J44">
            <v>27.75</v>
          </cell>
          <cell r="K44">
            <v>4.0943092999999999</v>
          </cell>
          <cell r="L44">
            <v>2.31</v>
          </cell>
          <cell r="M44">
            <v>16.07</v>
          </cell>
          <cell r="N44">
            <v>8.2261659999999992</v>
          </cell>
          <cell r="O44">
            <v>10.078665000000001</v>
          </cell>
          <cell r="Q44">
            <v>94.424220716914078</v>
          </cell>
          <cell r="R44">
            <v>92.580324610798272</v>
          </cell>
          <cell r="S44">
            <v>115.66508603513577</v>
          </cell>
          <cell r="T44">
            <v>104.30351662062154</v>
          </cell>
          <cell r="U44">
            <v>95.617316942811328</v>
          </cell>
          <cell r="V44">
            <v>91.052888825372264</v>
          </cell>
          <cell r="W44">
            <v>100.76687116564418</v>
          </cell>
          <cell r="X44">
            <v>88.404165493948767</v>
          </cell>
          <cell r="Y44">
            <v>106.17945284101779</v>
          </cell>
          <cell r="Z44">
            <v>89.793293645093257</v>
          </cell>
          <cell r="AA44">
            <v>113.23529411764706</v>
          </cell>
          <cell r="AB44">
            <v>87.6226826608506</v>
          </cell>
          <cell r="AC44">
            <v>100.64820491688246</v>
          </cell>
          <cell r="AD44">
            <v>95.536326954964878</v>
          </cell>
          <cell r="AF44">
            <v>98.303759472987906</v>
          </cell>
          <cell r="AG44">
            <v>98.092265935923677</v>
          </cell>
        </row>
        <row r="45">
          <cell r="A45">
            <v>40221</v>
          </cell>
          <cell r="B45">
            <v>13.139564500000001</v>
          </cell>
          <cell r="C45">
            <v>56.07</v>
          </cell>
          <cell r="D45">
            <v>60.222225000000002</v>
          </cell>
          <cell r="E45">
            <v>29.477779999999999</v>
          </cell>
          <cell r="F45">
            <v>71.760000000000005</v>
          </cell>
          <cell r="G45">
            <v>0.99002889999999999</v>
          </cell>
          <cell r="H45">
            <v>19.715</v>
          </cell>
          <cell r="I45">
            <v>31.69</v>
          </cell>
          <cell r="J45">
            <v>27.99</v>
          </cell>
          <cell r="K45">
            <v>4.0829659999999999</v>
          </cell>
          <cell r="L45">
            <v>2.2999999999999998</v>
          </cell>
          <cell r="M45">
            <v>16.29</v>
          </cell>
          <cell r="N45">
            <v>8.2613129999999995</v>
          </cell>
          <cell r="O45">
            <v>9.9307529999999993</v>
          </cell>
          <cell r="Q45">
            <v>95.055743830603618</v>
          </cell>
          <cell r="R45">
            <v>92.861874792977801</v>
          </cell>
          <cell r="S45">
            <v>115.59562948727498</v>
          </cell>
          <cell r="T45">
            <v>107.82844446193761</v>
          </cell>
          <cell r="U45">
            <v>95.884553714591121</v>
          </cell>
          <cell r="V45">
            <v>95.858686731724745</v>
          </cell>
          <cell r="W45">
            <v>100.79243353783231</v>
          </cell>
          <cell r="X45">
            <v>89.192231916690119</v>
          </cell>
          <cell r="Y45">
            <v>107.0977616223455</v>
          </cell>
          <cell r="Z45">
            <v>89.544520972299736</v>
          </cell>
          <cell r="AA45">
            <v>112.74509803921569</v>
          </cell>
          <cell r="AB45">
            <v>88.822246455834247</v>
          </cell>
          <cell r="AC45">
            <v>101.07823300751591</v>
          </cell>
          <cell r="AD45">
            <v>94.134259400128713</v>
          </cell>
          <cell r="AF45">
            <v>99.273268796943952</v>
          </cell>
          <cell r="AG45">
            <v>97.606246203822309</v>
          </cell>
        </row>
        <row r="46">
          <cell r="A46">
            <v>40222</v>
          </cell>
          <cell r="B46">
            <v>13.139564500000001</v>
          </cell>
          <cell r="C46">
            <v>56.07</v>
          </cell>
          <cell r="D46">
            <v>60.222225000000002</v>
          </cell>
          <cell r="E46">
            <v>29.477779999999999</v>
          </cell>
          <cell r="F46">
            <v>71.760000000000005</v>
          </cell>
          <cell r="G46">
            <v>0.99002889999999999</v>
          </cell>
          <cell r="H46">
            <v>19.715</v>
          </cell>
          <cell r="I46">
            <v>31.69</v>
          </cell>
          <cell r="J46">
            <v>27.99</v>
          </cell>
          <cell r="K46">
            <v>4.0829659999999999</v>
          </cell>
          <cell r="L46">
            <v>2.2999999999999998</v>
          </cell>
          <cell r="M46">
            <v>16.29</v>
          </cell>
          <cell r="N46">
            <v>8.2613129999999995</v>
          </cell>
          <cell r="O46">
            <v>9.9307529999999993</v>
          </cell>
          <cell r="Q46">
            <v>95.055743830603618</v>
          </cell>
          <cell r="R46">
            <v>92.861874792977801</v>
          </cell>
          <cell r="S46">
            <v>115.59562948727498</v>
          </cell>
          <cell r="T46">
            <v>107.82844446193761</v>
          </cell>
          <cell r="U46">
            <v>95.884553714591121</v>
          </cell>
          <cell r="V46">
            <v>95.858686731724745</v>
          </cell>
          <cell r="W46">
            <v>100.79243353783231</v>
          </cell>
          <cell r="X46">
            <v>89.192231916690119</v>
          </cell>
          <cell r="Y46">
            <v>107.0977616223455</v>
          </cell>
          <cell r="Z46">
            <v>89.544520972299736</v>
          </cell>
          <cell r="AA46">
            <v>112.74509803921569</v>
          </cell>
          <cell r="AB46">
            <v>88.822246455834247</v>
          </cell>
          <cell r="AC46">
            <v>101.07823300751591</v>
          </cell>
          <cell r="AD46">
            <v>94.134259400128713</v>
          </cell>
          <cell r="AF46">
            <v>99.273268796943952</v>
          </cell>
          <cell r="AG46">
            <v>97.606246203822309</v>
          </cell>
        </row>
        <row r="47">
          <cell r="A47">
            <v>40223</v>
          </cell>
          <cell r="B47">
            <v>13.139564500000001</v>
          </cell>
          <cell r="C47">
            <v>56.07</v>
          </cell>
          <cell r="D47">
            <v>60.222225000000002</v>
          </cell>
          <cell r="E47">
            <v>29.477779999999999</v>
          </cell>
          <cell r="F47">
            <v>71.760000000000005</v>
          </cell>
          <cell r="G47">
            <v>0.99002889999999999</v>
          </cell>
          <cell r="H47">
            <v>19.715</v>
          </cell>
          <cell r="I47">
            <v>31.69</v>
          </cell>
          <cell r="J47">
            <v>27.99</v>
          </cell>
          <cell r="K47">
            <v>4.0829659999999999</v>
          </cell>
          <cell r="L47">
            <v>2.2999999999999998</v>
          </cell>
          <cell r="M47">
            <v>16.29</v>
          </cell>
          <cell r="N47">
            <v>8.2613129999999995</v>
          </cell>
          <cell r="O47">
            <v>9.9307529999999993</v>
          </cell>
          <cell r="Q47">
            <v>95.055743830603618</v>
          </cell>
          <cell r="R47">
            <v>92.861874792977801</v>
          </cell>
          <cell r="S47">
            <v>115.59562948727498</v>
          </cell>
          <cell r="T47">
            <v>107.82844446193761</v>
          </cell>
          <cell r="U47">
            <v>95.884553714591121</v>
          </cell>
          <cell r="V47">
            <v>95.858686731724745</v>
          </cell>
          <cell r="W47">
            <v>100.79243353783231</v>
          </cell>
          <cell r="X47">
            <v>89.192231916690119</v>
          </cell>
          <cell r="Y47">
            <v>107.0977616223455</v>
          </cell>
          <cell r="Z47">
            <v>89.544520972299736</v>
          </cell>
          <cell r="AA47">
            <v>112.74509803921569</v>
          </cell>
          <cell r="AB47">
            <v>88.822246455834247</v>
          </cell>
          <cell r="AC47">
            <v>101.07823300751591</v>
          </cell>
          <cell r="AD47">
            <v>94.134259400128713</v>
          </cell>
          <cell r="AF47">
            <v>99.273268796943952</v>
          </cell>
          <cell r="AG47">
            <v>97.606246203822309</v>
          </cell>
        </row>
        <row r="48">
          <cell r="A48">
            <v>40224</v>
          </cell>
          <cell r="B48">
            <v>13.139564500000001</v>
          </cell>
          <cell r="C48">
            <v>56.07</v>
          </cell>
          <cell r="D48">
            <v>60.222225000000002</v>
          </cell>
          <cell r="E48">
            <v>29.477779999999999</v>
          </cell>
          <cell r="F48">
            <v>71.760000000000005</v>
          </cell>
          <cell r="G48">
            <v>0.99002889999999999</v>
          </cell>
          <cell r="H48">
            <v>19.715</v>
          </cell>
          <cell r="I48">
            <v>31.69</v>
          </cell>
          <cell r="J48">
            <v>27.99</v>
          </cell>
          <cell r="K48">
            <v>4.0829659999999999</v>
          </cell>
          <cell r="L48">
            <v>2.2999999999999998</v>
          </cell>
          <cell r="M48">
            <v>16.29</v>
          </cell>
          <cell r="N48">
            <v>8.2613129999999995</v>
          </cell>
          <cell r="O48">
            <v>9.9307529999999993</v>
          </cell>
          <cell r="Q48">
            <v>95.055743830603618</v>
          </cell>
          <cell r="R48">
            <v>92.861874792977801</v>
          </cell>
          <cell r="S48">
            <v>115.59562948727498</v>
          </cell>
          <cell r="T48">
            <v>107.82844446193761</v>
          </cell>
          <cell r="U48">
            <v>95.884553714591121</v>
          </cell>
          <cell r="V48">
            <v>95.858686731724745</v>
          </cell>
          <cell r="W48">
            <v>100.79243353783231</v>
          </cell>
          <cell r="X48">
            <v>89.192231916690119</v>
          </cell>
          <cell r="Y48">
            <v>107.0977616223455</v>
          </cell>
          <cell r="Z48">
            <v>89.544520972299736</v>
          </cell>
          <cell r="AA48">
            <v>112.74509803921569</v>
          </cell>
          <cell r="AB48">
            <v>88.822246455834247</v>
          </cell>
          <cell r="AC48">
            <v>101.07823300751591</v>
          </cell>
          <cell r="AD48">
            <v>94.134259400128713</v>
          </cell>
          <cell r="AF48">
            <v>99.273268796943952</v>
          </cell>
          <cell r="AG48">
            <v>97.606246203822309</v>
          </cell>
        </row>
        <row r="49">
          <cell r="A49">
            <v>40225</v>
          </cell>
          <cell r="B49">
            <v>12.910726</v>
          </cell>
          <cell r="C49">
            <v>56.69</v>
          </cell>
          <cell r="D49">
            <v>58.390120000000003</v>
          </cell>
          <cell r="E49">
            <v>28.962387</v>
          </cell>
          <cell r="F49">
            <v>72.430000000000007</v>
          </cell>
          <cell r="G49">
            <v>0.99587420000000004</v>
          </cell>
          <cell r="H49">
            <v>19.79</v>
          </cell>
          <cell r="I49">
            <v>32.17</v>
          </cell>
          <cell r="J49">
            <v>27.725000000000001</v>
          </cell>
          <cell r="K49">
            <v>3.8543503000000001</v>
          </cell>
          <cell r="L49">
            <v>2.25</v>
          </cell>
          <cell r="M49">
            <v>16.079999999999998</v>
          </cell>
          <cell r="N49">
            <v>8.3437249999999992</v>
          </cell>
          <cell r="O49">
            <v>10.029819</v>
          </cell>
          <cell r="Q49">
            <v>93.400254119770381</v>
          </cell>
          <cell r="R49">
            <v>93.88870486916197</v>
          </cell>
          <cell r="S49">
            <v>112.07893227521109</v>
          </cell>
          <cell r="T49">
            <v>105.94315915630837</v>
          </cell>
          <cell r="U49">
            <v>96.779796900053455</v>
          </cell>
          <cell r="V49">
            <v>96.424652817717742</v>
          </cell>
          <cell r="W49">
            <v>101.1758691206544</v>
          </cell>
          <cell r="X49">
            <v>90.543202927103863</v>
          </cell>
          <cell r="Y49">
            <v>106.08379567629615</v>
          </cell>
          <cell r="Z49">
            <v>84.530694419924103</v>
          </cell>
          <cell r="AA49">
            <v>110.29411764705883</v>
          </cell>
          <cell r="AB49">
            <v>87.677208287895297</v>
          </cell>
          <cell r="AC49">
            <v>102.0865544860285</v>
          </cell>
          <cell r="AD49">
            <v>95.073312515409413</v>
          </cell>
          <cell r="AF49">
            <v>98.235032351429638</v>
          </cell>
          <cell r="AG49">
            <v>98.579933500718965</v>
          </cell>
        </row>
        <row r="50">
          <cell r="A50">
            <v>40226</v>
          </cell>
          <cell r="B50">
            <v>12.764614</v>
          </cell>
          <cell r="C50">
            <v>57.39</v>
          </cell>
          <cell r="D50">
            <v>58.111378000000002</v>
          </cell>
          <cell r="E50">
            <v>28.923618000000001</v>
          </cell>
          <cell r="F50">
            <v>73.150000000000006</v>
          </cell>
          <cell r="G50">
            <v>0.96745510000000001</v>
          </cell>
          <cell r="H50">
            <v>19.899999999999999</v>
          </cell>
          <cell r="I50">
            <v>32.6</v>
          </cell>
          <cell r="J50">
            <v>27.895</v>
          </cell>
          <cell r="K50">
            <v>3.9220383000000001</v>
          </cell>
          <cell r="L50">
            <v>2.2400000000000002</v>
          </cell>
          <cell r="M50">
            <v>15.92</v>
          </cell>
          <cell r="N50">
            <v>8.4937249999999995</v>
          </cell>
          <cell r="O50">
            <v>10.344920999999999</v>
          </cell>
          <cell r="Q50">
            <v>92.343233939034775</v>
          </cell>
          <cell r="R50">
            <v>95.048029148724737</v>
          </cell>
          <cell r="S50">
            <v>111.54389131725009</v>
          </cell>
          <cell r="T50">
            <v>105.80134383088887</v>
          </cell>
          <cell r="U50">
            <v>97.74184927846072</v>
          </cell>
          <cell r="V50">
            <v>93.672998190163369</v>
          </cell>
          <cell r="W50">
            <v>101.73824130879345</v>
          </cell>
          <cell r="X50">
            <v>91.753447790599495</v>
          </cell>
          <cell r="Y50">
            <v>106.73426439640328</v>
          </cell>
          <cell r="Z50">
            <v>86.015176420404387</v>
          </cell>
          <cell r="AA50">
            <v>109.80392156862746</v>
          </cell>
          <cell r="AB50">
            <v>86.804798255179932</v>
          </cell>
          <cell r="AC50">
            <v>103.92182388583547</v>
          </cell>
          <cell r="AD50">
            <v>98.060185052214962</v>
          </cell>
          <cell r="AF50">
            <v>98.250099620377554</v>
          </cell>
          <cell r="AG50">
            <v>100.99100446902521</v>
          </cell>
        </row>
        <row r="51">
          <cell r="A51">
            <v>40227</v>
          </cell>
          <cell r="B51">
            <v>12.779724999999999</v>
          </cell>
          <cell r="C51">
            <v>57.7</v>
          </cell>
          <cell r="D51">
            <v>57.827618000000001</v>
          </cell>
          <cell r="E51">
            <v>29.133686000000001</v>
          </cell>
          <cell r="F51">
            <v>73.12</v>
          </cell>
          <cell r="G51">
            <v>0.95268565000000005</v>
          </cell>
          <cell r="H51">
            <v>19.899999999999999</v>
          </cell>
          <cell r="I51">
            <v>32.799999999999997</v>
          </cell>
          <cell r="J51">
            <v>28.715</v>
          </cell>
          <cell r="K51">
            <v>3.9655</v>
          </cell>
          <cell r="L51">
            <v>2.2000000000000002</v>
          </cell>
          <cell r="M51">
            <v>16.13</v>
          </cell>
          <cell r="N51">
            <v>8.6987559999999995</v>
          </cell>
          <cell r="O51">
            <v>10.928361000000001</v>
          </cell>
          <cell r="Q51">
            <v>92.452551667565587</v>
          </cell>
          <cell r="R51">
            <v>95.561444186816829</v>
          </cell>
          <cell r="S51">
            <v>110.99921838589776</v>
          </cell>
          <cell r="T51">
            <v>106.56976349041649</v>
          </cell>
          <cell r="U51">
            <v>97.701763762693744</v>
          </cell>
          <cell r="V51">
            <v>92.242959046104176</v>
          </cell>
          <cell r="W51">
            <v>101.73824130879345</v>
          </cell>
          <cell r="X51">
            <v>92.316352378271873</v>
          </cell>
          <cell r="Y51">
            <v>109.87181939927299</v>
          </cell>
          <cell r="Z51">
            <v>86.968345539897868</v>
          </cell>
          <cell r="AA51">
            <v>107.84313725490198</v>
          </cell>
          <cell r="AB51">
            <v>87.949836423118867</v>
          </cell>
          <cell r="AC51">
            <v>106.43040468791428</v>
          </cell>
          <cell r="AD51">
            <v>103.59065110090344</v>
          </cell>
          <cell r="AF51">
            <v>98.517952736979296</v>
          </cell>
          <cell r="AG51">
            <v>105.01052789440885</v>
          </cell>
        </row>
        <row r="52">
          <cell r="A52">
            <v>40228</v>
          </cell>
          <cell r="B52">
            <v>12.799215999999999</v>
          </cell>
          <cell r="C52">
            <v>57.5</v>
          </cell>
          <cell r="D52">
            <v>56.639670000000002</v>
          </cell>
          <cell r="E52">
            <v>28.591618</v>
          </cell>
          <cell r="F52">
            <v>73.98</v>
          </cell>
          <cell r="G52">
            <v>0.94803499999999996</v>
          </cell>
          <cell r="H52">
            <v>19.91</v>
          </cell>
          <cell r="I52">
            <v>32.53</v>
          </cell>
          <cell r="J52">
            <v>28.734999999999999</v>
          </cell>
          <cell r="K52">
            <v>3.8344019999999999</v>
          </cell>
          <cell r="L52">
            <v>2.15</v>
          </cell>
          <cell r="M52">
            <v>16.38</v>
          </cell>
          <cell r="N52">
            <v>8.8241790000000009</v>
          </cell>
          <cell r="O52">
            <v>10.986102000000001</v>
          </cell>
          <cell r="Q52">
            <v>92.59355569422128</v>
          </cell>
          <cell r="R52">
            <v>95.230208678370317</v>
          </cell>
          <cell r="S52">
            <v>108.71897057276649</v>
          </cell>
          <cell r="T52">
            <v>104.586902188358</v>
          </cell>
          <cell r="U52">
            <v>98.850881881346879</v>
          </cell>
          <cell r="V52">
            <v>91.792663906791674</v>
          </cell>
          <cell r="W52">
            <v>101.78936605316974</v>
          </cell>
          <cell r="X52">
            <v>91.55643118491416</v>
          </cell>
          <cell r="Y52">
            <v>109.94834513105032</v>
          </cell>
          <cell r="Z52">
            <v>84.093203398026844</v>
          </cell>
          <cell r="AA52">
            <v>105.3921568627451</v>
          </cell>
          <cell r="AB52">
            <v>89.312977099236633</v>
          </cell>
          <cell r="AC52">
            <v>107.96497131412752</v>
          </cell>
          <cell r="AD52">
            <v>104.13798182919996</v>
          </cell>
          <cell r="AF52">
            <v>97.822138554249776</v>
          </cell>
          <cell r="AG52">
            <v>106.05147657166374</v>
          </cell>
        </row>
        <row r="53">
          <cell r="A53">
            <v>40229</v>
          </cell>
          <cell r="B53">
            <v>12.799215999999999</v>
          </cell>
          <cell r="C53">
            <v>57.5</v>
          </cell>
          <cell r="D53">
            <v>56.639670000000002</v>
          </cell>
          <cell r="E53">
            <v>28.591618</v>
          </cell>
          <cell r="F53">
            <v>73.98</v>
          </cell>
          <cell r="G53">
            <v>0.94803499999999996</v>
          </cell>
          <cell r="H53">
            <v>19.91</v>
          </cell>
          <cell r="I53">
            <v>32.53</v>
          </cell>
          <cell r="J53">
            <v>28.734999999999999</v>
          </cell>
          <cell r="K53">
            <v>3.8344019999999999</v>
          </cell>
          <cell r="L53">
            <v>2.15</v>
          </cell>
          <cell r="M53">
            <v>16.38</v>
          </cell>
          <cell r="N53">
            <v>8.8241790000000009</v>
          </cell>
          <cell r="O53">
            <v>10.986102000000001</v>
          </cell>
          <cell r="Q53">
            <v>92.59355569422128</v>
          </cell>
          <cell r="R53">
            <v>95.230208678370317</v>
          </cell>
          <cell r="S53">
            <v>108.71897057276649</v>
          </cell>
          <cell r="T53">
            <v>104.586902188358</v>
          </cell>
          <cell r="U53">
            <v>98.850881881346879</v>
          </cell>
          <cell r="V53">
            <v>91.792663906791674</v>
          </cell>
          <cell r="W53">
            <v>101.78936605316974</v>
          </cell>
          <cell r="X53">
            <v>91.55643118491416</v>
          </cell>
          <cell r="Y53">
            <v>109.94834513105032</v>
          </cell>
          <cell r="Z53">
            <v>84.093203398026844</v>
          </cell>
          <cell r="AA53">
            <v>105.3921568627451</v>
          </cell>
          <cell r="AB53">
            <v>89.312977099236633</v>
          </cell>
          <cell r="AC53">
            <v>107.96497131412752</v>
          </cell>
          <cell r="AD53">
            <v>104.13798182919996</v>
          </cell>
          <cell r="AF53">
            <v>97.822138554249776</v>
          </cell>
          <cell r="AG53">
            <v>106.05147657166374</v>
          </cell>
        </row>
        <row r="54">
          <cell r="A54">
            <v>40230</v>
          </cell>
          <cell r="B54">
            <v>12.799215999999999</v>
          </cell>
          <cell r="C54">
            <v>57.5</v>
          </cell>
          <cell r="D54">
            <v>56.639670000000002</v>
          </cell>
          <cell r="E54">
            <v>28.591618</v>
          </cell>
          <cell r="F54">
            <v>73.98</v>
          </cell>
          <cell r="G54">
            <v>0.94803499999999996</v>
          </cell>
          <cell r="H54">
            <v>19.91</v>
          </cell>
          <cell r="I54">
            <v>32.53</v>
          </cell>
          <cell r="J54">
            <v>28.734999999999999</v>
          </cell>
          <cell r="K54">
            <v>3.8344019999999999</v>
          </cell>
          <cell r="L54">
            <v>2.15</v>
          </cell>
          <cell r="M54">
            <v>16.38</v>
          </cell>
          <cell r="N54">
            <v>8.8241790000000009</v>
          </cell>
          <cell r="O54">
            <v>10.986102000000001</v>
          </cell>
          <cell r="Q54">
            <v>92.59355569422128</v>
          </cell>
          <cell r="R54">
            <v>95.230208678370317</v>
          </cell>
          <cell r="S54">
            <v>108.71897057276649</v>
          </cell>
          <cell r="T54">
            <v>104.586902188358</v>
          </cell>
          <cell r="U54">
            <v>98.850881881346879</v>
          </cell>
          <cell r="V54">
            <v>91.792663906791674</v>
          </cell>
          <cell r="W54">
            <v>101.78936605316974</v>
          </cell>
          <cell r="X54">
            <v>91.55643118491416</v>
          </cell>
          <cell r="Y54">
            <v>109.94834513105032</v>
          </cell>
          <cell r="Z54">
            <v>84.093203398026844</v>
          </cell>
          <cell r="AA54">
            <v>105.3921568627451</v>
          </cell>
          <cell r="AB54">
            <v>89.312977099236633</v>
          </cell>
          <cell r="AC54">
            <v>107.96497131412752</v>
          </cell>
          <cell r="AD54">
            <v>104.13798182919996</v>
          </cell>
          <cell r="AF54">
            <v>97.822138554249776</v>
          </cell>
          <cell r="AG54">
            <v>106.05147657166374</v>
          </cell>
        </row>
        <row r="55">
          <cell r="A55">
            <v>40231</v>
          </cell>
          <cell r="B55">
            <v>13.033754</v>
          </cell>
          <cell r="C55">
            <v>57.37</v>
          </cell>
          <cell r="D55">
            <v>58.026653000000003</v>
          </cell>
          <cell r="E55">
            <v>29.024296</v>
          </cell>
          <cell r="F55">
            <v>73.97</v>
          </cell>
          <cell r="G55">
            <v>0.95829629999999999</v>
          </cell>
          <cell r="H55">
            <v>19.72</v>
          </cell>
          <cell r="I55">
            <v>32.479999999999997</v>
          </cell>
          <cell r="J55">
            <v>28.975000000000001</v>
          </cell>
          <cell r="K55">
            <v>3.8678499999999998</v>
          </cell>
          <cell r="L55">
            <v>2.21</v>
          </cell>
          <cell r="M55">
            <v>16.170000000000002</v>
          </cell>
          <cell r="N55">
            <v>8.5864159999999998</v>
          </cell>
          <cell r="O55">
            <v>10.900055</v>
          </cell>
          <cell r="Q55">
            <v>94.29027738134738</v>
          </cell>
          <cell r="R55">
            <v>95.014905597880087</v>
          </cell>
          <cell r="S55">
            <v>111.38126299011158</v>
          </cell>
          <cell r="T55">
            <v>106.16961960102959</v>
          </cell>
          <cell r="U55">
            <v>98.837520042757873</v>
          </cell>
          <cell r="V55">
            <v>92.786205350036667</v>
          </cell>
          <cell r="W55">
            <v>100.81799591002046</v>
          </cell>
          <cell r="X55">
            <v>91.415705037996048</v>
          </cell>
          <cell r="Y55">
            <v>110.86665391237804</v>
          </cell>
          <cell r="Z55">
            <v>84.826759625896841</v>
          </cell>
          <cell r="AA55">
            <v>108.33333333333333</v>
          </cell>
          <cell r="AB55">
            <v>88.167938931297712</v>
          </cell>
          <cell r="AC55">
            <v>105.05591025875218</v>
          </cell>
          <cell r="AD55">
            <v>103.32233666930091</v>
          </cell>
          <cell r="AF55">
            <v>98.575681476173784</v>
          </cell>
          <cell r="AG55">
            <v>104.18912346402655</v>
          </cell>
        </row>
        <row r="56">
          <cell r="A56">
            <v>40232</v>
          </cell>
          <cell r="B56">
            <v>12.725329</v>
          </cell>
          <cell r="C56">
            <v>56.7</v>
          </cell>
          <cell r="D56">
            <v>58.869183</v>
          </cell>
          <cell r="E56">
            <v>29.212862000000001</v>
          </cell>
          <cell r="F56">
            <v>73.400000000000006</v>
          </cell>
          <cell r="G56">
            <v>0.97820306000000001</v>
          </cell>
          <cell r="H56">
            <v>20.13</v>
          </cell>
          <cell r="I56">
            <v>31.91</v>
          </cell>
          <cell r="J56">
            <v>28.47</v>
          </cell>
          <cell r="K56">
            <v>3.7996756999999999</v>
          </cell>
          <cell r="L56">
            <v>2.19</v>
          </cell>
          <cell r="M56">
            <v>15.7</v>
          </cell>
          <cell r="N56">
            <v>8.3424809999999994</v>
          </cell>
          <cell r="O56">
            <v>10.592755</v>
          </cell>
          <cell r="Q56">
            <v>92.059033888387333</v>
          </cell>
          <cell r="R56">
            <v>93.905266644584302</v>
          </cell>
          <cell r="S56">
            <v>112.99848629449652</v>
          </cell>
          <cell r="T56">
            <v>106.85938587441956</v>
          </cell>
          <cell r="U56">
            <v>98.075895243185457</v>
          </cell>
          <cell r="V56">
            <v>94.713660064422911</v>
          </cell>
          <cell r="W56">
            <v>102.91411042944785</v>
          </cell>
          <cell r="X56">
            <v>89.811426963129747</v>
          </cell>
          <cell r="Y56">
            <v>108.93437918500095</v>
          </cell>
          <cell r="Z56">
            <v>83.331612461771101</v>
          </cell>
          <cell r="AA56">
            <v>107.35294117647058</v>
          </cell>
          <cell r="AB56">
            <v>85.605234460196286</v>
          </cell>
          <cell r="AC56">
            <v>102.07133398513943</v>
          </cell>
          <cell r="AD56">
            <v>100.40941980250746</v>
          </cell>
          <cell r="AF56">
            <v>98.046786057126042</v>
          </cell>
          <cell r="AG56">
            <v>101.24037689382345</v>
          </cell>
        </row>
        <row r="57">
          <cell r="A57">
            <v>40233</v>
          </cell>
          <cell r="B57">
            <v>12.342031</v>
          </cell>
          <cell r="C57">
            <v>56.82</v>
          </cell>
          <cell r="D57">
            <v>58.594616000000002</v>
          </cell>
          <cell r="E57">
            <v>29.097173999999999</v>
          </cell>
          <cell r="F57">
            <v>73.5</v>
          </cell>
          <cell r="G57">
            <v>0.96563476000000004</v>
          </cell>
          <cell r="H57">
            <v>20.395</v>
          </cell>
          <cell r="I57">
            <v>32.479999999999997</v>
          </cell>
          <cell r="J57">
            <v>28.76</v>
          </cell>
          <cell r="K57">
            <v>3.8099314999999998</v>
          </cell>
          <cell r="L57">
            <v>2.2000000000000002</v>
          </cell>
          <cell r="M57">
            <v>15.44</v>
          </cell>
          <cell r="N57">
            <v>8.3537130000000008</v>
          </cell>
          <cell r="O57">
            <v>10.799372999999999</v>
          </cell>
          <cell r="Q57">
            <v>89.286135555357902</v>
          </cell>
          <cell r="R57">
            <v>94.1040079496522</v>
          </cell>
          <cell r="S57">
            <v>112.47145918446478</v>
          </cell>
          <cell r="T57">
            <v>106.43620417339213</v>
          </cell>
          <cell r="U57">
            <v>98.209513629075346</v>
          </cell>
          <cell r="V57">
            <v>93.49674535370049</v>
          </cell>
          <cell r="W57">
            <v>104.26891615541922</v>
          </cell>
          <cell r="X57">
            <v>91.415705037996048</v>
          </cell>
          <cell r="Y57">
            <v>110.04400229577196</v>
          </cell>
          <cell r="Z57">
            <v>83.556534907411759</v>
          </cell>
          <cell r="AA57">
            <v>107.84313725490198</v>
          </cell>
          <cell r="AB57">
            <v>84.187568157033795</v>
          </cell>
          <cell r="AC57">
            <v>102.208758957797</v>
          </cell>
          <cell r="AD57">
            <v>102.36796538396899</v>
          </cell>
          <cell r="AF57">
            <v>97.943327471181476</v>
          </cell>
          <cell r="AG57">
            <v>102.288362170883</v>
          </cell>
        </row>
        <row r="58">
          <cell r="A58">
            <v>40234</v>
          </cell>
          <cell r="B58">
            <v>11.932708999999999</v>
          </cell>
          <cell r="C58">
            <v>56.69</v>
          </cell>
          <cell r="D58">
            <v>59.041836000000004</v>
          </cell>
          <cell r="E58">
            <v>30.083221000000002</v>
          </cell>
          <cell r="F58">
            <v>73.13</v>
          </cell>
          <cell r="G58">
            <v>0.97841120000000004</v>
          </cell>
          <cell r="H58">
            <v>20.225000000000001</v>
          </cell>
          <cell r="I58">
            <v>32.18</v>
          </cell>
          <cell r="J58">
            <v>28.77</v>
          </cell>
          <cell r="K58">
            <v>3.7008177999999998</v>
          </cell>
          <cell r="L58">
            <v>2.1</v>
          </cell>
          <cell r="M58">
            <v>15.07</v>
          </cell>
          <cell r="N58">
            <v>8.0636379999999992</v>
          </cell>
          <cell r="O58">
            <v>10.488177</v>
          </cell>
          <cell r="Q58">
            <v>86.324971418127134</v>
          </cell>
          <cell r="R58">
            <v>93.88870486916197</v>
          </cell>
          <cell r="S58">
            <v>113.32989105773579</v>
          </cell>
          <cell r="T58">
            <v>110.04312145740607</v>
          </cell>
          <cell r="U58">
            <v>97.715125601282722</v>
          </cell>
          <cell r="V58">
            <v>94.733813038802083</v>
          </cell>
          <cell r="W58">
            <v>103.39979550102252</v>
          </cell>
          <cell r="X58">
            <v>90.571348156487474</v>
          </cell>
          <cell r="Y58">
            <v>110.0822651616606</v>
          </cell>
          <cell r="Z58">
            <v>81.163535798916811</v>
          </cell>
          <cell r="AA58">
            <v>102.94117647058825</v>
          </cell>
          <cell r="AB58">
            <v>82.170119956379509</v>
          </cell>
          <cell r="AC58">
            <v>98.65965381680364</v>
          </cell>
          <cell r="AD58">
            <v>99.418118077497624</v>
          </cell>
          <cell r="AF58">
            <v>97.19698904063091</v>
          </cell>
          <cell r="AG58">
            <v>99.038885947150632</v>
          </cell>
        </row>
        <row r="59">
          <cell r="A59">
            <v>40235</v>
          </cell>
          <cell r="B59">
            <v>12.134026</v>
          </cell>
          <cell r="C59">
            <v>56.75</v>
          </cell>
          <cell r="D59">
            <v>59.415970000000002</v>
          </cell>
          <cell r="E59">
            <v>30.270636</v>
          </cell>
          <cell r="F59">
            <v>73.31</v>
          </cell>
          <cell r="G59">
            <v>0.96748953999999998</v>
          </cell>
          <cell r="H59">
            <v>19.805</v>
          </cell>
          <cell r="I59">
            <v>32.549999999999997</v>
          </cell>
          <cell r="J59">
            <v>28.54</v>
          </cell>
          <cell r="K59">
            <v>3.8148303000000001</v>
          </cell>
          <cell r="L59">
            <v>2.13</v>
          </cell>
          <cell r="M59">
            <v>15.02</v>
          </cell>
          <cell r="N59">
            <v>8.1813149999999997</v>
          </cell>
          <cell r="O59">
            <v>11.050303</v>
          </cell>
          <cell r="Q59">
            <v>87.781361938585093</v>
          </cell>
          <cell r="R59">
            <v>93.988075521695919</v>
          </cell>
          <cell r="S59">
            <v>114.04803548435889</v>
          </cell>
          <cell r="T59">
            <v>110.72867742257148</v>
          </cell>
          <cell r="U59">
            <v>97.955638695884545</v>
          </cell>
          <cell r="V59">
            <v>93.676332813194108</v>
          </cell>
          <cell r="W59">
            <v>101.25255623721883</v>
          </cell>
          <cell r="X59">
            <v>91.612721643681382</v>
          </cell>
          <cell r="Y59">
            <v>109.20221924622153</v>
          </cell>
          <cell r="Z59">
            <v>83.663971682378573</v>
          </cell>
          <cell r="AA59">
            <v>104.41176470588233</v>
          </cell>
          <cell r="AB59">
            <v>81.897491821155938</v>
          </cell>
          <cell r="AC59">
            <v>100.09944713121087</v>
          </cell>
          <cell r="AD59">
            <v>104.74654732143883</v>
          </cell>
          <cell r="AF59">
            <v>97.518237267735728</v>
          </cell>
          <cell r="AG59">
            <v>102.42299722632484</v>
          </cell>
        </row>
        <row r="60">
          <cell r="A60">
            <v>40236</v>
          </cell>
          <cell r="B60">
            <v>12.134026</v>
          </cell>
          <cell r="C60">
            <v>56.75</v>
          </cell>
          <cell r="D60">
            <v>59.415970000000002</v>
          </cell>
          <cell r="E60">
            <v>30.270636</v>
          </cell>
          <cell r="F60">
            <v>73.31</v>
          </cell>
          <cell r="G60">
            <v>0.96748953999999998</v>
          </cell>
          <cell r="H60">
            <v>19.805</v>
          </cell>
          <cell r="I60">
            <v>32.549999999999997</v>
          </cell>
          <cell r="J60">
            <v>28.54</v>
          </cell>
          <cell r="K60">
            <v>3.8148303000000001</v>
          </cell>
          <cell r="L60">
            <v>2.13</v>
          </cell>
          <cell r="M60">
            <v>15.02</v>
          </cell>
          <cell r="N60">
            <v>8.1813149999999997</v>
          </cell>
          <cell r="O60">
            <v>11.050303</v>
          </cell>
          <cell r="Q60">
            <v>87.781361938585093</v>
          </cell>
          <cell r="R60">
            <v>93.988075521695919</v>
          </cell>
          <cell r="S60">
            <v>114.04803548435889</v>
          </cell>
          <cell r="T60">
            <v>110.72867742257148</v>
          </cell>
          <cell r="U60">
            <v>97.955638695884545</v>
          </cell>
          <cell r="V60">
            <v>93.676332813194108</v>
          </cell>
          <cell r="W60">
            <v>101.25255623721883</v>
          </cell>
          <cell r="X60">
            <v>91.612721643681382</v>
          </cell>
          <cell r="Y60">
            <v>109.20221924622153</v>
          </cell>
          <cell r="Z60">
            <v>83.663971682378573</v>
          </cell>
          <cell r="AA60">
            <v>104.41176470588233</v>
          </cell>
          <cell r="AB60">
            <v>81.897491821155938</v>
          </cell>
          <cell r="AC60">
            <v>100.09944713121087</v>
          </cell>
          <cell r="AD60">
            <v>104.74654732143883</v>
          </cell>
          <cell r="AF60">
            <v>97.518237267735728</v>
          </cell>
          <cell r="AG60">
            <v>102.42299722632484</v>
          </cell>
        </row>
        <row r="61">
          <cell r="A61">
            <v>40237</v>
          </cell>
          <cell r="B61">
            <v>12.134026</v>
          </cell>
          <cell r="C61">
            <v>56.75</v>
          </cell>
          <cell r="D61">
            <v>59.415970000000002</v>
          </cell>
          <cell r="E61">
            <v>30.270636</v>
          </cell>
          <cell r="F61">
            <v>73.31</v>
          </cell>
          <cell r="G61">
            <v>0.96748953999999998</v>
          </cell>
          <cell r="H61">
            <v>19.805</v>
          </cell>
          <cell r="I61">
            <v>32.549999999999997</v>
          </cell>
          <cell r="J61">
            <v>28.54</v>
          </cell>
          <cell r="K61">
            <v>3.8148303000000001</v>
          </cell>
          <cell r="L61">
            <v>2.13</v>
          </cell>
          <cell r="M61">
            <v>15.02</v>
          </cell>
          <cell r="N61">
            <v>8.1813149999999997</v>
          </cell>
          <cell r="O61">
            <v>11.050303</v>
          </cell>
          <cell r="Q61">
            <v>87.781361938585093</v>
          </cell>
          <cell r="R61">
            <v>93.988075521695919</v>
          </cell>
          <cell r="S61">
            <v>114.04803548435889</v>
          </cell>
          <cell r="T61">
            <v>110.72867742257148</v>
          </cell>
          <cell r="U61">
            <v>97.955638695884545</v>
          </cell>
          <cell r="V61">
            <v>93.676332813194108</v>
          </cell>
          <cell r="W61">
            <v>101.25255623721883</v>
          </cell>
          <cell r="X61">
            <v>91.612721643681382</v>
          </cell>
          <cell r="Y61">
            <v>109.20221924622153</v>
          </cell>
          <cell r="Z61">
            <v>83.663971682378573</v>
          </cell>
          <cell r="AA61">
            <v>104.41176470588233</v>
          </cell>
          <cell r="AB61">
            <v>81.897491821155938</v>
          </cell>
          <cell r="AC61">
            <v>100.09944713121087</v>
          </cell>
          <cell r="AD61">
            <v>104.74654732143883</v>
          </cell>
          <cell r="AF61">
            <v>97.518237267735728</v>
          </cell>
          <cell r="AG61">
            <v>102.42299722632484</v>
          </cell>
        </row>
        <row r="62">
          <cell r="A62">
            <v>40238</v>
          </cell>
          <cell r="B62">
            <v>12.315616</v>
          </cell>
          <cell r="C62">
            <v>56.84</v>
          </cell>
          <cell r="D62">
            <v>58.955143</v>
          </cell>
          <cell r="E62">
            <v>29.734870000000001</v>
          </cell>
          <cell r="F62">
            <v>74.19</v>
          </cell>
          <cell r="G62">
            <v>0.99541396000000004</v>
          </cell>
          <cell r="H62">
            <v>20.645</v>
          </cell>
          <cell r="I62">
            <v>31.5</v>
          </cell>
          <cell r="J62">
            <v>29.085000000000001</v>
          </cell>
          <cell r="K62">
            <v>3.8654853999999998</v>
          </cell>
          <cell r="L62">
            <v>2.11</v>
          </cell>
          <cell r="M62">
            <v>15.1</v>
          </cell>
          <cell r="N62">
            <v>8.4384200000000007</v>
          </cell>
          <cell r="O62">
            <v>10.682740000000001</v>
          </cell>
          <cell r="Q62">
            <v>89.095041134132188</v>
          </cell>
          <cell r="R62">
            <v>94.137131500496849</v>
          </cell>
          <cell r="S62">
            <v>113.16348518503445</v>
          </cell>
          <cell r="T62">
            <v>108.76886856398056</v>
          </cell>
          <cell r="U62">
            <v>99.131480491715649</v>
          </cell>
          <cell r="V62">
            <v>96.380090480212829</v>
          </cell>
          <cell r="W62">
            <v>105.54703476482618</v>
          </cell>
          <cell r="X62">
            <v>88.657472558401352</v>
          </cell>
          <cell r="Y62">
            <v>111.28754543715324</v>
          </cell>
          <cell r="Z62">
            <v>84.774901007850275</v>
          </cell>
          <cell r="AA62">
            <v>103.4313725490196</v>
          </cell>
          <cell r="AB62">
            <v>82.333696837513628</v>
          </cell>
          <cell r="AC62">
            <v>103.24516005812666</v>
          </cell>
          <cell r="AD62">
            <v>101.26239352284072</v>
          </cell>
          <cell r="AF62">
            <v>98.059010042528072</v>
          </cell>
          <cell r="AG62">
            <v>102.2537767904837</v>
          </cell>
        </row>
        <row r="63">
          <cell r="A63">
            <v>40239</v>
          </cell>
          <cell r="B63">
            <v>12.193873999999999</v>
          </cell>
          <cell r="C63">
            <v>56.65</v>
          </cell>
          <cell r="D63">
            <v>59.305855000000001</v>
          </cell>
          <cell r="E63">
            <v>29.686624999999999</v>
          </cell>
          <cell r="F63">
            <v>74.650000000000006</v>
          </cell>
          <cell r="G63">
            <v>1.018591</v>
          </cell>
          <cell r="H63">
            <v>20.984999999999999</v>
          </cell>
          <cell r="I63">
            <v>32.4</v>
          </cell>
          <cell r="J63">
            <v>29.45</v>
          </cell>
          <cell r="K63">
            <v>3.8749422999999998</v>
          </cell>
          <cell r="L63">
            <v>2.16</v>
          </cell>
          <cell r="M63">
            <v>15.35</v>
          </cell>
          <cell r="N63">
            <v>8.6136759999999999</v>
          </cell>
          <cell r="O63">
            <v>10.6338215</v>
          </cell>
          <cell r="Q63">
            <v>88.214321201182713</v>
          </cell>
          <cell r="R63">
            <v>93.82245776747267</v>
          </cell>
          <cell r="S63">
            <v>113.8366714449035</v>
          </cell>
          <cell r="T63">
            <v>108.59239044035436</v>
          </cell>
          <cell r="U63">
            <v>99.746125066809199</v>
          </cell>
          <cell r="V63">
            <v>98.62418720984229</v>
          </cell>
          <cell r="W63">
            <v>107.28527607361964</v>
          </cell>
          <cell r="X63">
            <v>91.190543202927103</v>
          </cell>
          <cell r="Y63">
            <v>112.68414004208915</v>
          </cell>
          <cell r="Z63">
            <v>84.982302583171503</v>
          </cell>
          <cell r="AA63">
            <v>105.88235294117648</v>
          </cell>
          <cell r="AB63">
            <v>83.696837513631408</v>
          </cell>
          <cell r="AC63">
            <v>105.38943988434377</v>
          </cell>
          <cell r="AD63">
            <v>100.79869185102739</v>
          </cell>
          <cell r="AF63">
            <v>99.046467123931677</v>
          </cell>
          <cell r="AG63">
            <v>103.09406586768557</v>
          </cell>
        </row>
        <row r="64">
          <cell r="A64">
            <v>40240</v>
          </cell>
          <cell r="B64">
            <v>11.95722</v>
          </cell>
          <cell r="C64">
            <v>55.83</v>
          </cell>
          <cell r="D64">
            <v>61.109229999999997</v>
          </cell>
          <cell r="E64">
            <v>30.046312</v>
          </cell>
          <cell r="F64">
            <v>73.28</v>
          </cell>
          <cell r="G64">
            <v>1.0214650999999999</v>
          </cell>
          <cell r="H64">
            <v>20.605</v>
          </cell>
          <cell r="I64">
            <v>31.63</v>
          </cell>
          <cell r="J64">
            <v>29.63</v>
          </cell>
          <cell r="K64">
            <v>3.7683360000000001</v>
          </cell>
          <cell r="L64">
            <v>2.1800000000000002</v>
          </cell>
          <cell r="M64">
            <v>15.98</v>
          </cell>
          <cell r="N64">
            <v>8.5127930000000003</v>
          </cell>
          <cell r="O64">
            <v>10.683161</v>
          </cell>
          <cell r="Q64">
            <v>86.502291704277567</v>
          </cell>
          <cell r="R64">
            <v>92.464392182841991</v>
          </cell>
          <cell r="S64">
            <v>117.29822186630712</v>
          </cell>
          <cell r="T64">
            <v>109.90810993155013</v>
          </cell>
          <cell r="U64">
            <v>97.91555318011757</v>
          </cell>
          <cell r="V64">
            <v>98.902469441336379</v>
          </cell>
          <cell r="W64">
            <v>105.34253578732107</v>
          </cell>
          <cell r="X64">
            <v>89.023360540388396</v>
          </cell>
          <cell r="Y64">
            <v>113.37287162808494</v>
          </cell>
          <cell r="Z64">
            <v>82.644293874274766</v>
          </cell>
          <cell r="AA64">
            <v>106.86274509803921</v>
          </cell>
          <cell r="AB64">
            <v>87.131952017448199</v>
          </cell>
          <cell r="AC64">
            <v>104.15512333193892</v>
          </cell>
          <cell r="AD64">
            <v>101.26638420946917</v>
          </cell>
          <cell r="AF64">
            <v>98.947399770998928</v>
          </cell>
          <cell r="AG64">
            <v>102.71075377070404</v>
          </cell>
        </row>
        <row r="65">
          <cell r="A65">
            <v>40241</v>
          </cell>
          <cell r="B65">
            <v>11.825533999999999</v>
          </cell>
          <cell r="C65">
            <v>55.95</v>
          </cell>
          <cell r="D65">
            <v>61.375900000000001</v>
          </cell>
          <cell r="E65">
            <v>30.058454999999999</v>
          </cell>
          <cell r="F65">
            <v>72.59</v>
          </cell>
          <cell r="G65">
            <v>1.0358254</v>
          </cell>
          <cell r="H65">
            <v>21.484999999999999</v>
          </cell>
          <cell r="I65">
            <v>32.07</v>
          </cell>
          <cell r="J65">
            <v>29.545000000000002</v>
          </cell>
          <cell r="K65">
            <v>3.7286906000000002</v>
          </cell>
          <cell r="L65">
            <v>2.21</v>
          </cell>
          <cell r="M65">
            <v>16.3</v>
          </cell>
          <cell r="N65">
            <v>8.4001239999999999</v>
          </cell>
          <cell r="O65">
            <v>10.611857000000001</v>
          </cell>
          <cell r="Q65">
            <v>85.549633746544117</v>
          </cell>
          <cell r="R65">
            <v>92.663133487909903</v>
          </cell>
          <cell r="S65">
            <v>117.81009080697433</v>
          </cell>
          <cell r="T65">
            <v>109.95252850042137</v>
          </cell>
          <cell r="U65">
            <v>96.993586317477281</v>
          </cell>
          <cell r="V65">
            <v>100.29289299268281</v>
          </cell>
          <cell r="W65">
            <v>109.84151329243355</v>
          </cell>
          <cell r="X65">
            <v>90.261750633267653</v>
          </cell>
          <cell r="Y65">
            <v>113.04763726803138</v>
          </cell>
          <cell r="Z65">
            <v>81.774820958812029</v>
          </cell>
          <cell r="AA65">
            <v>108.33333333333333</v>
          </cell>
          <cell r="AB65">
            <v>88.876772082878958</v>
          </cell>
          <cell r="AC65">
            <v>102.77660354522659</v>
          </cell>
          <cell r="AD65">
            <v>100.59048891409057</v>
          </cell>
          <cell r="AF65">
            <v>99.616474451730554</v>
          </cell>
          <cell r="AG65">
            <v>101.68354622965859</v>
          </cell>
        </row>
        <row r="66">
          <cell r="A66">
            <v>40242</v>
          </cell>
          <cell r="B66">
            <v>12.127140000000001</v>
          </cell>
          <cell r="C66">
            <v>56.19</v>
          </cell>
          <cell r="D66">
            <v>60.843640000000001</v>
          </cell>
          <cell r="E66">
            <v>29.781359999999999</v>
          </cell>
          <cell r="F66">
            <v>72.45</v>
          </cell>
          <cell r="G66">
            <v>1.0294907</v>
          </cell>
          <cell r="H66">
            <v>21.945</v>
          </cell>
          <cell r="I66">
            <v>32.880000000000003</v>
          </cell>
          <cell r="J66">
            <v>29.75</v>
          </cell>
          <cell r="K66">
            <v>3.8243640000000001</v>
          </cell>
          <cell r="L66">
            <v>2.29</v>
          </cell>
          <cell r="M66">
            <v>16.440000000000001</v>
          </cell>
          <cell r="N66">
            <v>8.5772940000000002</v>
          </cell>
          <cell r="O66">
            <v>10.827076</v>
          </cell>
          <cell r="Q66">
            <v>87.731546447971411</v>
          </cell>
          <cell r="R66">
            <v>93.060616098045699</v>
          </cell>
          <cell r="S66">
            <v>116.78842596893659</v>
          </cell>
          <cell r="T66">
            <v>108.93892697350242</v>
          </cell>
          <cell r="U66">
            <v>96.806520577231424</v>
          </cell>
          <cell r="V66">
            <v>99.679541177559585</v>
          </cell>
          <cell r="W66">
            <v>112.19325153374233</v>
          </cell>
          <cell r="X66">
            <v>92.541514213340847</v>
          </cell>
          <cell r="Y66">
            <v>113.83202601874881</v>
          </cell>
          <cell r="Z66">
            <v>83.873057577189741</v>
          </cell>
          <cell r="AA66">
            <v>112.25490196078431</v>
          </cell>
          <cell r="AB66">
            <v>89.640130861504915</v>
          </cell>
          <cell r="AC66">
            <v>104.94430140898525</v>
          </cell>
          <cell r="AD66">
            <v>102.63056393899919</v>
          </cell>
          <cell r="AF66">
            <v>100.61170495071319</v>
          </cell>
          <cell r="AG66">
            <v>103.78743267399221</v>
          </cell>
        </row>
        <row r="67">
          <cell r="A67">
            <v>40243</v>
          </cell>
          <cell r="B67">
            <v>12.127140000000001</v>
          </cell>
          <cell r="C67">
            <v>56.19</v>
          </cell>
          <cell r="D67">
            <v>60.843640000000001</v>
          </cell>
          <cell r="E67">
            <v>29.781359999999999</v>
          </cell>
          <cell r="F67">
            <v>72.45</v>
          </cell>
          <cell r="G67">
            <v>1.0294907</v>
          </cell>
          <cell r="H67">
            <v>21.945</v>
          </cell>
          <cell r="I67">
            <v>32.880000000000003</v>
          </cell>
          <cell r="J67">
            <v>29.75</v>
          </cell>
          <cell r="K67">
            <v>3.8243640000000001</v>
          </cell>
          <cell r="L67">
            <v>2.29</v>
          </cell>
          <cell r="M67">
            <v>16.440000000000001</v>
          </cell>
          <cell r="N67">
            <v>8.5772940000000002</v>
          </cell>
          <cell r="O67">
            <v>10.827076</v>
          </cell>
          <cell r="Q67">
            <v>87.731546447971411</v>
          </cell>
          <cell r="R67">
            <v>93.060616098045699</v>
          </cell>
          <cell r="S67">
            <v>116.78842596893659</v>
          </cell>
          <cell r="T67">
            <v>108.93892697350242</v>
          </cell>
          <cell r="U67">
            <v>96.806520577231424</v>
          </cell>
          <cell r="V67">
            <v>99.679541177559585</v>
          </cell>
          <cell r="W67">
            <v>112.19325153374233</v>
          </cell>
          <cell r="X67">
            <v>92.541514213340847</v>
          </cell>
          <cell r="Y67">
            <v>113.83202601874881</v>
          </cell>
          <cell r="Z67">
            <v>83.873057577189741</v>
          </cell>
          <cell r="AA67">
            <v>112.25490196078431</v>
          </cell>
          <cell r="AB67">
            <v>89.640130861504915</v>
          </cell>
          <cell r="AC67">
            <v>104.94430140898525</v>
          </cell>
          <cell r="AD67">
            <v>102.63056393899919</v>
          </cell>
          <cell r="AF67">
            <v>100.61170495071319</v>
          </cell>
          <cell r="AG67">
            <v>103.78743267399221</v>
          </cell>
        </row>
        <row r="68">
          <cell r="A68">
            <v>40244</v>
          </cell>
          <cell r="B68">
            <v>12.127140000000001</v>
          </cell>
          <cell r="C68">
            <v>56.19</v>
          </cell>
          <cell r="D68">
            <v>60.843640000000001</v>
          </cell>
          <cell r="E68">
            <v>29.781359999999999</v>
          </cell>
          <cell r="F68">
            <v>72.45</v>
          </cell>
          <cell r="G68">
            <v>1.0294907</v>
          </cell>
          <cell r="H68">
            <v>21.945</v>
          </cell>
          <cell r="I68">
            <v>32.880000000000003</v>
          </cell>
          <cell r="J68">
            <v>29.75</v>
          </cell>
          <cell r="K68">
            <v>3.8243640000000001</v>
          </cell>
          <cell r="L68">
            <v>2.29</v>
          </cell>
          <cell r="M68">
            <v>16.440000000000001</v>
          </cell>
          <cell r="N68">
            <v>8.5772940000000002</v>
          </cell>
          <cell r="O68">
            <v>10.827076</v>
          </cell>
          <cell r="Q68">
            <v>87.731546447971411</v>
          </cell>
          <cell r="R68">
            <v>93.060616098045699</v>
          </cell>
          <cell r="S68">
            <v>116.78842596893659</v>
          </cell>
          <cell r="T68">
            <v>108.93892697350242</v>
          </cell>
          <cell r="U68">
            <v>96.806520577231424</v>
          </cell>
          <cell r="V68">
            <v>99.679541177559585</v>
          </cell>
          <cell r="W68">
            <v>112.19325153374233</v>
          </cell>
          <cell r="X68">
            <v>92.541514213340847</v>
          </cell>
          <cell r="Y68">
            <v>113.83202601874881</v>
          </cell>
          <cell r="Z68">
            <v>83.873057577189741</v>
          </cell>
          <cell r="AA68">
            <v>112.25490196078431</v>
          </cell>
          <cell r="AB68">
            <v>89.640130861504915</v>
          </cell>
          <cell r="AC68">
            <v>104.94430140898525</v>
          </cell>
          <cell r="AD68">
            <v>102.63056393899919</v>
          </cell>
          <cell r="AF68">
            <v>100.61170495071319</v>
          </cell>
          <cell r="AG68">
            <v>103.78743267399221</v>
          </cell>
        </row>
        <row r="69">
          <cell r="A69">
            <v>40245</v>
          </cell>
          <cell r="B69">
            <v>12.044743</v>
          </cell>
          <cell r="C69">
            <v>55.93</v>
          </cell>
          <cell r="D69">
            <v>62.175020000000004</v>
          </cell>
          <cell r="E69">
            <v>29.538665999999999</v>
          </cell>
          <cell r="F69">
            <v>72.040000000000006</v>
          </cell>
          <cell r="G69">
            <v>1.0077906999999999</v>
          </cell>
          <cell r="H69">
            <v>21.684999999999999</v>
          </cell>
          <cell r="I69">
            <v>33.15</v>
          </cell>
          <cell r="J69">
            <v>29.59</v>
          </cell>
          <cell r="K69">
            <v>3.8357313</v>
          </cell>
          <cell r="L69">
            <v>2.3199999999999998</v>
          </cell>
          <cell r="M69">
            <v>16.28</v>
          </cell>
          <cell r="N69">
            <v>8.3335670000000004</v>
          </cell>
          <cell r="O69">
            <v>10.738556000000001</v>
          </cell>
          <cell r="Q69">
            <v>87.13546062454779</v>
          </cell>
          <cell r="R69">
            <v>92.630009937065253</v>
          </cell>
          <cell r="S69">
            <v>119.3439892877407</v>
          </cell>
          <cell r="T69">
            <v>108.05116281689887</v>
          </cell>
          <cell r="U69">
            <v>96.258685195082847</v>
          </cell>
          <cell r="V69">
            <v>97.578457560628365</v>
          </cell>
          <cell r="W69">
            <v>110.8640081799591</v>
          </cell>
          <cell r="X69">
            <v>93.301435406698559</v>
          </cell>
          <cell r="Y69">
            <v>113.21982016453032</v>
          </cell>
          <cell r="Z69">
            <v>84.122356599823888</v>
          </cell>
          <cell r="AA69">
            <v>113.72549019607843</v>
          </cell>
          <cell r="AB69">
            <v>88.76772082878955</v>
          </cell>
          <cell r="AC69">
            <v>101.96227004227359</v>
          </cell>
          <cell r="AD69">
            <v>101.79147704980767</v>
          </cell>
          <cell r="AF69">
            <v>100.41654973315364</v>
          </cell>
          <cell r="AG69">
            <v>101.87687354604063</v>
          </cell>
        </row>
        <row r="70">
          <cell r="A70">
            <v>40246</v>
          </cell>
          <cell r="B70">
            <v>12.301174</v>
          </cell>
          <cell r="C70">
            <v>55.72</v>
          </cell>
          <cell r="D70">
            <v>60.04233</v>
          </cell>
          <cell r="E70">
            <v>30.143702000000001</v>
          </cell>
          <cell r="F70">
            <v>71.89</v>
          </cell>
          <cell r="G70">
            <v>1.001001</v>
          </cell>
          <cell r="H70">
            <v>21.625</v>
          </cell>
          <cell r="I70">
            <v>34.19</v>
          </cell>
          <cell r="J70">
            <v>29.68</v>
          </cell>
          <cell r="K70">
            <v>3.8783376000000001</v>
          </cell>
          <cell r="L70">
            <v>2.36</v>
          </cell>
          <cell r="M70">
            <v>16.27</v>
          </cell>
          <cell r="N70">
            <v>8.3612219999999997</v>
          </cell>
          <cell r="O70">
            <v>10.625836</v>
          </cell>
          <cell r="Q70">
            <v>88.990563162095782</v>
          </cell>
          <cell r="R70">
            <v>92.28221265319641</v>
          </cell>
          <cell r="S70">
            <v>115.25032381704088</v>
          </cell>
          <cell r="T70">
            <v>110.26435833988168</v>
          </cell>
          <cell r="U70">
            <v>96.058257616247985</v>
          </cell>
          <cell r="V70">
            <v>96.921050766440459</v>
          </cell>
          <cell r="W70">
            <v>110.55725971370143</v>
          </cell>
          <cell r="X70">
            <v>96.228539262594978</v>
          </cell>
          <cell r="Y70">
            <v>113.56418595752822</v>
          </cell>
          <cell r="Z70">
            <v>85.056765733748136</v>
          </cell>
          <cell r="AA70">
            <v>115.68627450980391</v>
          </cell>
          <cell r="AB70">
            <v>88.713195201744824</v>
          </cell>
          <cell r="AC70">
            <v>102.30063254395132</v>
          </cell>
          <cell r="AD70">
            <v>100.72299677247294</v>
          </cell>
          <cell r="AF70">
            <v>100.79774889450208</v>
          </cell>
          <cell r="AG70">
            <v>101.51181465821213</v>
          </cell>
        </row>
        <row r="71">
          <cell r="A71">
            <v>40247</v>
          </cell>
          <cell r="B71">
            <v>12.509969999999999</v>
          </cell>
          <cell r="C71">
            <v>55.75</v>
          </cell>
          <cell r="D71">
            <v>60.131293999999997</v>
          </cell>
          <cell r="E71">
            <v>31.168973999999999</v>
          </cell>
          <cell r="F71">
            <v>72.319999999999993</v>
          </cell>
          <cell r="G71">
            <v>1.0300798</v>
          </cell>
          <cell r="H71">
            <v>22.004999999999999</v>
          </cell>
          <cell r="I71">
            <v>33.83</v>
          </cell>
          <cell r="J71">
            <v>30.09</v>
          </cell>
          <cell r="K71">
            <v>3.9311802</v>
          </cell>
          <cell r="L71">
            <v>2.4</v>
          </cell>
          <cell r="M71">
            <v>16.39</v>
          </cell>
          <cell r="N71">
            <v>8.4016970000000004</v>
          </cell>
          <cell r="O71">
            <v>10.721358</v>
          </cell>
          <cell r="Q71">
            <v>90.501059121749137</v>
          </cell>
          <cell r="R71">
            <v>92.331897979463392</v>
          </cell>
          <cell r="S71">
            <v>115.42108883911877</v>
          </cell>
          <cell r="T71">
            <v>114.01475897759524</v>
          </cell>
          <cell r="U71">
            <v>96.632816675574546</v>
          </cell>
          <cell r="V71">
            <v>99.736580272432121</v>
          </cell>
          <cell r="W71">
            <v>112.5</v>
          </cell>
          <cell r="X71">
            <v>95.215311004784681</v>
          </cell>
          <cell r="Y71">
            <v>115.13296345896306</v>
          </cell>
          <cell r="Z71">
            <v>86.215669654067526</v>
          </cell>
          <cell r="AA71">
            <v>117.64705882352942</v>
          </cell>
          <cell r="AB71">
            <v>89.367502726281359</v>
          </cell>
          <cell r="AC71">
            <v>102.79584940366591</v>
          </cell>
          <cell r="AD71">
            <v>101.62845607917599</v>
          </cell>
          <cell r="AF71">
            <v>102.0597256277966</v>
          </cell>
          <cell r="AG71">
            <v>102.21215274142095</v>
          </cell>
        </row>
        <row r="72">
          <cell r="A72">
            <v>40248</v>
          </cell>
          <cell r="B72">
            <v>12.511044</v>
          </cell>
          <cell r="C72">
            <v>55.93</v>
          </cell>
          <cell r="D72">
            <v>60.318165</v>
          </cell>
          <cell r="E72">
            <v>30.711447</v>
          </cell>
          <cell r="F72">
            <v>73.78</v>
          </cell>
          <cell r="G72">
            <v>1.0373815</v>
          </cell>
          <cell r="H72">
            <v>22.725000000000001</v>
          </cell>
          <cell r="I72">
            <v>34.159999999999997</v>
          </cell>
          <cell r="J72">
            <v>30.32</v>
          </cell>
          <cell r="K72">
            <v>3.8868372</v>
          </cell>
          <cell r="L72">
            <v>2.46</v>
          </cell>
          <cell r="M72">
            <v>16.329999999999998</v>
          </cell>
          <cell r="N72">
            <v>8.6197149999999993</v>
          </cell>
          <cell r="O72">
            <v>10.739317</v>
          </cell>
          <cell r="Q72">
            <v>90.50882877567291</v>
          </cell>
          <cell r="R72">
            <v>92.630009937065253</v>
          </cell>
          <cell r="S72">
            <v>115.77978483346168</v>
          </cell>
          <cell r="T72">
            <v>112.34114499752832</v>
          </cell>
          <cell r="U72">
            <v>98.583645109567072</v>
          </cell>
          <cell r="V72">
            <v>100.44356102108402</v>
          </cell>
          <cell r="W72">
            <v>116.18098159509205</v>
          </cell>
          <cell r="X72">
            <v>96.144103574444117</v>
          </cell>
          <cell r="Y72">
            <v>116.01300937440213</v>
          </cell>
          <cell r="Z72">
            <v>85.243172529801811</v>
          </cell>
          <cell r="AA72">
            <v>120.58823529411764</v>
          </cell>
          <cell r="AB72">
            <v>89.040348964013077</v>
          </cell>
          <cell r="AC72">
            <v>105.46332783038</v>
          </cell>
          <cell r="AD72">
            <v>101.79869061874886</v>
          </cell>
          <cell r="AF72">
            <v>102.79140216718748</v>
          </cell>
          <cell r="AG72">
            <v>103.63100922456442</v>
          </cell>
        </row>
        <row r="73">
          <cell r="A73">
            <v>40249</v>
          </cell>
          <cell r="B73">
            <v>12.534300999999999</v>
          </cell>
          <cell r="C73">
            <v>55.97</v>
          </cell>
          <cell r="D73">
            <v>59.847900000000003</v>
          </cell>
          <cell r="E73">
            <v>30.805686999999999</v>
          </cell>
          <cell r="F73">
            <v>73.7</v>
          </cell>
          <cell r="G73">
            <v>1.0614645</v>
          </cell>
          <cell r="H73">
            <v>22.51</v>
          </cell>
          <cell r="I73">
            <v>34.75</v>
          </cell>
          <cell r="J73">
            <v>30.344999999999999</v>
          </cell>
          <cell r="K73">
            <v>3.8757377000000002</v>
          </cell>
          <cell r="L73">
            <v>2.75</v>
          </cell>
          <cell r="M73">
            <v>16.36</v>
          </cell>
          <cell r="N73">
            <v>8.6348450000000003</v>
          </cell>
          <cell r="O73">
            <v>10.758167</v>
          </cell>
          <cell r="Q73">
            <v>90.677077231264292</v>
          </cell>
          <cell r="R73">
            <v>92.696257038754553</v>
          </cell>
          <cell r="S73">
            <v>114.87711843910589</v>
          </cell>
          <cell r="T73">
            <v>112.68587084208286</v>
          </cell>
          <cell r="U73">
            <v>98.476750400855167</v>
          </cell>
          <cell r="V73">
            <v>102.77537653935845</v>
          </cell>
          <cell r="W73">
            <v>115.08179959100207</v>
          </cell>
          <cell r="X73">
            <v>97.804672108077668</v>
          </cell>
          <cell r="Y73">
            <v>116.10866653912377</v>
          </cell>
          <cell r="Z73">
            <v>84.999746694139205</v>
          </cell>
          <cell r="AA73">
            <v>134.80392156862743</v>
          </cell>
          <cell r="AB73">
            <v>89.203925845147211</v>
          </cell>
          <cell r="AC73">
            <v>105.64844533717385</v>
          </cell>
          <cell r="AD73">
            <v>101.97737100579427</v>
          </cell>
          <cell r="AF73">
            <v>104.18259856979489</v>
          </cell>
          <cell r="AG73">
            <v>103.81290817148405</v>
          </cell>
        </row>
        <row r="74">
          <cell r="A74">
            <v>40250</v>
          </cell>
          <cell r="B74">
            <v>12.534300999999999</v>
          </cell>
          <cell r="C74">
            <v>55.97</v>
          </cell>
          <cell r="D74">
            <v>59.847900000000003</v>
          </cell>
          <cell r="E74">
            <v>30.805686999999999</v>
          </cell>
          <cell r="F74">
            <v>73.7</v>
          </cell>
          <cell r="G74">
            <v>1.0614645</v>
          </cell>
          <cell r="H74">
            <v>22.51</v>
          </cell>
          <cell r="I74">
            <v>34.75</v>
          </cell>
          <cell r="J74">
            <v>30.344999999999999</v>
          </cell>
          <cell r="K74">
            <v>3.8757377000000002</v>
          </cell>
          <cell r="L74">
            <v>2.75</v>
          </cell>
          <cell r="M74">
            <v>16.36</v>
          </cell>
          <cell r="N74">
            <v>8.6348450000000003</v>
          </cell>
          <cell r="O74">
            <v>10.758167</v>
          </cell>
          <cell r="Q74">
            <v>90.677077231264292</v>
          </cell>
          <cell r="R74">
            <v>92.696257038754553</v>
          </cell>
          <cell r="S74">
            <v>114.87711843910589</v>
          </cell>
          <cell r="T74">
            <v>112.68587084208286</v>
          </cell>
          <cell r="U74">
            <v>98.476750400855167</v>
          </cell>
          <cell r="V74">
            <v>102.77537653935845</v>
          </cell>
          <cell r="W74">
            <v>115.08179959100207</v>
          </cell>
          <cell r="X74">
            <v>97.804672108077668</v>
          </cell>
          <cell r="Y74">
            <v>116.10866653912377</v>
          </cell>
          <cell r="Z74">
            <v>84.999746694139205</v>
          </cell>
          <cell r="AA74">
            <v>134.80392156862743</v>
          </cell>
          <cell r="AB74">
            <v>89.203925845147211</v>
          </cell>
          <cell r="AC74">
            <v>105.64844533717385</v>
          </cell>
          <cell r="AD74">
            <v>101.97737100579427</v>
          </cell>
          <cell r="AF74">
            <v>104.18259856979489</v>
          </cell>
          <cell r="AG74">
            <v>103.81290817148405</v>
          </cell>
        </row>
        <row r="75">
          <cell r="A75">
            <v>40251</v>
          </cell>
          <cell r="B75">
            <v>12.534300999999999</v>
          </cell>
          <cell r="C75">
            <v>55.97</v>
          </cell>
          <cell r="D75">
            <v>59.847900000000003</v>
          </cell>
          <cell r="E75">
            <v>30.805686999999999</v>
          </cell>
          <cell r="F75">
            <v>73.7</v>
          </cell>
          <cell r="G75">
            <v>1.0614645</v>
          </cell>
          <cell r="H75">
            <v>22.51</v>
          </cell>
          <cell r="I75">
            <v>34.75</v>
          </cell>
          <cell r="J75">
            <v>30.344999999999999</v>
          </cell>
          <cell r="K75">
            <v>3.8757377000000002</v>
          </cell>
          <cell r="L75">
            <v>2.75</v>
          </cell>
          <cell r="M75">
            <v>16.36</v>
          </cell>
          <cell r="N75">
            <v>8.6348450000000003</v>
          </cell>
          <cell r="O75">
            <v>10.758167</v>
          </cell>
          <cell r="Q75">
            <v>90.677077231264292</v>
          </cell>
          <cell r="R75">
            <v>92.696257038754553</v>
          </cell>
          <cell r="S75">
            <v>114.87711843910589</v>
          </cell>
          <cell r="T75">
            <v>112.68587084208286</v>
          </cell>
          <cell r="U75">
            <v>98.476750400855167</v>
          </cell>
          <cell r="V75">
            <v>102.77537653935845</v>
          </cell>
          <cell r="W75">
            <v>115.08179959100207</v>
          </cell>
          <cell r="X75">
            <v>97.804672108077668</v>
          </cell>
          <cell r="Y75">
            <v>116.10866653912377</v>
          </cell>
          <cell r="Z75">
            <v>84.999746694139205</v>
          </cell>
          <cell r="AA75">
            <v>134.80392156862743</v>
          </cell>
          <cell r="AB75">
            <v>89.203925845147211</v>
          </cell>
          <cell r="AC75">
            <v>105.64844533717385</v>
          </cell>
          <cell r="AD75">
            <v>101.97737100579427</v>
          </cell>
          <cell r="AF75">
            <v>104.18259856979489</v>
          </cell>
          <cell r="AG75">
            <v>103.81290817148405</v>
          </cell>
        </row>
        <row r="76">
          <cell r="A76">
            <v>40252</v>
          </cell>
          <cell r="B76">
            <v>12.488234500000001</v>
          </cell>
          <cell r="C76">
            <v>56.32</v>
          </cell>
          <cell r="D76">
            <v>59.028354999999998</v>
          </cell>
          <cell r="E76">
            <v>30.785387</v>
          </cell>
          <cell r="F76">
            <v>74.67</v>
          </cell>
          <cell r="G76">
            <v>1.0729613</v>
          </cell>
          <cell r="H76">
            <v>22.184999999999999</v>
          </cell>
          <cell r="I76">
            <v>35.799999999999997</v>
          </cell>
          <cell r="J76">
            <v>30.315000000000001</v>
          </cell>
          <cell r="K76">
            <v>3.8467406999999998</v>
          </cell>
          <cell r="L76">
            <v>3</v>
          </cell>
          <cell r="M76">
            <v>16.61</v>
          </cell>
          <cell r="N76">
            <v>8.5455579999999998</v>
          </cell>
          <cell r="O76">
            <v>10.865875000000001</v>
          </cell>
          <cell r="Q76">
            <v>90.343817675883116</v>
          </cell>
          <cell r="R76">
            <v>93.275919178535943</v>
          </cell>
          <cell r="S76">
            <v>113.30401448673366</v>
          </cell>
          <cell r="T76">
            <v>112.61161431996427</v>
          </cell>
          <cell r="U76">
            <v>99.772848743987169</v>
          </cell>
          <cell r="V76">
            <v>103.88854419498676</v>
          </cell>
          <cell r="W76">
            <v>113.42024539877301</v>
          </cell>
          <cell r="X76">
            <v>100.7599211933577</v>
          </cell>
          <cell r="Y76">
            <v>115.99387794145781</v>
          </cell>
          <cell r="Z76">
            <v>84.36380643045986</v>
          </cell>
          <cell r="AA76">
            <v>147.05882352941174</v>
          </cell>
          <cell r="AB76">
            <v>90.567066521264991</v>
          </cell>
          <cell r="AC76">
            <v>104.55600734450343</v>
          </cell>
          <cell r="AD76">
            <v>102.99834220621274</v>
          </cell>
          <cell r="AF76">
            <v>105.44670830123466</v>
          </cell>
          <cell r="AG76">
            <v>103.77717477535808</v>
          </cell>
        </row>
        <row r="77">
          <cell r="A77">
            <v>40253</v>
          </cell>
          <cell r="B77">
            <v>12.704489000000001</v>
          </cell>
          <cell r="C77">
            <v>56.95</v>
          </cell>
          <cell r="D77">
            <v>59.493533999999997</v>
          </cell>
          <cell r="E77">
            <v>30.609311999999999</v>
          </cell>
          <cell r="F77">
            <v>75</v>
          </cell>
          <cell r="G77">
            <v>1.1398257000000001</v>
          </cell>
          <cell r="H77">
            <v>22.035</v>
          </cell>
          <cell r="I77">
            <v>35.799999999999997</v>
          </cell>
          <cell r="J77">
            <v>30.5</v>
          </cell>
          <cell r="K77">
            <v>3.9421412999999998</v>
          </cell>
          <cell r="L77">
            <v>3</v>
          </cell>
          <cell r="M77">
            <v>16.84</v>
          </cell>
          <cell r="N77">
            <v>8.6542010000000005</v>
          </cell>
          <cell r="O77">
            <v>10.839031</v>
          </cell>
          <cell r="Q77">
            <v>91.908270771281764</v>
          </cell>
          <cell r="R77">
            <v>94.31931103014243</v>
          </cell>
          <cell r="S77">
            <v>114.19691838274981</v>
          </cell>
          <cell r="T77">
            <v>111.96753958439612</v>
          </cell>
          <cell r="U77">
            <v>100.21378941742383</v>
          </cell>
          <cell r="V77">
            <v>110.36263154042156</v>
          </cell>
          <cell r="W77">
            <v>112.65337423312884</v>
          </cell>
          <cell r="X77">
            <v>100.7599211933577</v>
          </cell>
          <cell r="Y77">
            <v>116.70174096039794</v>
          </cell>
          <cell r="Z77">
            <v>86.456060205649266</v>
          </cell>
          <cell r="AA77">
            <v>147.05882352941174</v>
          </cell>
          <cell r="AB77">
            <v>91.821155943293348</v>
          </cell>
          <cell r="AC77">
            <v>105.88526850052496</v>
          </cell>
          <cell r="AD77">
            <v>102.74388616855505</v>
          </cell>
          <cell r="AF77">
            <v>106.53496139930455</v>
          </cell>
          <cell r="AG77">
            <v>104.31457733454</v>
          </cell>
        </row>
        <row r="78">
          <cell r="A78">
            <v>40254</v>
          </cell>
          <cell r="B78">
            <v>12.886627000000001</v>
          </cell>
          <cell r="C78">
            <v>57.49</v>
          </cell>
          <cell r="D78">
            <v>59.711395000000003</v>
          </cell>
          <cell r="E78">
            <v>31.237905999999999</v>
          </cell>
          <cell r="F78">
            <v>75.709999999999994</v>
          </cell>
          <cell r="G78">
            <v>1.1197242999999999</v>
          </cell>
          <cell r="H78">
            <v>22.035</v>
          </cell>
          <cell r="I78">
            <v>36</v>
          </cell>
          <cell r="J78">
            <v>30.9</v>
          </cell>
          <cell r="K78">
            <v>4.1049023</v>
          </cell>
          <cell r="L78">
            <v>3.01</v>
          </cell>
          <cell r="M78">
            <v>16.829999999999998</v>
          </cell>
          <cell r="N78">
            <v>8.5237730000000003</v>
          </cell>
          <cell r="O78">
            <v>11.061082000000001</v>
          </cell>
          <cell r="Q78">
            <v>93.22591437125179</v>
          </cell>
          <cell r="R78">
            <v>95.213646902947985</v>
          </cell>
          <cell r="S78">
            <v>114.61509920279968</v>
          </cell>
          <cell r="T78">
            <v>114.26690925260408</v>
          </cell>
          <cell r="U78">
            <v>101.1624799572421</v>
          </cell>
          <cell r="V78">
            <v>108.41633097740859</v>
          </cell>
          <cell r="W78">
            <v>112.65337423312884</v>
          </cell>
          <cell r="X78">
            <v>101.32282578103012</v>
          </cell>
          <cell r="Y78">
            <v>118.23225559594412</v>
          </cell>
          <cell r="Z78">
            <v>90.025611305994573</v>
          </cell>
          <cell r="AA78">
            <v>147.54901960784312</v>
          </cell>
          <cell r="AB78">
            <v>91.766630316248637</v>
          </cell>
          <cell r="AC78">
            <v>104.2894650520048</v>
          </cell>
          <cell r="AD78">
            <v>104.8487221698188</v>
          </cell>
          <cell r="AF78">
            <v>107.37084145870364</v>
          </cell>
          <cell r="AG78">
            <v>104.56909361091181</v>
          </cell>
        </row>
        <row r="79">
          <cell r="A79">
            <v>40255</v>
          </cell>
          <cell r="B79">
            <v>12.686109999999999</v>
          </cell>
          <cell r="C79">
            <v>57.69</v>
          </cell>
          <cell r="D79">
            <v>59.135624</v>
          </cell>
          <cell r="E79">
            <v>31.612690000000001</v>
          </cell>
          <cell r="F79">
            <v>76.17</v>
          </cell>
          <cell r="G79">
            <v>1.1173584000000001</v>
          </cell>
          <cell r="H79">
            <v>22.08</v>
          </cell>
          <cell r="I79">
            <v>36.03</v>
          </cell>
          <cell r="J79">
            <v>31.35</v>
          </cell>
          <cell r="K79">
            <v>3.9741840000000002</v>
          </cell>
          <cell r="L79">
            <v>2.83</v>
          </cell>
          <cell r="M79">
            <v>17.14</v>
          </cell>
          <cell r="N79">
            <v>8.3810599999999997</v>
          </cell>
          <cell r="O79">
            <v>11.062998</v>
          </cell>
          <cell r="Q79">
            <v>91.775311302506154</v>
          </cell>
          <cell r="R79">
            <v>95.544882411394497</v>
          </cell>
          <cell r="S79">
            <v>113.50991567320546</v>
          </cell>
          <cell r="T79">
            <v>115.63785291692423</v>
          </cell>
          <cell r="U79">
            <v>101.77712453233565</v>
          </cell>
          <cell r="V79">
            <v>108.18725476868522</v>
          </cell>
          <cell r="W79">
            <v>112.88343558282207</v>
          </cell>
          <cell r="X79">
            <v>101.40726146918098</v>
          </cell>
          <cell r="Y79">
            <v>119.95408456093361</v>
          </cell>
          <cell r="Z79">
            <v>87.158796457226956</v>
          </cell>
          <cell r="AA79">
            <v>138.72549019607843</v>
          </cell>
          <cell r="AB79">
            <v>93.456924754634684</v>
          </cell>
          <cell r="AC79">
            <v>102.54335303964046</v>
          </cell>
          <cell r="AD79">
            <v>104.86688405955773</v>
          </cell>
          <cell r="AF79">
            <v>106.66819455216067</v>
          </cell>
          <cell r="AG79">
            <v>103.70511854959909</v>
          </cell>
        </row>
        <row r="80">
          <cell r="A80">
            <v>40256</v>
          </cell>
          <cell r="B80">
            <v>12.662576</v>
          </cell>
          <cell r="C80">
            <v>57.3</v>
          </cell>
          <cell r="D80">
            <v>58.55706</v>
          </cell>
          <cell r="E80">
            <v>31.300407</v>
          </cell>
          <cell r="F80">
            <v>75.510000000000005</v>
          </cell>
          <cell r="G80">
            <v>1.1087663000000001</v>
          </cell>
          <cell r="H80">
            <v>21.925000000000001</v>
          </cell>
          <cell r="I80">
            <v>35.86</v>
          </cell>
          <cell r="J80">
            <v>31.09</v>
          </cell>
          <cell r="K80">
            <v>4.0131755</v>
          </cell>
          <cell r="L80">
            <v>2.8</v>
          </cell>
          <cell r="M80">
            <v>17.41</v>
          </cell>
          <cell r="N80">
            <v>8.5077979999999993</v>
          </cell>
          <cell r="O80">
            <v>10.926682</v>
          </cell>
          <cell r="Q80">
            <v>91.605058941759381</v>
          </cell>
          <cell r="R80">
            <v>94.898973169923806</v>
          </cell>
          <cell r="S80">
            <v>112.39937102330791</v>
          </cell>
          <cell r="T80">
            <v>114.49553520772402</v>
          </cell>
          <cell r="U80">
            <v>100.89524318546232</v>
          </cell>
          <cell r="V80">
            <v>107.35533216292326</v>
          </cell>
          <cell r="W80">
            <v>112.09100204498978</v>
          </cell>
          <cell r="X80">
            <v>100.92879256965944</v>
          </cell>
          <cell r="Y80">
            <v>118.95925004782856</v>
          </cell>
          <cell r="Z80">
            <v>88.01392853265726</v>
          </cell>
          <cell r="AA80">
            <v>137.25490196078428</v>
          </cell>
          <cell r="AB80">
            <v>94.929116684841873</v>
          </cell>
          <cell r="AC80">
            <v>104.09400886092534</v>
          </cell>
          <cell r="AD80">
            <v>103.57473574971779</v>
          </cell>
          <cell r="AF80">
            <v>106.15220879432182</v>
          </cell>
          <cell r="AG80">
            <v>103.83437230532157</v>
          </cell>
        </row>
        <row r="81">
          <cell r="A81">
            <v>40257</v>
          </cell>
          <cell r="B81">
            <v>12.662576</v>
          </cell>
          <cell r="C81">
            <v>57.3</v>
          </cell>
          <cell r="D81">
            <v>58.55706</v>
          </cell>
          <cell r="E81">
            <v>31.300407</v>
          </cell>
          <cell r="F81">
            <v>75.510000000000005</v>
          </cell>
          <cell r="G81">
            <v>1.1087663000000001</v>
          </cell>
          <cell r="H81">
            <v>21.925000000000001</v>
          </cell>
          <cell r="I81">
            <v>35.86</v>
          </cell>
          <cell r="J81">
            <v>31.09</v>
          </cell>
          <cell r="K81">
            <v>4.0131755</v>
          </cell>
          <cell r="L81">
            <v>2.8</v>
          </cell>
          <cell r="M81">
            <v>17.41</v>
          </cell>
          <cell r="N81">
            <v>8.5077979999999993</v>
          </cell>
          <cell r="O81">
            <v>10.926682</v>
          </cell>
          <cell r="Q81">
            <v>91.605058941759381</v>
          </cell>
          <cell r="R81">
            <v>94.898973169923806</v>
          </cell>
          <cell r="S81">
            <v>112.39937102330791</v>
          </cell>
          <cell r="T81">
            <v>114.49553520772402</v>
          </cell>
          <cell r="U81">
            <v>100.89524318546232</v>
          </cell>
          <cell r="V81">
            <v>107.35533216292326</v>
          </cell>
          <cell r="W81">
            <v>112.09100204498978</v>
          </cell>
          <cell r="X81">
            <v>100.92879256965944</v>
          </cell>
          <cell r="Y81">
            <v>118.95925004782856</v>
          </cell>
          <cell r="Z81">
            <v>88.01392853265726</v>
          </cell>
          <cell r="AA81">
            <v>137.25490196078428</v>
          </cell>
          <cell r="AB81">
            <v>94.929116684841873</v>
          </cell>
          <cell r="AC81">
            <v>104.09400886092534</v>
          </cell>
          <cell r="AD81">
            <v>103.57473574971779</v>
          </cell>
          <cell r="AF81">
            <v>106.15220879432182</v>
          </cell>
          <cell r="AG81">
            <v>103.83437230532157</v>
          </cell>
        </row>
        <row r="82">
          <cell r="A82">
            <v>40258</v>
          </cell>
          <cell r="B82">
            <v>12.662576</v>
          </cell>
          <cell r="C82">
            <v>57.3</v>
          </cell>
          <cell r="D82">
            <v>58.55706</v>
          </cell>
          <cell r="E82">
            <v>31.300407</v>
          </cell>
          <cell r="F82">
            <v>75.510000000000005</v>
          </cell>
          <cell r="G82">
            <v>1.1087663000000001</v>
          </cell>
          <cell r="H82">
            <v>21.925000000000001</v>
          </cell>
          <cell r="I82">
            <v>35.86</v>
          </cell>
          <cell r="J82">
            <v>31.09</v>
          </cell>
          <cell r="K82">
            <v>4.0131755</v>
          </cell>
          <cell r="L82">
            <v>2.8</v>
          </cell>
          <cell r="M82">
            <v>17.41</v>
          </cell>
          <cell r="N82">
            <v>8.5077979999999993</v>
          </cell>
          <cell r="O82">
            <v>10.926682</v>
          </cell>
          <cell r="Q82">
            <v>91.605058941759381</v>
          </cell>
          <cell r="R82">
            <v>94.898973169923806</v>
          </cell>
          <cell r="S82">
            <v>112.39937102330791</v>
          </cell>
          <cell r="T82">
            <v>114.49553520772402</v>
          </cell>
          <cell r="U82">
            <v>100.89524318546232</v>
          </cell>
          <cell r="V82">
            <v>107.35533216292326</v>
          </cell>
          <cell r="W82">
            <v>112.09100204498978</v>
          </cell>
          <cell r="X82">
            <v>100.92879256965944</v>
          </cell>
          <cell r="Y82">
            <v>118.95925004782856</v>
          </cell>
          <cell r="Z82">
            <v>88.01392853265726</v>
          </cell>
          <cell r="AA82">
            <v>137.25490196078428</v>
          </cell>
          <cell r="AB82">
            <v>94.929116684841873</v>
          </cell>
          <cell r="AC82">
            <v>104.09400886092534</v>
          </cell>
          <cell r="AD82">
            <v>103.57473574971779</v>
          </cell>
          <cell r="AF82">
            <v>106.15220879432182</v>
          </cell>
          <cell r="AG82">
            <v>103.83437230532157</v>
          </cell>
        </row>
        <row r="83">
          <cell r="A83">
            <v>40259</v>
          </cell>
          <cell r="B83">
            <v>12.557231</v>
          </cell>
          <cell r="C83">
            <v>57.95</v>
          </cell>
          <cell r="D83">
            <v>58.865993000000003</v>
          </cell>
          <cell r="E83">
            <v>31.465537999999999</v>
          </cell>
          <cell r="F83">
            <v>76.260000000000005</v>
          </cell>
          <cell r="G83">
            <v>1.1265596</v>
          </cell>
          <cell r="H83">
            <v>22.184999999999999</v>
          </cell>
          <cell r="I83">
            <v>35.979999999999997</v>
          </cell>
          <cell r="J83">
            <v>31.215</v>
          </cell>
          <cell r="K83">
            <v>3.9813377999999999</v>
          </cell>
          <cell r="L83">
            <v>2.93</v>
          </cell>
          <cell r="M83">
            <v>17.829999999999998</v>
          </cell>
          <cell r="N83">
            <v>8.4595330000000004</v>
          </cell>
          <cell r="O83">
            <v>10.928051999999999</v>
          </cell>
          <cell r="Q83">
            <v>90.842960065968271</v>
          </cell>
          <cell r="R83">
            <v>95.975488572374957</v>
          </cell>
          <cell r="S83">
            <v>112.99236313883326</v>
          </cell>
          <cell r="T83">
            <v>115.0995772645697</v>
          </cell>
          <cell r="U83">
            <v>101.89738107963655</v>
          </cell>
          <cell r="V83">
            <v>109.07815295191598</v>
          </cell>
          <cell r="W83">
            <v>113.42024539877301</v>
          </cell>
          <cell r="X83">
            <v>101.26653532226287</v>
          </cell>
          <cell r="Y83">
            <v>119.43753587143678</v>
          </cell>
          <cell r="Z83">
            <v>87.31568818596817</v>
          </cell>
          <cell r="AA83">
            <v>143.62745098039215</v>
          </cell>
          <cell r="AB83">
            <v>97.219193020719729</v>
          </cell>
          <cell r="AC83">
            <v>103.50348034371414</v>
          </cell>
          <cell r="AD83">
            <v>103.58772206962506</v>
          </cell>
          <cell r="AF83">
            <v>107.34771432107094</v>
          </cell>
          <cell r="AG83">
            <v>103.5456012066696</v>
          </cell>
        </row>
        <row r="84">
          <cell r="A84">
            <v>40260</v>
          </cell>
          <cell r="B84">
            <v>12.720532</v>
          </cell>
          <cell r="C84">
            <v>57.28</v>
          </cell>
          <cell r="D84">
            <v>58.947369999999999</v>
          </cell>
          <cell r="E84">
            <v>31.612188</v>
          </cell>
          <cell r="F84">
            <v>74.33</v>
          </cell>
          <cell r="G84">
            <v>1.1352277</v>
          </cell>
          <cell r="H84">
            <v>22.085000000000001</v>
          </cell>
          <cell r="I84">
            <v>35.630000000000003</v>
          </cell>
          <cell r="J84">
            <v>31.414999999999999</v>
          </cell>
          <cell r="K84">
            <v>4.0228109999999999</v>
          </cell>
          <cell r="L84">
            <v>2.9</v>
          </cell>
          <cell r="M84">
            <v>17.78</v>
          </cell>
          <cell r="N84">
            <v>8.5812840000000001</v>
          </cell>
          <cell r="O84">
            <v>11.077147500000001</v>
          </cell>
          <cell r="Q84">
            <v>92.024330881057409</v>
          </cell>
          <cell r="R84">
            <v>94.865849619079171</v>
          </cell>
          <cell r="S84">
            <v>113.1485650317521</v>
          </cell>
          <cell r="T84">
            <v>115.63601662263341</v>
          </cell>
          <cell r="U84">
            <v>99.31854623196152</v>
          </cell>
          <cell r="V84">
            <v>109.91743419154369</v>
          </cell>
          <cell r="W84">
            <v>112.90899795501024</v>
          </cell>
          <cell r="X84">
            <v>100.28145229383621</v>
          </cell>
          <cell r="Y84">
            <v>120.20279318920986</v>
          </cell>
          <cell r="Z84">
            <v>88.225247028042375</v>
          </cell>
          <cell r="AA84">
            <v>142.15686274509801</v>
          </cell>
          <cell r="AB84">
            <v>96.946564885496187</v>
          </cell>
          <cell r="AC84">
            <v>104.99311957502012</v>
          </cell>
          <cell r="AD84">
            <v>105.00100809862931</v>
          </cell>
          <cell r="AF84">
            <v>107.13605505622668</v>
          </cell>
          <cell r="AG84">
            <v>104.99706383682471</v>
          </cell>
        </row>
        <row r="85">
          <cell r="A85">
            <v>40261</v>
          </cell>
          <cell r="B85">
            <v>12.87144</v>
          </cell>
          <cell r="C85">
            <v>57.45</v>
          </cell>
          <cell r="D85">
            <v>58.221786000000002</v>
          </cell>
          <cell r="E85">
            <v>31.058873999999999</v>
          </cell>
          <cell r="F85">
            <v>73.98</v>
          </cell>
          <cell r="G85">
            <v>1.1384255000000001</v>
          </cell>
          <cell r="H85">
            <v>21.64</v>
          </cell>
          <cell r="I85">
            <v>35.880000000000003</v>
          </cell>
          <cell r="J85">
            <v>31.704999999999998</v>
          </cell>
          <cell r="K85">
            <v>4.0541400000000003</v>
          </cell>
          <cell r="L85">
            <v>2.97</v>
          </cell>
          <cell r="M85">
            <v>17.28</v>
          </cell>
          <cell r="N85">
            <v>8.4982670000000002</v>
          </cell>
          <cell r="O85">
            <v>10.801743999999999</v>
          </cell>
          <cell r="Q85">
            <v>93.116046834808301</v>
          </cell>
          <cell r="R85">
            <v>95.147399801258686</v>
          </cell>
          <cell r="S85">
            <v>111.75581776567394</v>
          </cell>
          <cell r="T85">
            <v>113.61201793891256</v>
          </cell>
          <cell r="U85">
            <v>98.850881881346879</v>
          </cell>
          <cell r="V85">
            <v>110.22705839385812</v>
          </cell>
          <cell r="W85">
            <v>110.63394683026586</v>
          </cell>
          <cell r="X85">
            <v>100.98508302842669</v>
          </cell>
          <cell r="Y85">
            <v>121.31241629998087</v>
          </cell>
          <cell r="Z85">
            <v>88.912330951234793</v>
          </cell>
          <cell r="AA85">
            <v>145.58823529411765</v>
          </cell>
          <cell r="AB85">
            <v>94.220283533260641</v>
          </cell>
          <cell r="AC85">
            <v>103.97739584326162</v>
          </cell>
          <cell r="AD85">
            <v>102.39044024856764</v>
          </cell>
          <cell r="AF85">
            <v>107.0301265460954</v>
          </cell>
          <cell r="AG85">
            <v>103.18391804591462</v>
          </cell>
        </row>
        <row r="86">
          <cell r="A86">
            <v>40262</v>
          </cell>
          <cell r="B86">
            <v>12.729426</v>
          </cell>
          <cell r="C86">
            <v>57.95</v>
          </cell>
          <cell r="D86">
            <v>57.719279999999998</v>
          </cell>
          <cell r="E86">
            <v>30.553457000000002</v>
          </cell>
          <cell r="F86">
            <v>74.900000000000006</v>
          </cell>
          <cell r="G86">
            <v>1.1737925</v>
          </cell>
          <cell r="H86">
            <v>21.33</v>
          </cell>
          <cell r="I86">
            <v>36.03</v>
          </cell>
          <cell r="J86">
            <v>31.594999999999999</v>
          </cell>
          <cell r="K86">
            <v>4.0759696999999999</v>
          </cell>
          <cell r="L86">
            <v>2.8</v>
          </cell>
          <cell r="M86">
            <v>16.899999999999999</v>
          </cell>
          <cell r="N86">
            <v>8.4224530000000009</v>
          </cell>
          <cell r="O86">
            <v>10.832826000000001</v>
          </cell>
          <cell r="Q86">
            <v>92.088672875468973</v>
          </cell>
          <cell r="R86">
            <v>95.975488572374957</v>
          </cell>
          <cell r="S86">
            <v>110.79126527045919</v>
          </cell>
          <cell r="T86">
            <v>111.76322440986735</v>
          </cell>
          <cell r="U86">
            <v>100.08017103153395</v>
          </cell>
          <cell r="V86">
            <v>113.65143739293673</v>
          </cell>
          <cell r="W86">
            <v>109.04907975460122</v>
          </cell>
          <cell r="X86">
            <v>101.40726146918098</v>
          </cell>
          <cell r="Y86">
            <v>120.89152477520567</v>
          </cell>
          <cell r="Z86">
            <v>89.391083414387552</v>
          </cell>
          <cell r="AA86">
            <v>137.25490196078428</v>
          </cell>
          <cell r="AB86">
            <v>92.148309705561601</v>
          </cell>
          <cell r="AC86">
            <v>103.04980174808188</v>
          </cell>
          <cell r="AD86">
            <v>102.68506856634727</v>
          </cell>
          <cell r="AF86">
            <v>106.20770171936353</v>
          </cell>
          <cell r="AG86">
            <v>102.86743515721457</v>
          </cell>
        </row>
        <row r="87">
          <cell r="A87">
            <v>40263</v>
          </cell>
          <cell r="B87">
            <v>12.983594</v>
          </cell>
          <cell r="C87">
            <v>57.89</v>
          </cell>
          <cell r="D87">
            <v>58.661479999999997</v>
          </cell>
          <cell r="E87">
            <v>30.886402</v>
          </cell>
          <cell r="F87">
            <v>75.58</v>
          </cell>
          <cell r="G87">
            <v>1.1968369999999999</v>
          </cell>
          <cell r="H87">
            <v>21.74</v>
          </cell>
          <cell r="I87">
            <v>35.97</v>
          </cell>
          <cell r="J87">
            <v>31.48</v>
          </cell>
          <cell r="K87">
            <v>4.0144260000000003</v>
          </cell>
          <cell r="L87">
            <v>2.85</v>
          </cell>
          <cell r="M87">
            <v>16.739999999999998</v>
          </cell>
          <cell r="N87">
            <v>8.3960240000000006</v>
          </cell>
          <cell r="O87">
            <v>10.685848</v>
          </cell>
          <cell r="Q87">
            <v>93.92740415898578</v>
          </cell>
          <cell r="R87">
            <v>95.876117919841008</v>
          </cell>
          <cell r="S87">
            <v>112.59980359834248</v>
          </cell>
          <cell r="T87">
            <v>112.9811228215313</v>
          </cell>
          <cell r="U87">
            <v>100.98877605558525</v>
          </cell>
          <cell r="V87">
            <v>115.88270105240083</v>
          </cell>
          <cell r="W87">
            <v>111.14519427402863</v>
          </cell>
          <cell r="X87">
            <v>101.23839009287924</v>
          </cell>
          <cell r="Y87">
            <v>120.45150181748612</v>
          </cell>
          <cell r="Z87">
            <v>88.041353552477631</v>
          </cell>
          <cell r="AA87">
            <v>139.70588235294116</v>
          </cell>
          <cell r="AB87">
            <v>91.275899672846222</v>
          </cell>
          <cell r="AC87">
            <v>102.72643951496521</v>
          </cell>
          <cell r="AD87">
            <v>101.29185445880555</v>
          </cell>
          <cell r="AF87">
            <v>107.00951228077882</v>
          </cell>
          <cell r="AG87">
            <v>102.00914698688538</v>
          </cell>
        </row>
        <row r="88">
          <cell r="A88">
            <v>40264</v>
          </cell>
          <cell r="B88">
            <v>12.983594</v>
          </cell>
          <cell r="C88">
            <v>57.89</v>
          </cell>
          <cell r="D88">
            <v>58.661479999999997</v>
          </cell>
          <cell r="E88">
            <v>30.886402</v>
          </cell>
          <cell r="F88">
            <v>75.58</v>
          </cell>
          <cell r="G88">
            <v>1.1968369999999999</v>
          </cell>
          <cell r="H88">
            <v>21.74</v>
          </cell>
          <cell r="I88">
            <v>35.97</v>
          </cell>
          <cell r="J88">
            <v>31.48</v>
          </cell>
          <cell r="K88">
            <v>4.0144260000000003</v>
          </cell>
          <cell r="L88">
            <v>2.85</v>
          </cell>
          <cell r="M88">
            <v>16.739999999999998</v>
          </cell>
          <cell r="N88">
            <v>8.3960240000000006</v>
          </cell>
          <cell r="O88">
            <v>10.685848</v>
          </cell>
          <cell r="Q88">
            <v>93.92740415898578</v>
          </cell>
          <cell r="R88">
            <v>95.876117919841008</v>
          </cell>
          <cell r="S88">
            <v>112.59980359834248</v>
          </cell>
          <cell r="T88">
            <v>112.9811228215313</v>
          </cell>
          <cell r="U88">
            <v>100.98877605558525</v>
          </cell>
          <cell r="V88">
            <v>115.88270105240083</v>
          </cell>
          <cell r="W88">
            <v>111.14519427402863</v>
          </cell>
          <cell r="X88">
            <v>101.23839009287924</v>
          </cell>
          <cell r="Y88">
            <v>120.45150181748612</v>
          </cell>
          <cell r="Z88">
            <v>88.041353552477631</v>
          </cell>
          <cell r="AA88">
            <v>139.70588235294116</v>
          </cell>
          <cell r="AB88">
            <v>91.275899672846222</v>
          </cell>
          <cell r="AC88">
            <v>102.72643951496521</v>
          </cell>
          <cell r="AD88">
            <v>101.29185445880555</v>
          </cell>
          <cell r="AF88">
            <v>107.00951228077882</v>
          </cell>
          <cell r="AG88">
            <v>102.00914698688538</v>
          </cell>
        </row>
        <row r="89">
          <cell r="A89">
            <v>40265</v>
          </cell>
          <cell r="B89">
            <v>12.983594</v>
          </cell>
          <cell r="C89">
            <v>57.89</v>
          </cell>
          <cell r="D89">
            <v>58.661479999999997</v>
          </cell>
          <cell r="E89">
            <v>30.886402</v>
          </cell>
          <cell r="F89">
            <v>75.58</v>
          </cell>
          <cell r="G89">
            <v>1.1968369999999999</v>
          </cell>
          <cell r="H89">
            <v>21.74</v>
          </cell>
          <cell r="I89">
            <v>35.97</v>
          </cell>
          <cell r="J89">
            <v>31.48</v>
          </cell>
          <cell r="K89">
            <v>4.0144260000000003</v>
          </cell>
          <cell r="L89">
            <v>2.85</v>
          </cell>
          <cell r="M89">
            <v>16.739999999999998</v>
          </cell>
          <cell r="N89">
            <v>8.3960240000000006</v>
          </cell>
          <cell r="O89">
            <v>10.685848</v>
          </cell>
          <cell r="Q89">
            <v>93.92740415898578</v>
          </cell>
          <cell r="R89">
            <v>95.876117919841008</v>
          </cell>
          <cell r="S89">
            <v>112.59980359834248</v>
          </cell>
          <cell r="T89">
            <v>112.9811228215313</v>
          </cell>
          <cell r="U89">
            <v>100.98877605558525</v>
          </cell>
          <cell r="V89">
            <v>115.88270105240083</v>
          </cell>
          <cell r="W89">
            <v>111.14519427402863</v>
          </cell>
          <cell r="X89">
            <v>101.23839009287924</v>
          </cell>
          <cell r="Y89">
            <v>120.45150181748612</v>
          </cell>
          <cell r="Z89">
            <v>88.041353552477631</v>
          </cell>
          <cell r="AA89">
            <v>139.70588235294116</v>
          </cell>
          <cell r="AB89">
            <v>91.275899672846222</v>
          </cell>
          <cell r="AC89">
            <v>102.72643951496521</v>
          </cell>
          <cell r="AD89">
            <v>101.29185445880555</v>
          </cell>
          <cell r="AF89">
            <v>107.00951228077882</v>
          </cell>
          <cell r="AG89">
            <v>102.00914698688538</v>
          </cell>
        </row>
        <row r="90">
          <cell r="A90">
            <v>40266</v>
          </cell>
          <cell r="B90">
            <v>13.1451435</v>
          </cell>
          <cell r="C90">
            <v>58.49</v>
          </cell>
          <cell r="D90">
            <v>57.836525000000002</v>
          </cell>
          <cell r="E90">
            <v>30.601564</v>
          </cell>
          <cell r="F90">
            <v>75.81</v>
          </cell>
          <cell r="G90">
            <v>1.2082648</v>
          </cell>
          <cell r="H90">
            <v>21.965</v>
          </cell>
          <cell r="I90">
            <v>35.770000000000003</v>
          </cell>
          <cell r="J90">
            <v>31.745000000000001</v>
          </cell>
          <cell r="K90">
            <v>4.1193</v>
          </cell>
          <cell r="L90">
            <v>3.17</v>
          </cell>
          <cell r="M90">
            <v>16.98</v>
          </cell>
          <cell r="N90">
            <v>8.5370910000000002</v>
          </cell>
          <cell r="O90">
            <v>10.664455999999999</v>
          </cell>
          <cell r="Q90">
            <v>95.096104071982296</v>
          </cell>
          <cell r="R90">
            <v>96.869824445180512</v>
          </cell>
          <cell r="S90">
            <v>111.01631523464161</v>
          </cell>
          <cell r="T90">
            <v>111.93919773546139</v>
          </cell>
          <cell r="U90">
            <v>101.29609834313203</v>
          </cell>
          <cell r="V90">
            <v>116.9891878430721</v>
          </cell>
          <cell r="W90">
            <v>112.2955010224949</v>
          </cell>
          <cell r="X90">
            <v>100.67548550520686</v>
          </cell>
          <cell r="Y90">
            <v>121.46546776353549</v>
          </cell>
          <cell r="Z90">
            <v>90.341370768503666</v>
          </cell>
          <cell r="AA90">
            <v>155.39215686274511</v>
          </cell>
          <cell r="AB90">
            <v>92.584514721919305</v>
          </cell>
          <cell r="AC90">
            <v>104.45241250444899</v>
          </cell>
          <cell r="AD90">
            <v>101.08907828693947</v>
          </cell>
          <cell r="AF90">
            <v>108.83010202648961</v>
          </cell>
          <cell r="AG90">
            <v>102.77074539569423</v>
          </cell>
        </row>
        <row r="91">
          <cell r="A91">
            <v>40267</v>
          </cell>
          <cell r="B91">
            <v>13.164254</v>
          </cell>
          <cell r="C91">
            <v>58.64</v>
          </cell>
          <cell r="D91">
            <v>57.849460000000001</v>
          </cell>
          <cell r="E91">
            <v>30.892472999999999</v>
          </cell>
          <cell r="F91">
            <v>75.95</v>
          </cell>
          <cell r="G91">
            <v>1.214329</v>
          </cell>
          <cell r="H91">
            <v>22.08</v>
          </cell>
          <cell r="I91">
            <v>36.130000000000003</v>
          </cell>
          <cell r="J91">
            <v>31.934999999999999</v>
          </cell>
          <cell r="K91">
            <v>4.0788060000000002</v>
          </cell>
          <cell r="L91">
            <v>3.12</v>
          </cell>
          <cell r="M91">
            <v>16.84</v>
          </cell>
          <cell r="N91">
            <v>8.6576229999999992</v>
          </cell>
          <cell r="O91">
            <v>10.813672</v>
          </cell>
          <cell r="Q91">
            <v>95.234355441917344</v>
          </cell>
          <cell r="R91">
            <v>97.118251076515392</v>
          </cell>
          <cell r="S91">
            <v>111.0411437670882</v>
          </cell>
          <cell r="T91">
            <v>113.00333027698855</v>
          </cell>
          <cell r="U91">
            <v>101.48316408337787</v>
          </cell>
          <cell r="V91">
            <v>117.57634873108105</v>
          </cell>
          <cell r="W91">
            <v>112.88343558282207</v>
          </cell>
          <cell r="X91">
            <v>101.68871376301718</v>
          </cell>
          <cell r="Y91">
            <v>122.19246221541992</v>
          </cell>
          <cell r="Z91">
            <v>89.453286999926533</v>
          </cell>
          <cell r="AA91">
            <v>152.94117647058826</v>
          </cell>
          <cell r="AB91">
            <v>91.821155943293348</v>
          </cell>
          <cell r="AC91">
            <v>105.92713711309921</v>
          </cell>
          <cell r="AD91">
            <v>102.50350654335161</v>
          </cell>
          <cell r="AF91">
            <v>108.86973536266966</v>
          </cell>
          <cell r="AG91">
            <v>104.2153218282254</v>
          </cell>
        </row>
        <row r="92">
          <cell r="A92">
            <v>40268</v>
          </cell>
          <cell r="B92">
            <v>13.189503999999999</v>
          </cell>
          <cell r="C92">
            <v>58.29</v>
          </cell>
          <cell r="D92">
            <v>58.647263000000002</v>
          </cell>
          <cell r="E92">
            <v>30.500855999999999</v>
          </cell>
          <cell r="F92">
            <v>75.709999999999994</v>
          </cell>
          <cell r="G92">
            <v>1.1444513000000001</v>
          </cell>
          <cell r="H92">
            <v>21.984999999999999</v>
          </cell>
          <cell r="I92">
            <v>35.49</v>
          </cell>
          <cell r="J92">
            <v>31.824999999999999</v>
          </cell>
          <cell r="K92">
            <v>4.0568967000000002</v>
          </cell>
          <cell r="L92">
            <v>3.18</v>
          </cell>
          <cell r="M92">
            <v>16.07</v>
          </cell>
          <cell r="N92">
            <v>8.7409649999999992</v>
          </cell>
          <cell r="O92">
            <v>10.646046999999999</v>
          </cell>
          <cell r="Q92">
            <v>95.417021886586994</v>
          </cell>
          <cell r="R92">
            <v>96.538588936734016</v>
          </cell>
          <cell r="S92">
            <v>112.57251428672339</v>
          </cell>
          <cell r="T92">
            <v>111.57081222661802</v>
          </cell>
          <cell r="U92">
            <v>101.1624799572421</v>
          </cell>
          <cell r="V92">
            <v>110.81050123528226</v>
          </cell>
          <cell r="W92">
            <v>112.39775051124745</v>
          </cell>
          <cell r="X92">
            <v>99.887419082465527</v>
          </cell>
          <cell r="Y92">
            <v>121.77157069064472</v>
          </cell>
          <cell r="Z92">
            <v>88.972788809802395</v>
          </cell>
          <cell r="AA92">
            <v>155.88235294117646</v>
          </cell>
          <cell r="AB92">
            <v>87.6226826608506</v>
          </cell>
          <cell r="AC92">
            <v>106.94683726189061</v>
          </cell>
          <cell r="AD92">
            <v>100.914578167835</v>
          </cell>
          <cell r="AF92">
            <v>107.88387360211449</v>
          </cell>
          <cell r="AG92">
            <v>103.93070771486281</v>
          </cell>
        </row>
        <row r="93">
          <cell r="A93">
            <v>40269</v>
          </cell>
          <cell r="B93">
            <v>13.26024</v>
          </cell>
          <cell r="C93">
            <v>59.07</v>
          </cell>
          <cell r="D93">
            <v>58.529316000000001</v>
          </cell>
          <cell r="E93">
            <v>30.360754</v>
          </cell>
          <cell r="F93">
            <v>77.17</v>
          </cell>
          <cell r="G93">
            <v>1.1736921</v>
          </cell>
          <cell r="H93">
            <v>21.875</v>
          </cell>
          <cell r="I93">
            <v>35.75</v>
          </cell>
          <cell r="J93">
            <v>31.864999999999998</v>
          </cell>
          <cell r="K93">
            <v>4.0056972999999996</v>
          </cell>
          <cell r="L93">
            <v>3.3</v>
          </cell>
          <cell r="M93">
            <v>16.04</v>
          </cell>
          <cell r="N93">
            <v>8.5639179999999993</v>
          </cell>
          <cell r="O93">
            <v>10.350187</v>
          </cell>
          <cell r="Q93">
            <v>95.928748366989112</v>
          </cell>
          <cell r="R93">
            <v>97.830407419675382</v>
          </cell>
          <cell r="S93">
            <v>112.34611684439813</v>
          </cell>
          <cell r="T93">
            <v>111.05832516938352</v>
          </cell>
          <cell r="U93">
            <v>103.11330839123463</v>
          </cell>
          <cell r="V93">
            <v>113.64171625030355</v>
          </cell>
          <cell r="W93">
            <v>111.83537832310839</v>
          </cell>
          <cell r="X93">
            <v>100.61919504643964</v>
          </cell>
          <cell r="Y93">
            <v>121.92462215419934</v>
          </cell>
          <cell r="Z93">
            <v>87.849922308570399</v>
          </cell>
          <cell r="AA93">
            <v>161.76470588235293</v>
          </cell>
          <cell r="AB93">
            <v>87.459105779716467</v>
          </cell>
          <cell r="AC93">
            <v>104.78064431903979</v>
          </cell>
          <cell r="AD93">
            <v>98.110101811800178</v>
          </cell>
          <cell r="AF93">
            <v>108.7809626613643</v>
          </cell>
          <cell r="AG93">
            <v>101.44537306541999</v>
          </cell>
        </row>
        <row r="94">
          <cell r="A94">
            <v>40270</v>
          </cell>
          <cell r="B94">
            <v>13.26024</v>
          </cell>
          <cell r="C94">
            <v>59.07</v>
          </cell>
          <cell r="D94">
            <v>58.529316000000001</v>
          </cell>
          <cell r="E94">
            <v>30.360754</v>
          </cell>
          <cell r="F94">
            <v>77.17</v>
          </cell>
          <cell r="G94">
            <v>1.1736921</v>
          </cell>
          <cell r="H94">
            <v>21.875</v>
          </cell>
          <cell r="I94">
            <v>35.75</v>
          </cell>
          <cell r="J94">
            <v>31.864999999999998</v>
          </cell>
          <cell r="K94">
            <v>4.0056972999999996</v>
          </cell>
          <cell r="L94">
            <v>3.3</v>
          </cell>
          <cell r="M94">
            <v>16.04</v>
          </cell>
          <cell r="N94">
            <v>8.5639179999999993</v>
          </cell>
          <cell r="O94">
            <v>10.350187</v>
          </cell>
          <cell r="Q94">
            <v>95.928748366989112</v>
          </cell>
          <cell r="R94">
            <v>97.830407419675382</v>
          </cell>
          <cell r="S94">
            <v>112.34611684439813</v>
          </cell>
          <cell r="T94">
            <v>111.05832516938352</v>
          </cell>
          <cell r="U94">
            <v>103.11330839123463</v>
          </cell>
          <cell r="V94">
            <v>113.64171625030355</v>
          </cell>
          <cell r="W94">
            <v>111.83537832310839</v>
          </cell>
          <cell r="X94">
            <v>100.61919504643964</v>
          </cell>
          <cell r="Y94">
            <v>121.92462215419934</v>
          </cell>
          <cell r="Z94">
            <v>87.849922308570399</v>
          </cell>
          <cell r="AA94">
            <v>161.76470588235293</v>
          </cell>
          <cell r="AB94">
            <v>87.459105779716467</v>
          </cell>
          <cell r="AC94">
            <v>104.78064431903979</v>
          </cell>
          <cell r="AD94">
            <v>98.110101811800178</v>
          </cell>
          <cell r="AF94">
            <v>108.7809626613643</v>
          </cell>
          <cell r="AG94">
            <v>101.44537306541999</v>
          </cell>
        </row>
        <row r="95">
          <cell r="A95">
            <v>40271</v>
          </cell>
          <cell r="B95">
            <v>13.26024</v>
          </cell>
          <cell r="C95">
            <v>59.07</v>
          </cell>
          <cell r="D95">
            <v>58.529316000000001</v>
          </cell>
          <cell r="E95">
            <v>30.360754</v>
          </cell>
          <cell r="F95">
            <v>77.17</v>
          </cell>
          <cell r="G95">
            <v>1.1736921</v>
          </cell>
          <cell r="H95">
            <v>21.875</v>
          </cell>
          <cell r="I95">
            <v>35.75</v>
          </cell>
          <cell r="J95">
            <v>31.864999999999998</v>
          </cell>
          <cell r="K95">
            <v>4.0056972999999996</v>
          </cell>
          <cell r="L95">
            <v>3.3</v>
          </cell>
          <cell r="M95">
            <v>16.04</v>
          </cell>
          <cell r="N95">
            <v>8.5639179999999993</v>
          </cell>
          <cell r="O95">
            <v>10.350187</v>
          </cell>
          <cell r="Q95">
            <v>95.928748366989112</v>
          </cell>
          <cell r="R95">
            <v>97.830407419675382</v>
          </cell>
          <cell r="S95">
            <v>112.34611684439813</v>
          </cell>
          <cell r="T95">
            <v>111.05832516938352</v>
          </cell>
          <cell r="U95">
            <v>103.11330839123463</v>
          </cell>
          <cell r="V95">
            <v>113.64171625030355</v>
          </cell>
          <cell r="W95">
            <v>111.83537832310839</v>
          </cell>
          <cell r="X95">
            <v>100.61919504643964</v>
          </cell>
          <cell r="Y95">
            <v>121.92462215419934</v>
          </cell>
          <cell r="Z95">
            <v>87.849922308570399</v>
          </cell>
          <cell r="AA95">
            <v>161.76470588235293</v>
          </cell>
          <cell r="AB95">
            <v>87.459105779716467</v>
          </cell>
          <cell r="AC95">
            <v>104.78064431903979</v>
          </cell>
          <cell r="AD95">
            <v>98.110101811800178</v>
          </cell>
          <cell r="AF95">
            <v>108.7809626613643</v>
          </cell>
          <cell r="AG95">
            <v>101.44537306541999</v>
          </cell>
        </row>
        <row r="96">
          <cell r="A96">
            <v>40272</v>
          </cell>
          <cell r="B96">
            <v>13.26024</v>
          </cell>
          <cell r="C96">
            <v>59.07</v>
          </cell>
          <cell r="D96">
            <v>58.529316000000001</v>
          </cell>
          <cell r="E96">
            <v>30.360754</v>
          </cell>
          <cell r="F96">
            <v>77.17</v>
          </cell>
          <cell r="G96">
            <v>1.1736921</v>
          </cell>
          <cell r="H96">
            <v>21.875</v>
          </cell>
          <cell r="I96">
            <v>35.75</v>
          </cell>
          <cell r="J96">
            <v>31.864999999999998</v>
          </cell>
          <cell r="K96">
            <v>4.0056972999999996</v>
          </cell>
          <cell r="L96">
            <v>3.3</v>
          </cell>
          <cell r="M96">
            <v>16.04</v>
          </cell>
          <cell r="N96">
            <v>8.5639179999999993</v>
          </cell>
          <cell r="O96">
            <v>10.350187</v>
          </cell>
          <cell r="Q96">
            <v>95.928748366989112</v>
          </cell>
          <cell r="R96">
            <v>97.830407419675382</v>
          </cell>
          <cell r="S96">
            <v>112.34611684439813</v>
          </cell>
          <cell r="T96">
            <v>111.05832516938352</v>
          </cell>
          <cell r="U96">
            <v>103.11330839123463</v>
          </cell>
          <cell r="V96">
            <v>113.64171625030355</v>
          </cell>
          <cell r="W96">
            <v>111.83537832310839</v>
          </cell>
          <cell r="X96">
            <v>100.61919504643964</v>
          </cell>
          <cell r="Y96">
            <v>121.92462215419934</v>
          </cell>
          <cell r="Z96">
            <v>87.849922308570399</v>
          </cell>
          <cell r="AA96">
            <v>161.76470588235293</v>
          </cell>
          <cell r="AB96">
            <v>87.459105779716467</v>
          </cell>
          <cell r="AC96">
            <v>104.78064431903979</v>
          </cell>
          <cell r="AD96">
            <v>98.110101811800178</v>
          </cell>
          <cell r="AF96">
            <v>108.7809626613643</v>
          </cell>
          <cell r="AG96">
            <v>101.44537306541999</v>
          </cell>
        </row>
        <row r="97">
          <cell r="A97">
            <v>40273</v>
          </cell>
          <cell r="B97">
            <v>13.252319</v>
          </cell>
          <cell r="C97">
            <v>58.9</v>
          </cell>
          <cell r="D97">
            <v>59.374504000000002</v>
          </cell>
          <cell r="E97">
            <v>30.269354</v>
          </cell>
          <cell r="F97">
            <v>76.89</v>
          </cell>
          <cell r="G97">
            <v>1.202663</v>
          </cell>
          <cell r="H97">
            <v>21.93</v>
          </cell>
          <cell r="I97">
            <v>36.450000000000003</v>
          </cell>
          <cell r="J97">
            <v>31.785</v>
          </cell>
          <cell r="K97">
            <v>4.0033050000000001</v>
          </cell>
          <cell r="L97">
            <v>3.37</v>
          </cell>
          <cell r="M97">
            <v>15.81</v>
          </cell>
          <cell r="N97">
            <v>8.4297284999999995</v>
          </cell>
          <cell r="O97">
            <v>10.117948</v>
          </cell>
          <cell r="Q97">
            <v>95.871445360722646</v>
          </cell>
          <cell r="R97">
            <v>97.548857237495852</v>
          </cell>
          <cell r="S97">
            <v>113.96844213867429</v>
          </cell>
          <cell r="T97">
            <v>110.72398792201209</v>
          </cell>
          <cell r="U97">
            <v>102.73917691074293</v>
          </cell>
          <cell r="V97">
            <v>116.44679843268845</v>
          </cell>
          <cell r="W97">
            <v>112.11656441717793</v>
          </cell>
          <cell r="X97">
            <v>102.589361103293</v>
          </cell>
          <cell r="Y97">
            <v>121.6185192270901</v>
          </cell>
          <cell r="Z97">
            <v>87.797456195082802</v>
          </cell>
          <cell r="AA97">
            <v>165.19607843137257</v>
          </cell>
          <cell r="AB97">
            <v>86.205016357688109</v>
          </cell>
          <cell r="AC97">
            <v>103.13881843153716</v>
          </cell>
          <cell r="AD97">
            <v>95.908693089941266</v>
          </cell>
          <cell r="AF97">
            <v>109.40180864450339</v>
          </cell>
          <cell r="AG97">
            <v>99.52375576073922</v>
          </cell>
        </row>
        <row r="98">
          <cell r="A98">
            <v>40274</v>
          </cell>
          <cell r="B98">
            <v>13.276539</v>
          </cell>
          <cell r="C98">
            <v>58.4</v>
          </cell>
          <cell r="D98">
            <v>60.122369999999997</v>
          </cell>
          <cell r="E98">
            <v>30.508113999999999</v>
          </cell>
          <cell r="F98">
            <v>77.150000000000006</v>
          </cell>
          <cell r="G98">
            <v>1.209562</v>
          </cell>
          <cell r="H98">
            <v>21.89</v>
          </cell>
          <cell r="I98">
            <v>36.42</v>
          </cell>
          <cell r="J98">
            <v>31.605</v>
          </cell>
          <cell r="K98">
            <v>4.1050024000000001</v>
          </cell>
          <cell r="L98">
            <v>3.35</v>
          </cell>
          <cell r="M98">
            <v>16.079999999999998</v>
          </cell>
          <cell r="N98">
            <v>8.1799579999999992</v>
          </cell>
          <cell r="O98">
            <v>9.8841169999999998</v>
          </cell>
          <cell r="Q98">
            <v>96.046660461312712</v>
          </cell>
          <cell r="R98">
            <v>96.720768466379596</v>
          </cell>
          <cell r="S98">
            <v>115.40395935913786</v>
          </cell>
          <cell r="T98">
            <v>111.59736167674299</v>
          </cell>
          <cell r="U98">
            <v>103.08658471405666</v>
          </cell>
          <cell r="V98">
            <v>117.11478810426487</v>
          </cell>
          <cell r="W98">
            <v>111.9120654396728</v>
          </cell>
          <cell r="X98">
            <v>102.50492541514214</v>
          </cell>
          <cell r="Y98">
            <v>120.92978764109432</v>
          </cell>
          <cell r="Z98">
            <v>90.027806623454808</v>
          </cell>
          <cell r="AA98">
            <v>164.21568627450981</v>
          </cell>
          <cell r="AB98">
            <v>87.677208287895297</v>
          </cell>
          <cell r="AC98">
            <v>100.08284406070726</v>
          </cell>
          <cell r="AD98">
            <v>93.692193695606164</v>
          </cell>
          <cell r="AF98">
            <v>109.76980020530533</v>
          </cell>
          <cell r="AG98">
            <v>96.887518878156712</v>
          </cell>
        </row>
        <row r="99">
          <cell r="A99">
            <v>40275</v>
          </cell>
          <cell r="B99">
            <v>13.331614999999999</v>
          </cell>
          <cell r="C99">
            <v>58.21</v>
          </cell>
          <cell r="D99">
            <v>59.900700000000001</v>
          </cell>
          <cell r="E99">
            <v>31.018098999999999</v>
          </cell>
          <cell r="F99">
            <v>76.459999999999994</v>
          </cell>
          <cell r="G99">
            <v>1.2181578</v>
          </cell>
          <cell r="H99">
            <v>22.05</v>
          </cell>
          <cell r="I99">
            <v>36.97</v>
          </cell>
          <cell r="J99">
            <v>31.32</v>
          </cell>
          <cell r="K99">
            <v>4.1134377000000004</v>
          </cell>
          <cell r="L99">
            <v>3.38</v>
          </cell>
          <cell r="M99">
            <v>16.37</v>
          </cell>
          <cell r="N99">
            <v>8.3912119999999994</v>
          </cell>
          <cell r="O99">
            <v>9.695252</v>
          </cell>
          <cell r="Q99">
            <v>96.445097574446436</v>
          </cell>
          <cell r="R99">
            <v>96.406094733355417</v>
          </cell>
          <cell r="S99">
            <v>114.97846722249821</v>
          </cell>
          <cell r="T99">
            <v>113.46286475224329</v>
          </cell>
          <cell r="U99">
            <v>102.16461785141635</v>
          </cell>
          <cell r="V99">
            <v>117.94706895930713</v>
          </cell>
          <cell r="W99">
            <v>112.73006134969326</v>
          </cell>
          <cell r="X99">
            <v>104.0529130312412</v>
          </cell>
          <cell r="Y99">
            <v>119.83929596326763</v>
          </cell>
          <cell r="Z99">
            <v>90.212803240560518</v>
          </cell>
          <cell r="AA99">
            <v>165.68627450980392</v>
          </cell>
          <cell r="AB99">
            <v>89.258451472191936</v>
          </cell>
          <cell r="AC99">
            <v>102.66756407261938</v>
          </cell>
          <cell r="AD99">
            <v>91.901929966198608</v>
          </cell>
          <cell r="AF99">
            <v>110.26533422166877</v>
          </cell>
          <cell r="AG99">
            <v>97.284747019408996</v>
          </cell>
        </row>
        <row r="100">
          <cell r="A100">
            <v>40276</v>
          </cell>
          <cell r="B100">
            <v>13.359408</v>
          </cell>
          <cell r="C100">
            <v>58.01</v>
          </cell>
          <cell r="D100">
            <v>59.155082999999998</v>
          </cell>
          <cell r="E100">
            <v>31.144988999999999</v>
          </cell>
          <cell r="F100">
            <v>76.13</v>
          </cell>
          <cell r="G100">
            <v>1.2194685000000001</v>
          </cell>
          <cell r="H100">
            <v>22.66</v>
          </cell>
          <cell r="I100">
            <v>36.74</v>
          </cell>
          <cell r="J100">
            <v>30.69</v>
          </cell>
          <cell r="K100">
            <v>4.1690250000000004</v>
          </cell>
          <cell r="L100">
            <v>3.43</v>
          </cell>
          <cell r="M100">
            <v>16.11</v>
          </cell>
          <cell r="N100">
            <v>8.4923909999999996</v>
          </cell>
          <cell r="O100">
            <v>9.8769589999999994</v>
          </cell>
          <cell r="Q100">
            <v>96.646160881246601</v>
          </cell>
          <cell r="R100">
            <v>96.074859224908906</v>
          </cell>
          <cell r="S100">
            <v>113.54726692275148</v>
          </cell>
          <cell r="T100">
            <v>113.92702288483589</v>
          </cell>
          <cell r="U100">
            <v>101.72367717797968</v>
          </cell>
          <cell r="V100">
            <v>118.07397634625238</v>
          </cell>
          <cell r="W100">
            <v>115.84867075664621</v>
          </cell>
          <cell r="X100">
            <v>103.40557275541795</v>
          </cell>
          <cell r="Y100">
            <v>117.42873541228238</v>
          </cell>
          <cell r="Z100">
            <v>91.431901844527232</v>
          </cell>
          <cell r="AA100">
            <v>168.13725490196077</v>
          </cell>
          <cell r="AB100">
            <v>87.840785169029445</v>
          </cell>
          <cell r="AC100">
            <v>103.90550222330653</v>
          </cell>
          <cell r="AD100">
            <v>93.624342543857026</v>
          </cell>
          <cell r="AF100">
            <v>110.34049035648657</v>
          </cell>
          <cell r="AG100">
            <v>98.764922383581776</v>
          </cell>
        </row>
        <row r="101">
          <cell r="A101">
            <v>40277</v>
          </cell>
          <cell r="B101">
            <v>13.485948</v>
          </cell>
          <cell r="C101">
            <v>58.15</v>
          </cell>
          <cell r="D101">
            <v>58.867603000000003</v>
          </cell>
          <cell r="E101">
            <v>31.456707000000002</v>
          </cell>
          <cell r="F101">
            <v>76.16</v>
          </cell>
          <cell r="G101">
            <v>1.2517084999999999</v>
          </cell>
          <cell r="H101">
            <v>22.795000000000002</v>
          </cell>
          <cell r="I101">
            <v>36.96</v>
          </cell>
          <cell r="J101">
            <v>30.79</v>
          </cell>
          <cell r="K101">
            <v>4.2190149999999997</v>
          </cell>
          <cell r="L101">
            <v>3.5</v>
          </cell>
          <cell r="M101">
            <v>15.77</v>
          </cell>
          <cell r="N101">
            <v>8.5954239999999995</v>
          </cell>
          <cell r="O101">
            <v>10.089054000000001</v>
          </cell>
          <cell r="Q101">
            <v>97.561591055840637</v>
          </cell>
          <cell r="R101">
            <v>96.306724080821454</v>
          </cell>
          <cell r="S101">
            <v>112.9954535089329</v>
          </cell>
          <cell r="T101">
            <v>115.06727384846972</v>
          </cell>
          <cell r="U101">
            <v>101.76376269374666</v>
          </cell>
          <cell r="V101">
            <v>121.19558629140732</v>
          </cell>
          <cell r="W101">
            <v>116.53885480572599</v>
          </cell>
          <cell r="X101">
            <v>104.02476780185759</v>
          </cell>
          <cell r="Y101">
            <v>117.81136407116892</v>
          </cell>
          <cell r="Z101">
            <v>92.528244700040901</v>
          </cell>
          <cell r="AA101">
            <v>171.56862745098039</v>
          </cell>
          <cell r="AB101">
            <v>85.986913849509278</v>
          </cell>
          <cell r="AC101">
            <v>105.16612430377525</v>
          </cell>
          <cell r="AD101">
            <v>95.63480496775081</v>
          </cell>
          <cell r="AF101">
            <v>111.11243034654179</v>
          </cell>
          <cell r="AG101">
            <v>100.40046463576303</v>
          </cell>
        </row>
        <row r="102">
          <cell r="A102">
            <v>40278</v>
          </cell>
          <cell r="B102">
            <v>13.485948</v>
          </cell>
          <cell r="C102">
            <v>58.15</v>
          </cell>
          <cell r="D102">
            <v>58.867603000000003</v>
          </cell>
          <cell r="E102">
            <v>31.456707000000002</v>
          </cell>
          <cell r="F102">
            <v>76.16</v>
          </cell>
          <cell r="G102">
            <v>1.2517084999999999</v>
          </cell>
          <cell r="H102">
            <v>22.795000000000002</v>
          </cell>
          <cell r="I102">
            <v>36.96</v>
          </cell>
          <cell r="J102">
            <v>30.79</v>
          </cell>
          <cell r="K102">
            <v>4.2190149999999997</v>
          </cell>
          <cell r="L102">
            <v>3.5</v>
          </cell>
          <cell r="M102">
            <v>15.77</v>
          </cell>
          <cell r="N102">
            <v>8.5954239999999995</v>
          </cell>
          <cell r="O102">
            <v>10.089054000000001</v>
          </cell>
          <cell r="Q102">
            <v>97.561591055840637</v>
          </cell>
          <cell r="R102">
            <v>96.306724080821454</v>
          </cell>
          <cell r="S102">
            <v>112.9954535089329</v>
          </cell>
          <cell r="T102">
            <v>115.06727384846972</v>
          </cell>
          <cell r="U102">
            <v>101.76376269374666</v>
          </cell>
          <cell r="V102">
            <v>121.19558629140732</v>
          </cell>
          <cell r="W102">
            <v>116.53885480572599</v>
          </cell>
          <cell r="X102">
            <v>104.02476780185759</v>
          </cell>
          <cell r="Y102">
            <v>117.81136407116892</v>
          </cell>
          <cell r="Z102">
            <v>92.528244700040901</v>
          </cell>
          <cell r="AA102">
            <v>171.56862745098039</v>
          </cell>
          <cell r="AB102">
            <v>85.986913849509278</v>
          </cell>
          <cell r="AC102">
            <v>105.16612430377525</v>
          </cell>
          <cell r="AD102">
            <v>95.63480496775081</v>
          </cell>
          <cell r="AF102">
            <v>111.11243034654179</v>
          </cell>
          <cell r="AG102">
            <v>100.40046463576303</v>
          </cell>
        </row>
        <row r="103">
          <cell r="A103">
            <v>40279</v>
          </cell>
          <cell r="B103">
            <v>13.485948</v>
          </cell>
          <cell r="C103">
            <v>58.15</v>
          </cell>
          <cell r="D103">
            <v>58.867603000000003</v>
          </cell>
          <cell r="E103">
            <v>31.456707000000002</v>
          </cell>
          <cell r="F103">
            <v>76.16</v>
          </cell>
          <cell r="G103">
            <v>1.2517084999999999</v>
          </cell>
          <cell r="H103">
            <v>22.795000000000002</v>
          </cell>
          <cell r="I103">
            <v>36.96</v>
          </cell>
          <cell r="J103">
            <v>30.79</v>
          </cell>
          <cell r="K103">
            <v>4.2190149999999997</v>
          </cell>
          <cell r="L103">
            <v>3.5</v>
          </cell>
          <cell r="M103">
            <v>15.77</v>
          </cell>
          <cell r="N103">
            <v>8.5954239999999995</v>
          </cell>
          <cell r="O103">
            <v>10.089054000000001</v>
          </cell>
          <cell r="Q103">
            <v>97.561591055840637</v>
          </cell>
          <cell r="R103">
            <v>96.306724080821454</v>
          </cell>
          <cell r="S103">
            <v>112.9954535089329</v>
          </cell>
          <cell r="T103">
            <v>115.06727384846972</v>
          </cell>
          <cell r="U103">
            <v>101.76376269374666</v>
          </cell>
          <cell r="V103">
            <v>121.19558629140732</v>
          </cell>
          <cell r="W103">
            <v>116.53885480572599</v>
          </cell>
          <cell r="X103">
            <v>104.02476780185759</v>
          </cell>
          <cell r="Y103">
            <v>117.81136407116892</v>
          </cell>
          <cell r="Z103">
            <v>92.528244700040901</v>
          </cell>
          <cell r="AA103">
            <v>171.56862745098039</v>
          </cell>
          <cell r="AB103">
            <v>85.986913849509278</v>
          </cell>
          <cell r="AC103">
            <v>105.16612430377525</v>
          </cell>
          <cell r="AD103">
            <v>95.63480496775081</v>
          </cell>
          <cell r="AF103">
            <v>111.11243034654179</v>
          </cell>
          <cell r="AG103">
            <v>100.40046463576303</v>
          </cell>
        </row>
        <row r="104">
          <cell r="A104">
            <v>40280</v>
          </cell>
          <cell r="B104">
            <v>13.248253999999999</v>
          </cell>
          <cell r="C104">
            <v>58.1</v>
          </cell>
          <cell r="D104">
            <v>58.517764999999997</v>
          </cell>
          <cell r="E104">
            <v>31.788221</v>
          </cell>
          <cell r="F104">
            <v>76.67</v>
          </cell>
          <cell r="G104">
            <v>1.2513934</v>
          </cell>
          <cell r="H104">
            <v>22.87</v>
          </cell>
          <cell r="I104">
            <v>37.31</v>
          </cell>
          <cell r="J104">
            <v>30.8</v>
          </cell>
          <cell r="K104">
            <v>4.208596</v>
          </cell>
          <cell r="L104">
            <v>3.45</v>
          </cell>
          <cell r="M104">
            <v>16.09</v>
          </cell>
          <cell r="N104">
            <v>8.591329</v>
          </cell>
          <cell r="O104">
            <v>10.228854999999999</v>
          </cell>
          <cell r="Q104">
            <v>95.842037871709479</v>
          </cell>
          <cell r="R104">
            <v>96.223915203709836</v>
          </cell>
          <cell r="S104">
            <v>112.32394487854653</v>
          </cell>
          <cell r="T104">
            <v>116.27993772401786</v>
          </cell>
          <cell r="U104">
            <v>102.44521646178515</v>
          </cell>
          <cell r="V104">
            <v>121.16507700810342</v>
          </cell>
          <cell r="W104">
            <v>116.92229038854806</v>
          </cell>
          <cell r="X104">
            <v>105.00985083028426</v>
          </cell>
          <cell r="Y104">
            <v>117.84962693705758</v>
          </cell>
          <cell r="Z104">
            <v>92.299743075484059</v>
          </cell>
          <cell r="AA104">
            <v>169.11764705882354</v>
          </cell>
          <cell r="AB104">
            <v>87.731733914940023</v>
          </cell>
          <cell r="AC104">
            <v>105.11602144916053</v>
          </cell>
          <cell r="AD104">
            <v>96.959987821296494</v>
          </cell>
          <cell r="AF104">
            <v>111.10091844608412</v>
          </cell>
          <cell r="AG104">
            <v>101.0380046352285</v>
          </cell>
        </row>
        <row r="105">
          <cell r="A105">
            <v>40281</v>
          </cell>
          <cell r="B105">
            <v>13.388206500000001</v>
          </cell>
          <cell r="C105">
            <v>58.25</v>
          </cell>
          <cell r="D105">
            <v>59.054057999999998</v>
          </cell>
          <cell r="E105">
            <v>31.910665999999999</v>
          </cell>
          <cell r="F105">
            <v>76.44</v>
          </cell>
          <cell r="G105">
            <v>1.2278309000000001</v>
          </cell>
          <cell r="H105">
            <v>23.18</v>
          </cell>
          <cell r="I105">
            <v>37.42</v>
          </cell>
          <cell r="J105">
            <v>30.95</v>
          </cell>
          <cell r="K105">
            <v>4.1514534999999997</v>
          </cell>
          <cell r="L105">
            <v>3.43</v>
          </cell>
          <cell r="M105">
            <v>16</v>
          </cell>
          <cell r="N105">
            <v>8.3809959999999997</v>
          </cell>
          <cell r="O105">
            <v>10.204428999999999</v>
          </cell>
          <cell r="Q105">
            <v>96.85449829141767</v>
          </cell>
          <cell r="R105">
            <v>96.472341835044716</v>
          </cell>
          <cell r="S105">
            <v>113.35335099770967</v>
          </cell>
          <cell r="T105">
            <v>116.7278362388362</v>
          </cell>
          <cell r="U105">
            <v>102.13789417423837</v>
          </cell>
          <cell r="V105">
            <v>118.88365844939644</v>
          </cell>
          <cell r="W105">
            <v>118.50715746421268</v>
          </cell>
          <cell r="X105">
            <v>105.31944835350409</v>
          </cell>
          <cell r="Y105">
            <v>118.42356992538741</v>
          </cell>
          <cell r="Z105">
            <v>91.046537001845508</v>
          </cell>
          <cell r="AA105">
            <v>168.13725490196077</v>
          </cell>
          <cell r="AB105">
            <v>87.241003271537622</v>
          </cell>
          <cell r="AC105">
            <v>102.54256999136322</v>
          </cell>
          <cell r="AD105">
            <v>96.72845216432188</v>
          </cell>
          <cell r="AF105">
            <v>111.0920459087576</v>
          </cell>
          <cell r="AG105">
            <v>99.635511077842551</v>
          </cell>
        </row>
        <row r="106">
          <cell r="A106">
            <v>40282</v>
          </cell>
          <cell r="B106">
            <v>13.468306999999999</v>
          </cell>
          <cell r="C106">
            <v>58.19</v>
          </cell>
          <cell r="D106">
            <v>59.305250000000001</v>
          </cell>
          <cell r="E106">
            <v>31.954181999999999</v>
          </cell>
          <cell r="F106">
            <v>76.260000000000005</v>
          </cell>
          <cell r="G106">
            <v>1.2503636</v>
          </cell>
          <cell r="H106">
            <v>23.295000000000002</v>
          </cell>
          <cell r="I106">
            <v>37.590000000000003</v>
          </cell>
          <cell r="J106">
            <v>31.074999999999999</v>
          </cell>
          <cell r="K106">
            <v>4.2526580000000003</v>
          </cell>
          <cell r="L106">
            <v>3.45</v>
          </cell>
          <cell r="M106">
            <v>16.34</v>
          </cell>
          <cell r="N106">
            <v>8.6644670000000001</v>
          </cell>
          <cell r="O106">
            <v>10.328504000000001</v>
          </cell>
          <cell r="Q106">
            <v>97.433970511269635</v>
          </cell>
          <cell r="R106">
            <v>96.372971182510753</v>
          </cell>
          <cell r="S106">
            <v>113.83551015676045</v>
          </cell>
          <cell r="T106">
            <v>116.88701588496984</v>
          </cell>
          <cell r="U106">
            <v>101.89738107963655</v>
          </cell>
          <cell r="V106">
            <v>121.06536751922251</v>
          </cell>
          <cell r="W106">
            <v>119.09509202453989</v>
          </cell>
          <cell r="X106">
            <v>105.7979172530256</v>
          </cell>
          <cell r="Y106">
            <v>118.90185574899559</v>
          </cell>
          <cell r="Z106">
            <v>93.266077520365911</v>
          </cell>
          <cell r="AA106">
            <v>169.11764705882354</v>
          </cell>
          <cell r="AB106">
            <v>89.094874591057788</v>
          </cell>
          <cell r="AC106">
            <v>106.01087433824775</v>
          </cell>
          <cell r="AD106">
            <v>97.904567231837021</v>
          </cell>
          <cell r="AF106">
            <v>111.89714004426484</v>
          </cell>
          <cell r="AG106">
            <v>101.95772078504238</v>
          </cell>
        </row>
        <row r="107">
          <cell r="A107">
            <v>40283</v>
          </cell>
          <cell r="B107">
            <v>13.286550500000001</v>
          </cell>
          <cell r="C107">
            <v>59.25</v>
          </cell>
          <cell r="D107">
            <v>60.137455000000003</v>
          </cell>
          <cell r="E107">
            <v>31.604379999999999</v>
          </cell>
          <cell r="F107">
            <v>77.75</v>
          </cell>
          <cell r="G107">
            <v>1.2367234</v>
          </cell>
          <cell r="H107">
            <v>23.355</v>
          </cell>
          <cell r="I107">
            <v>37.549999999999997</v>
          </cell>
          <cell r="J107">
            <v>30.97</v>
          </cell>
          <cell r="K107">
            <v>4.2389979999999996</v>
          </cell>
          <cell r="L107">
            <v>3.51</v>
          </cell>
          <cell r="M107">
            <v>16.3</v>
          </cell>
          <cell r="N107">
            <v>8.8103449999999999</v>
          </cell>
          <cell r="O107">
            <v>10.229884</v>
          </cell>
          <cell r="Q107">
            <v>96.119086802334905</v>
          </cell>
          <cell r="R107">
            <v>98.128519377277229</v>
          </cell>
          <cell r="S107">
            <v>115.43291478333242</v>
          </cell>
          <cell r="T107">
            <v>115.6074552962934</v>
          </cell>
          <cell r="U107">
            <v>103.88829502939605</v>
          </cell>
          <cell r="V107">
            <v>119.74466702375406</v>
          </cell>
          <cell r="W107">
            <v>119.40184049079757</v>
          </cell>
          <cell r="X107">
            <v>105.68533633549113</v>
          </cell>
          <cell r="Y107">
            <v>118.50009565716471</v>
          </cell>
          <cell r="Z107">
            <v>92.966496736082689</v>
          </cell>
          <cell r="AA107">
            <v>172.05882352941174</v>
          </cell>
          <cell r="AB107">
            <v>88.876772082878958</v>
          </cell>
          <cell r="AC107">
            <v>107.79571053494799</v>
          </cell>
          <cell r="AD107">
            <v>96.969741779825398</v>
          </cell>
          <cell r="AF107">
            <v>112.20085859535122</v>
          </cell>
          <cell r="AG107">
            <v>102.38272615738668</v>
          </cell>
        </row>
        <row r="108">
          <cell r="A108">
            <v>40284</v>
          </cell>
          <cell r="B108">
            <v>13.403097000000001</v>
          </cell>
          <cell r="C108">
            <v>58.26</v>
          </cell>
          <cell r="D108">
            <v>60.382669999999997</v>
          </cell>
          <cell r="E108">
            <v>32.196865000000003</v>
          </cell>
          <cell r="F108">
            <v>76.98</v>
          </cell>
          <cell r="G108">
            <v>1.2311951999999999</v>
          </cell>
          <cell r="H108">
            <v>23.38</v>
          </cell>
          <cell r="I108">
            <v>38.31</v>
          </cell>
          <cell r="J108">
            <v>30.81</v>
          </cell>
          <cell r="K108">
            <v>4.2481790000000004</v>
          </cell>
          <cell r="L108">
            <v>3.65</v>
          </cell>
          <cell r="M108">
            <v>16.47</v>
          </cell>
          <cell r="N108">
            <v>8.7338740000000001</v>
          </cell>
          <cell r="O108">
            <v>10.160977000000001</v>
          </cell>
          <cell r="Q108">
            <v>96.962220853570287</v>
          </cell>
          <cell r="R108">
            <v>96.488903610467034</v>
          </cell>
          <cell r="S108">
            <v>115.90360118332381</v>
          </cell>
          <cell r="T108">
            <v>117.77473980404913</v>
          </cell>
          <cell r="U108">
            <v>102.85943345804382</v>
          </cell>
          <cell r="V108">
            <v>119.20940386932462</v>
          </cell>
          <cell r="W108">
            <v>119.52965235173825</v>
          </cell>
          <cell r="X108">
            <v>107.82437376864623</v>
          </cell>
          <cell r="Y108">
            <v>117.88788980294622</v>
          </cell>
          <cell r="Z108">
            <v>93.167847481361193</v>
          </cell>
          <cell r="AA108">
            <v>178.92156862745097</v>
          </cell>
          <cell r="AB108">
            <v>89.803707742639034</v>
          </cell>
          <cell r="AC108">
            <v>106.86007795979708</v>
          </cell>
          <cell r="AD108">
            <v>96.316567804751742</v>
          </cell>
          <cell r="AF108">
            <v>113.02777854613005</v>
          </cell>
          <cell r="AG108">
            <v>101.58832288227441</v>
          </cell>
        </row>
        <row r="109">
          <cell r="A109">
            <v>40285</v>
          </cell>
          <cell r="B109">
            <v>13.403097000000001</v>
          </cell>
          <cell r="C109">
            <v>58.26</v>
          </cell>
          <cell r="D109">
            <v>60.382669999999997</v>
          </cell>
          <cell r="E109">
            <v>32.196865000000003</v>
          </cell>
          <cell r="F109">
            <v>76.98</v>
          </cell>
          <cell r="G109">
            <v>1.2311951999999999</v>
          </cell>
          <cell r="H109">
            <v>23.38</v>
          </cell>
          <cell r="I109">
            <v>38.31</v>
          </cell>
          <cell r="J109">
            <v>30.81</v>
          </cell>
          <cell r="K109">
            <v>4.2481790000000004</v>
          </cell>
          <cell r="L109">
            <v>3.65</v>
          </cell>
          <cell r="M109">
            <v>16.47</v>
          </cell>
          <cell r="N109">
            <v>8.7338740000000001</v>
          </cell>
          <cell r="O109">
            <v>10.160977000000001</v>
          </cell>
          <cell r="Q109">
            <v>96.962220853570287</v>
          </cell>
          <cell r="R109">
            <v>96.488903610467034</v>
          </cell>
          <cell r="S109">
            <v>115.90360118332381</v>
          </cell>
          <cell r="T109">
            <v>117.77473980404913</v>
          </cell>
          <cell r="U109">
            <v>102.85943345804382</v>
          </cell>
          <cell r="V109">
            <v>119.20940386932462</v>
          </cell>
          <cell r="W109">
            <v>119.52965235173825</v>
          </cell>
          <cell r="X109">
            <v>107.82437376864623</v>
          </cell>
          <cell r="Y109">
            <v>117.88788980294622</v>
          </cell>
          <cell r="Z109">
            <v>93.167847481361193</v>
          </cell>
          <cell r="AA109">
            <v>178.92156862745097</v>
          </cell>
          <cell r="AB109">
            <v>89.803707742639034</v>
          </cell>
          <cell r="AC109">
            <v>106.86007795979708</v>
          </cell>
          <cell r="AD109">
            <v>96.316567804751742</v>
          </cell>
          <cell r="AF109">
            <v>113.02777854613005</v>
          </cell>
          <cell r="AG109">
            <v>101.58832288227441</v>
          </cell>
        </row>
        <row r="110">
          <cell r="A110">
            <v>40286</v>
          </cell>
          <cell r="B110">
            <v>13.403097000000001</v>
          </cell>
          <cell r="C110">
            <v>58.26</v>
          </cell>
          <cell r="D110">
            <v>60.382669999999997</v>
          </cell>
          <cell r="E110">
            <v>32.196865000000003</v>
          </cell>
          <cell r="F110">
            <v>76.98</v>
          </cell>
          <cell r="G110">
            <v>1.2311951999999999</v>
          </cell>
          <cell r="H110">
            <v>23.38</v>
          </cell>
          <cell r="I110">
            <v>38.31</v>
          </cell>
          <cell r="J110">
            <v>30.81</v>
          </cell>
          <cell r="K110">
            <v>4.2481790000000004</v>
          </cell>
          <cell r="L110">
            <v>3.65</v>
          </cell>
          <cell r="M110">
            <v>16.47</v>
          </cell>
          <cell r="N110">
            <v>8.7338740000000001</v>
          </cell>
          <cell r="O110">
            <v>10.160977000000001</v>
          </cell>
          <cell r="Q110">
            <v>96.962220853570287</v>
          </cell>
          <cell r="R110">
            <v>96.488903610467034</v>
          </cell>
          <cell r="S110">
            <v>115.90360118332381</v>
          </cell>
          <cell r="T110">
            <v>117.77473980404913</v>
          </cell>
          <cell r="U110">
            <v>102.85943345804382</v>
          </cell>
          <cell r="V110">
            <v>119.20940386932462</v>
          </cell>
          <cell r="W110">
            <v>119.52965235173825</v>
          </cell>
          <cell r="X110">
            <v>107.82437376864623</v>
          </cell>
          <cell r="Y110">
            <v>117.88788980294622</v>
          </cell>
          <cell r="Z110">
            <v>93.167847481361193</v>
          </cell>
          <cell r="AA110">
            <v>178.92156862745097</v>
          </cell>
          <cell r="AB110">
            <v>89.803707742639034</v>
          </cell>
          <cell r="AC110">
            <v>106.86007795979708</v>
          </cell>
          <cell r="AD110">
            <v>96.316567804751742</v>
          </cell>
          <cell r="AF110">
            <v>113.02777854613005</v>
          </cell>
          <cell r="AG110">
            <v>101.58832288227441</v>
          </cell>
        </row>
        <row r="111">
          <cell r="A111">
            <v>40287</v>
          </cell>
          <cell r="B111">
            <v>13.155284999999999</v>
          </cell>
          <cell r="C111">
            <v>59.86</v>
          </cell>
          <cell r="D111">
            <v>60.169125000000001</v>
          </cell>
          <cell r="E111">
            <v>31.613184</v>
          </cell>
          <cell r="F111">
            <v>79.33</v>
          </cell>
          <cell r="G111">
            <v>1.2177884999999999</v>
          </cell>
          <cell r="H111">
            <v>23.64</v>
          </cell>
          <cell r="I111">
            <v>38.28</v>
          </cell>
          <cell r="J111">
            <v>30.934999999999999</v>
          </cell>
          <cell r="K111">
            <v>4.2041716999999998</v>
          </cell>
          <cell r="L111">
            <v>3.4</v>
          </cell>
          <cell r="M111">
            <v>16.559999999999999</v>
          </cell>
          <cell r="N111">
            <v>8.6484020000000008</v>
          </cell>
          <cell r="O111">
            <v>10.070836999999999</v>
          </cell>
          <cell r="Q111">
            <v>95.169470873907741</v>
          </cell>
          <cell r="R111">
            <v>99.13878767803908</v>
          </cell>
          <cell r="S111">
            <v>115.49370485852246</v>
          </cell>
          <cell r="T111">
            <v>115.639659947561</v>
          </cell>
          <cell r="U111">
            <v>105.99946552645643</v>
          </cell>
          <cell r="V111">
            <v>117.91131180816738</v>
          </cell>
          <cell r="W111">
            <v>120.85889570552149</v>
          </cell>
          <cell r="X111">
            <v>107.73993808049536</v>
          </cell>
          <cell r="Y111">
            <v>118.36617562655442</v>
          </cell>
          <cell r="Z111">
            <v>92.202712675491057</v>
          </cell>
          <cell r="AA111">
            <v>166.66666666666666</v>
          </cell>
          <cell r="AB111">
            <v>90.294438386041435</v>
          </cell>
          <cell r="AC111">
            <v>105.81431698552841</v>
          </cell>
          <cell r="AD111">
            <v>95.462124829246491</v>
          </cell>
          <cell r="AF111">
            <v>112.1234356527854</v>
          </cell>
          <cell r="AG111">
            <v>100.63822090738745</v>
          </cell>
        </row>
        <row r="112">
          <cell r="A112">
            <v>40288</v>
          </cell>
          <cell r="B112">
            <v>13.236033000000001</v>
          </cell>
          <cell r="C112">
            <v>59.6</v>
          </cell>
          <cell r="D112">
            <v>60.755684000000002</v>
          </cell>
          <cell r="E112">
            <v>31.902101999999999</v>
          </cell>
          <cell r="F112">
            <v>80.239999999999995</v>
          </cell>
          <cell r="G112">
            <v>1.2358693000000001</v>
          </cell>
          <cell r="H112">
            <v>23.89</v>
          </cell>
          <cell r="I112">
            <v>38.729999999999997</v>
          </cell>
          <cell r="J112">
            <v>31.77</v>
          </cell>
          <cell r="K112">
            <v>4.2693887000000004</v>
          </cell>
          <cell r="L112">
            <v>3.4</v>
          </cell>
          <cell r="M112">
            <v>16.64</v>
          </cell>
          <cell r="N112">
            <v>8.6802589999999995</v>
          </cell>
          <cell r="O112">
            <v>10.279254</v>
          </cell>
          <cell r="Q112">
            <v>95.753627312489371</v>
          </cell>
          <cell r="R112">
            <v>98.70818151705862</v>
          </cell>
          <cell r="S112">
            <v>116.61959578726891</v>
          </cell>
          <cell r="T112">
            <v>116.69650949718971</v>
          </cell>
          <cell r="U112">
            <v>107.2153928380545</v>
          </cell>
          <cell r="V112">
            <v>119.6619695344812</v>
          </cell>
          <cell r="W112">
            <v>122.13701431492842</v>
          </cell>
          <cell r="X112">
            <v>109.00647340275822</v>
          </cell>
          <cell r="Y112">
            <v>121.56112492825713</v>
          </cell>
          <cell r="Z112">
            <v>93.633002573631416</v>
          </cell>
          <cell r="AA112">
            <v>166.66666666666666</v>
          </cell>
          <cell r="AB112">
            <v>90.730643402399139</v>
          </cell>
          <cell r="AC112">
            <v>106.20409150065939</v>
          </cell>
          <cell r="AD112">
            <v>97.437723249768737</v>
          </cell>
          <cell r="AF112">
            <v>113.19918348126528</v>
          </cell>
          <cell r="AG112">
            <v>101.82090737521406</v>
          </cell>
        </row>
        <row r="113">
          <cell r="A113">
            <v>40289</v>
          </cell>
          <cell r="B113">
            <v>13.356863000000001</v>
          </cell>
          <cell r="C113">
            <v>58.03</v>
          </cell>
          <cell r="D113">
            <v>62.104469999999999</v>
          </cell>
          <cell r="E113">
            <v>31.760159999999999</v>
          </cell>
          <cell r="F113">
            <v>81</v>
          </cell>
          <cell r="G113">
            <v>1.2392025</v>
          </cell>
          <cell r="H113">
            <v>23.99</v>
          </cell>
          <cell r="I113">
            <v>38.4</v>
          </cell>
          <cell r="J113">
            <v>31.67</v>
          </cell>
          <cell r="K113">
            <v>4.3284406999999998</v>
          </cell>
          <cell r="L113">
            <v>3.44</v>
          </cell>
          <cell r="M113">
            <v>16.62</v>
          </cell>
          <cell r="N113">
            <v>8.6802589999999995</v>
          </cell>
          <cell r="O113">
            <v>10.279254</v>
          </cell>
          <cell r="Q113">
            <v>96.627749550486826</v>
          </cell>
          <cell r="R113">
            <v>96.107982775753555</v>
          </cell>
          <cell r="S113">
            <v>119.20856965387085</v>
          </cell>
          <cell r="T113">
            <v>116.17729179952671</v>
          </cell>
          <cell r="U113">
            <v>108.23089257081774</v>
          </cell>
          <cell r="V113">
            <v>119.98470372397223</v>
          </cell>
          <cell r="W113">
            <v>122.64826175869121</v>
          </cell>
          <cell r="X113">
            <v>108.07768083309878</v>
          </cell>
          <cell r="Y113">
            <v>121.17849626937058</v>
          </cell>
          <cell r="Z113">
            <v>94.928086356463851</v>
          </cell>
          <cell r="AA113">
            <v>168.62745098039215</v>
          </cell>
          <cell r="AB113">
            <v>90.621592148309716</v>
          </cell>
          <cell r="AC113">
            <v>106.20409150065939</v>
          </cell>
          <cell r="AD113">
            <v>97.437723249768737</v>
          </cell>
          <cell r="AF113">
            <v>113.53489653506284</v>
          </cell>
          <cell r="AG113">
            <v>101.82090737521406</v>
          </cell>
        </row>
        <row r="114">
          <cell r="A114">
            <v>40290</v>
          </cell>
          <cell r="B114">
            <v>12.983221</v>
          </cell>
          <cell r="C114">
            <v>58.02</v>
          </cell>
          <cell r="D114">
            <v>62.097121999999999</v>
          </cell>
          <cell r="E114">
            <v>31.843575999999999</v>
          </cell>
          <cell r="F114">
            <v>80.69</v>
          </cell>
          <cell r="G114">
            <v>1.201398</v>
          </cell>
          <cell r="H114">
            <v>24.63</v>
          </cell>
          <cell r="I114">
            <v>38.08</v>
          </cell>
          <cell r="J114">
            <v>31.875</v>
          </cell>
          <cell r="K114">
            <v>4.185746</v>
          </cell>
          <cell r="L114">
            <v>3.62</v>
          </cell>
          <cell r="M114">
            <v>16.690000000000001</v>
          </cell>
          <cell r="N114">
            <v>8.5208779999999997</v>
          </cell>
          <cell r="O114">
            <v>10.134466</v>
          </cell>
          <cell r="Q114">
            <v>93.924705759624928</v>
          </cell>
          <cell r="R114">
            <v>96.091421000331238</v>
          </cell>
          <cell r="S114">
            <v>119.19446528151542</v>
          </cell>
          <cell r="T114">
            <v>116.48242392016934</v>
          </cell>
          <cell r="U114">
            <v>107.81667557455906</v>
          </cell>
          <cell r="V114">
            <v>116.32431590847563</v>
          </cell>
          <cell r="W114">
            <v>125.92024539877301</v>
          </cell>
          <cell r="X114">
            <v>107.17703349282294</v>
          </cell>
          <cell r="Y114">
            <v>121.96288502008801</v>
          </cell>
          <cell r="Z114">
            <v>91.798614164732143</v>
          </cell>
          <cell r="AA114">
            <v>177.45098039215685</v>
          </cell>
          <cell r="AB114">
            <v>91.00327153762268</v>
          </cell>
          <cell r="AC114">
            <v>104.25404435258852</v>
          </cell>
          <cell r="AD114">
            <v>96.065268295947419</v>
          </cell>
          <cell r="AF114">
            <v>113.76225312090594</v>
          </cell>
          <cell r="AG114">
            <v>100.15965632426797</v>
          </cell>
        </row>
        <row r="115">
          <cell r="A115">
            <v>40291</v>
          </cell>
          <cell r="B115">
            <v>12.710933000000001</v>
          </cell>
          <cell r="C115">
            <v>57.83</v>
          </cell>
          <cell r="D115">
            <v>60.258853999999999</v>
          </cell>
          <cell r="E115">
            <v>31.116060000000001</v>
          </cell>
          <cell r="F115">
            <v>79.989999999999995</v>
          </cell>
          <cell r="G115">
            <v>1.2179114</v>
          </cell>
          <cell r="H115">
            <v>24.11</v>
          </cell>
          <cell r="I115">
            <v>38.32</v>
          </cell>
          <cell r="J115">
            <v>31.805</v>
          </cell>
          <cell r="K115">
            <v>4.0925703000000002</v>
          </cell>
          <cell r="L115">
            <v>3.88</v>
          </cell>
          <cell r="M115">
            <v>17.260000000000002</v>
          </cell>
          <cell r="N115">
            <v>8.5967199999999995</v>
          </cell>
          <cell r="O115">
            <v>10.213924</v>
          </cell>
          <cell r="Q115">
            <v>91.95488869482439</v>
          </cell>
          <cell r="R115">
            <v>95.776747267307044</v>
          </cell>
          <cell r="S115">
            <v>115.66593828626885</v>
          </cell>
          <cell r="T115">
            <v>113.82120185388176</v>
          </cell>
          <cell r="U115">
            <v>106.88134687332975</v>
          </cell>
          <cell r="V115">
            <v>117.92321149372134</v>
          </cell>
          <cell r="W115">
            <v>123.26175869120655</v>
          </cell>
          <cell r="X115">
            <v>107.85251899802984</v>
          </cell>
          <cell r="Y115">
            <v>121.6950449588674</v>
          </cell>
          <cell r="Z115">
            <v>89.755155212892063</v>
          </cell>
          <cell r="AA115">
            <v>190.19607843137254</v>
          </cell>
          <cell r="AB115">
            <v>94.111232279171219</v>
          </cell>
          <cell r="AC115">
            <v>105.18198103138958</v>
          </cell>
          <cell r="AD115">
            <v>96.818455892438408</v>
          </cell>
          <cell r="AF115">
            <v>114.0745935867394</v>
          </cell>
          <cell r="AG115">
            <v>101.00021846191399</v>
          </cell>
        </row>
        <row r="116">
          <cell r="A116">
            <v>40292</v>
          </cell>
          <cell r="B116">
            <v>12.710933000000001</v>
          </cell>
          <cell r="C116">
            <v>57.83</v>
          </cell>
          <cell r="D116">
            <v>60.258853999999999</v>
          </cell>
          <cell r="E116">
            <v>31.116060000000001</v>
          </cell>
          <cell r="F116">
            <v>79.989999999999995</v>
          </cell>
          <cell r="G116">
            <v>1.2179114</v>
          </cell>
          <cell r="H116">
            <v>24.11</v>
          </cell>
          <cell r="I116">
            <v>38.32</v>
          </cell>
          <cell r="J116">
            <v>31.805</v>
          </cell>
          <cell r="K116">
            <v>4.0925703000000002</v>
          </cell>
          <cell r="L116">
            <v>3.88</v>
          </cell>
          <cell r="M116">
            <v>17.260000000000002</v>
          </cell>
          <cell r="N116">
            <v>8.5967199999999995</v>
          </cell>
          <cell r="O116">
            <v>10.213924</v>
          </cell>
          <cell r="Q116">
            <v>91.95488869482439</v>
          </cell>
          <cell r="R116">
            <v>95.776747267307044</v>
          </cell>
          <cell r="S116">
            <v>115.66593828626885</v>
          </cell>
          <cell r="T116">
            <v>113.82120185388176</v>
          </cell>
          <cell r="U116">
            <v>106.88134687332975</v>
          </cell>
          <cell r="V116">
            <v>117.92321149372134</v>
          </cell>
          <cell r="W116">
            <v>123.26175869120655</v>
          </cell>
          <cell r="X116">
            <v>107.85251899802984</v>
          </cell>
          <cell r="Y116">
            <v>121.6950449588674</v>
          </cell>
          <cell r="Z116">
            <v>89.755155212892063</v>
          </cell>
          <cell r="AA116">
            <v>190.19607843137254</v>
          </cell>
          <cell r="AB116">
            <v>94.111232279171219</v>
          </cell>
          <cell r="AC116">
            <v>105.18198103138958</v>
          </cell>
          <cell r="AD116">
            <v>96.818455892438408</v>
          </cell>
          <cell r="AF116">
            <v>114.0745935867394</v>
          </cell>
          <cell r="AG116">
            <v>101.00021846191399</v>
          </cell>
        </row>
        <row r="117">
          <cell r="A117">
            <v>40293</v>
          </cell>
          <cell r="B117">
            <v>12.710933000000001</v>
          </cell>
          <cell r="C117">
            <v>57.83</v>
          </cell>
          <cell r="D117">
            <v>60.258853999999999</v>
          </cell>
          <cell r="E117">
            <v>31.116060000000001</v>
          </cell>
          <cell r="F117">
            <v>79.989999999999995</v>
          </cell>
          <cell r="G117">
            <v>1.2179114</v>
          </cell>
          <cell r="H117">
            <v>24.11</v>
          </cell>
          <cell r="I117">
            <v>38.32</v>
          </cell>
          <cell r="J117">
            <v>31.805</v>
          </cell>
          <cell r="K117">
            <v>4.0925703000000002</v>
          </cell>
          <cell r="L117">
            <v>3.88</v>
          </cell>
          <cell r="M117">
            <v>17.260000000000002</v>
          </cell>
          <cell r="N117">
            <v>8.5967199999999995</v>
          </cell>
          <cell r="O117">
            <v>10.213924</v>
          </cell>
          <cell r="Q117">
            <v>91.95488869482439</v>
          </cell>
          <cell r="R117">
            <v>95.776747267307044</v>
          </cell>
          <cell r="S117">
            <v>115.66593828626885</v>
          </cell>
          <cell r="T117">
            <v>113.82120185388176</v>
          </cell>
          <cell r="U117">
            <v>106.88134687332975</v>
          </cell>
          <cell r="V117">
            <v>117.92321149372134</v>
          </cell>
          <cell r="W117">
            <v>123.26175869120655</v>
          </cell>
          <cell r="X117">
            <v>107.85251899802984</v>
          </cell>
          <cell r="Y117">
            <v>121.6950449588674</v>
          </cell>
          <cell r="Z117">
            <v>89.755155212892063</v>
          </cell>
          <cell r="AA117">
            <v>190.19607843137254</v>
          </cell>
          <cell r="AB117">
            <v>94.111232279171219</v>
          </cell>
          <cell r="AC117">
            <v>105.18198103138958</v>
          </cell>
          <cell r="AD117">
            <v>96.818455892438408</v>
          </cell>
          <cell r="AF117">
            <v>114.0745935867394</v>
          </cell>
          <cell r="AG117">
            <v>101.00021846191399</v>
          </cell>
        </row>
        <row r="118">
          <cell r="A118">
            <v>40294</v>
          </cell>
          <cell r="B118">
            <v>12.785398000000001</v>
          </cell>
          <cell r="C118">
            <v>57.4</v>
          </cell>
          <cell r="D118">
            <v>61.201720000000002</v>
          </cell>
          <cell r="E118">
            <v>31.812145000000001</v>
          </cell>
          <cell r="F118">
            <v>78.91</v>
          </cell>
          <cell r="G118">
            <v>1.2496803000000001</v>
          </cell>
          <cell r="H118">
            <v>23.63</v>
          </cell>
          <cell r="I118">
            <v>38.07</v>
          </cell>
          <cell r="J118">
            <v>31.605</v>
          </cell>
          <cell r="K118">
            <v>4.1165456999999996</v>
          </cell>
          <cell r="L118">
            <v>4.04</v>
          </cell>
          <cell r="M118">
            <v>16.510000000000002</v>
          </cell>
          <cell r="N118">
            <v>8.5423530000000003</v>
          </cell>
          <cell r="O118">
            <v>10.325355</v>
          </cell>
          <cell r="Q118">
            <v>92.493591934520495</v>
          </cell>
          <cell r="R118">
            <v>95.064590924147069</v>
          </cell>
          <cell r="S118">
            <v>117.47575499085173</v>
          </cell>
          <cell r="T118">
            <v>116.36745068141516</v>
          </cell>
          <cell r="U118">
            <v>105.43826830571885</v>
          </cell>
          <cell r="V118">
            <v>120.99920759132164</v>
          </cell>
          <cell r="W118">
            <v>120.8077709611452</v>
          </cell>
          <cell r="X118">
            <v>107.14888826343933</v>
          </cell>
          <cell r="Y118">
            <v>120.92978764109432</v>
          </cell>
          <cell r="Z118">
            <v>90.280965544920107</v>
          </cell>
          <cell r="AA118">
            <v>198.03921568627453</v>
          </cell>
          <cell r="AB118">
            <v>90.021810250817893</v>
          </cell>
          <cell r="AC118">
            <v>104.51679375499423</v>
          </cell>
          <cell r="AD118">
            <v>97.874717654181509</v>
          </cell>
          <cell r="AF118">
            <v>114.58894189797219</v>
          </cell>
          <cell r="AG118">
            <v>101.19575570458787</v>
          </cell>
        </row>
        <row r="119">
          <cell r="A119">
            <v>40295</v>
          </cell>
          <cell r="B119">
            <v>12.708812</v>
          </cell>
          <cell r="C119">
            <v>56.35</v>
          </cell>
          <cell r="D119">
            <v>61.390377000000001</v>
          </cell>
          <cell r="E119">
            <v>31.315508000000001</v>
          </cell>
          <cell r="F119">
            <v>77.42</v>
          </cell>
          <cell r="G119">
            <v>1.2562538000000001</v>
          </cell>
          <cell r="H119">
            <v>23.25</v>
          </cell>
          <cell r="I119">
            <v>38.049999999999997</v>
          </cell>
          <cell r="J119">
            <v>30.47</v>
          </cell>
          <cell r="K119">
            <v>4.0975279999999996</v>
          </cell>
          <cell r="L119">
            <v>3.83</v>
          </cell>
          <cell r="M119">
            <v>16.11</v>
          </cell>
          <cell r="N119">
            <v>8.5069929999999996</v>
          </cell>
          <cell r="O119">
            <v>9.9914360000000002</v>
          </cell>
          <cell r="Q119">
            <v>91.939544713472131</v>
          </cell>
          <cell r="R119">
            <v>93.325604504802911</v>
          </cell>
          <cell r="S119">
            <v>117.83787918457224</v>
          </cell>
          <cell r="T119">
            <v>114.55077401267542</v>
          </cell>
          <cell r="U119">
            <v>103.44735435595938</v>
          </cell>
          <cell r="V119">
            <v>121.63568100864408</v>
          </cell>
          <cell r="W119">
            <v>118.86503067484664</v>
          </cell>
          <cell r="X119">
            <v>107.09259780467211</v>
          </cell>
          <cell r="Y119">
            <v>116.58695236273195</v>
          </cell>
          <cell r="Z119">
            <v>89.863883738092696</v>
          </cell>
          <cell r="AA119">
            <v>187.74509803921569</v>
          </cell>
          <cell r="AB119">
            <v>87.840785169029445</v>
          </cell>
          <cell r="AC119">
            <v>104.08415958181305</v>
          </cell>
          <cell r="AD119">
            <v>94.709477539496206</v>
          </cell>
          <cell r="AF119">
            <v>112.56093213072621</v>
          </cell>
          <cell r="AG119">
            <v>99.396818560654623</v>
          </cell>
        </row>
        <row r="120">
          <cell r="A120">
            <v>40296</v>
          </cell>
          <cell r="B120">
            <v>12.706268</v>
          </cell>
          <cell r="C120">
            <v>56.69</v>
          </cell>
          <cell r="D120">
            <v>59.642780000000002</v>
          </cell>
          <cell r="E120">
            <v>31.044014000000001</v>
          </cell>
          <cell r="F120">
            <v>78.13</v>
          </cell>
          <cell r="G120">
            <v>1.2520473000000001</v>
          </cell>
          <cell r="H120">
            <v>23.77</v>
          </cell>
          <cell r="I120">
            <v>37.700000000000003</v>
          </cell>
          <cell r="J120">
            <v>30.99</v>
          </cell>
          <cell r="K120">
            <v>4.0416454999999996</v>
          </cell>
          <cell r="L120">
            <v>3.91</v>
          </cell>
          <cell r="M120">
            <v>15.92</v>
          </cell>
          <cell r="N120">
            <v>8.4772280000000002</v>
          </cell>
          <cell r="O120">
            <v>9.9564760000000003</v>
          </cell>
          <cell r="Q120">
            <v>91.921140617026992</v>
          </cell>
          <cell r="R120">
            <v>93.88870486916197</v>
          </cell>
          <cell r="S120">
            <v>114.48339377150303</v>
          </cell>
          <cell r="T120">
            <v>113.55766070153905</v>
          </cell>
          <cell r="U120">
            <v>104.39604489577765</v>
          </cell>
          <cell r="V120">
            <v>121.22839030658781</v>
          </cell>
          <cell r="W120">
            <v>121.52351738241309</v>
          </cell>
          <cell r="X120">
            <v>106.10751477624542</v>
          </cell>
          <cell r="Y120">
            <v>118.57662138894203</v>
          </cell>
          <cell r="Z120">
            <v>88.638311031086431</v>
          </cell>
          <cell r="AA120">
            <v>191.66666666666669</v>
          </cell>
          <cell r="AB120">
            <v>86.804798255179932</v>
          </cell>
          <cell r="AC120">
            <v>103.7199809572447</v>
          </cell>
          <cell r="AD120">
            <v>94.378089405219924</v>
          </cell>
          <cell r="AF120">
            <v>112.73273038851084</v>
          </cell>
          <cell r="AG120">
            <v>99.049035181232313</v>
          </cell>
        </row>
        <row r="121">
          <cell r="A121">
            <v>40297</v>
          </cell>
          <cell r="B121">
            <v>12.943505999999999</v>
          </cell>
          <cell r="C121">
            <v>57.25</v>
          </cell>
          <cell r="D121">
            <v>59.544662000000002</v>
          </cell>
          <cell r="E121">
            <v>30.992943</v>
          </cell>
          <cell r="F121">
            <v>78.83</v>
          </cell>
          <cell r="G121">
            <v>1.2421</v>
          </cell>
          <cell r="H121">
            <v>24.19</v>
          </cell>
          <cell r="I121">
            <v>38.659999999999997</v>
          </cell>
          <cell r="J121">
            <v>30.844999999999999</v>
          </cell>
          <cell r="K121">
            <v>4.0825399999999998</v>
          </cell>
          <cell r="L121">
            <v>3.93</v>
          </cell>
          <cell r="M121">
            <v>16.260000000000002</v>
          </cell>
          <cell r="N121">
            <v>8.6775669999999998</v>
          </cell>
          <cell r="O121">
            <v>10.225894</v>
          </cell>
          <cell r="Q121">
            <v>93.637394953682119</v>
          </cell>
          <cell r="R121">
            <v>94.816164292812189</v>
          </cell>
          <cell r="S121">
            <v>114.29505778800137</v>
          </cell>
          <cell r="T121">
            <v>113.37084519212431</v>
          </cell>
          <cell r="U121">
            <v>105.33137359700694</v>
          </cell>
          <cell r="V121">
            <v>120.26525164010393</v>
          </cell>
          <cell r="W121">
            <v>123.67075664621679</v>
          </cell>
          <cell r="X121">
            <v>108.80945679707288</v>
          </cell>
          <cell r="Y121">
            <v>118.02180983355652</v>
          </cell>
          <cell r="Z121">
            <v>89.535178262628818</v>
          </cell>
          <cell r="AA121">
            <v>192.64705882352942</v>
          </cell>
          <cell r="AB121">
            <v>88.658669574700127</v>
          </cell>
          <cell r="AC121">
            <v>106.17115453249752</v>
          </cell>
          <cell r="AD121">
            <v>96.931920307978643</v>
          </cell>
          <cell r="AF121">
            <v>113.58825145011961</v>
          </cell>
          <cell r="AG121">
            <v>101.55153742023808</v>
          </cell>
        </row>
        <row r="122">
          <cell r="A122">
            <v>40298</v>
          </cell>
          <cell r="B122">
            <v>12.845731000000001</v>
          </cell>
          <cell r="C122">
            <v>57.16</v>
          </cell>
          <cell r="D122">
            <v>60.099986999999999</v>
          </cell>
          <cell r="E122">
            <v>32.12424</v>
          </cell>
          <cell r="F122">
            <v>78.569999999999993</v>
          </cell>
          <cell r="G122">
            <v>1.2550622</v>
          </cell>
          <cell r="H122">
            <v>23.4</v>
          </cell>
          <cell r="I122">
            <v>38.79</v>
          </cell>
          <cell r="J122">
            <v>34.215000000000003</v>
          </cell>
          <cell r="K122">
            <v>4.0678143999999996</v>
          </cell>
          <cell r="L122">
            <v>3.68</v>
          </cell>
          <cell r="M122">
            <v>16.29</v>
          </cell>
          <cell r="N122">
            <v>8.7245419999999996</v>
          </cell>
          <cell r="O122">
            <v>10.244113</v>
          </cell>
          <cell r="Q122">
            <v>92.930059839718709</v>
          </cell>
          <cell r="R122">
            <v>94.667108314011244</v>
          </cell>
          <cell r="S122">
            <v>115.36099553681456</v>
          </cell>
          <cell r="T122">
            <v>117.50908069474548</v>
          </cell>
          <cell r="U122">
            <v>104.9839657936932</v>
          </cell>
          <cell r="V122">
            <v>121.52030537555952</v>
          </cell>
          <cell r="W122">
            <v>119.6319018404908</v>
          </cell>
          <cell r="X122">
            <v>109.17534477905994</v>
          </cell>
          <cell r="Y122">
            <v>130.91639563803329</v>
          </cell>
          <cell r="Z122">
            <v>89.212227545422337</v>
          </cell>
          <cell r="AA122">
            <v>180.39215686274511</v>
          </cell>
          <cell r="AB122">
            <v>88.822246455834247</v>
          </cell>
          <cell r="AC122">
            <v>106.74589973287041</v>
          </cell>
          <cell r="AD122">
            <v>97.104619404614212</v>
          </cell>
          <cell r="AF122">
            <v>113.76014905634405</v>
          </cell>
          <cell r="AG122">
            <v>101.92525956874232</v>
          </cell>
        </row>
        <row r="123">
          <cell r="A123">
            <v>40299</v>
          </cell>
          <cell r="B123">
            <v>12.845731000000001</v>
          </cell>
          <cell r="C123">
            <v>57.16</v>
          </cell>
          <cell r="D123">
            <v>60.099986999999999</v>
          </cell>
          <cell r="E123">
            <v>32.12424</v>
          </cell>
          <cell r="F123">
            <v>78.569999999999993</v>
          </cell>
          <cell r="G123">
            <v>1.2550622</v>
          </cell>
          <cell r="H123">
            <v>23.4</v>
          </cell>
          <cell r="I123">
            <v>38.79</v>
          </cell>
          <cell r="J123">
            <v>34.215000000000003</v>
          </cell>
          <cell r="K123">
            <v>4.0678143999999996</v>
          </cell>
          <cell r="L123">
            <v>3.68</v>
          </cell>
          <cell r="M123">
            <v>16.29</v>
          </cell>
          <cell r="N123">
            <v>8.7245419999999996</v>
          </cell>
          <cell r="O123">
            <v>10.244113</v>
          </cell>
          <cell r="Q123">
            <v>92.930059839718709</v>
          </cell>
          <cell r="R123">
            <v>94.667108314011244</v>
          </cell>
          <cell r="S123">
            <v>115.36099553681456</v>
          </cell>
          <cell r="T123">
            <v>117.50908069474548</v>
          </cell>
          <cell r="U123">
            <v>104.9839657936932</v>
          </cell>
          <cell r="V123">
            <v>121.52030537555952</v>
          </cell>
          <cell r="W123">
            <v>119.6319018404908</v>
          </cell>
          <cell r="X123">
            <v>109.17534477905994</v>
          </cell>
          <cell r="Y123">
            <v>130.91639563803329</v>
          </cell>
          <cell r="Z123">
            <v>89.212227545422337</v>
          </cell>
          <cell r="AA123">
            <v>180.39215686274511</v>
          </cell>
          <cell r="AB123">
            <v>88.822246455834247</v>
          </cell>
          <cell r="AC123">
            <v>106.74589973287041</v>
          </cell>
          <cell r="AD123">
            <v>97.104619404614212</v>
          </cell>
          <cell r="AF123">
            <v>113.76014905634405</v>
          </cell>
          <cell r="AG123">
            <v>101.92525956874232</v>
          </cell>
        </row>
        <row r="124">
          <cell r="A124">
            <v>40300</v>
          </cell>
          <cell r="B124">
            <v>12.845731000000001</v>
          </cell>
          <cell r="C124">
            <v>57.16</v>
          </cell>
          <cell r="D124">
            <v>60.099986999999999</v>
          </cell>
          <cell r="E124">
            <v>32.12424</v>
          </cell>
          <cell r="F124">
            <v>78.569999999999993</v>
          </cell>
          <cell r="G124">
            <v>1.2550622</v>
          </cell>
          <cell r="H124">
            <v>23.4</v>
          </cell>
          <cell r="I124">
            <v>38.79</v>
          </cell>
          <cell r="J124">
            <v>34.215000000000003</v>
          </cell>
          <cell r="K124">
            <v>4.0678143999999996</v>
          </cell>
          <cell r="L124">
            <v>3.68</v>
          </cell>
          <cell r="M124">
            <v>16.29</v>
          </cell>
          <cell r="N124">
            <v>8.7245419999999996</v>
          </cell>
          <cell r="O124">
            <v>10.244113</v>
          </cell>
          <cell r="Q124">
            <v>92.930059839718709</v>
          </cell>
          <cell r="R124">
            <v>94.667108314011244</v>
          </cell>
          <cell r="S124">
            <v>115.36099553681456</v>
          </cell>
          <cell r="T124">
            <v>117.50908069474548</v>
          </cell>
          <cell r="U124">
            <v>104.9839657936932</v>
          </cell>
          <cell r="V124">
            <v>121.52030537555952</v>
          </cell>
          <cell r="W124">
            <v>119.6319018404908</v>
          </cell>
          <cell r="X124">
            <v>109.17534477905994</v>
          </cell>
          <cell r="Y124">
            <v>130.91639563803329</v>
          </cell>
          <cell r="Z124">
            <v>89.212227545422337</v>
          </cell>
          <cell r="AA124">
            <v>180.39215686274511</v>
          </cell>
          <cell r="AB124">
            <v>88.822246455834247</v>
          </cell>
          <cell r="AC124">
            <v>106.74589973287041</v>
          </cell>
          <cell r="AD124">
            <v>97.104619404614212</v>
          </cell>
          <cell r="AF124">
            <v>113.76014905634405</v>
          </cell>
          <cell r="AG124">
            <v>101.92525956874232</v>
          </cell>
        </row>
        <row r="125">
          <cell r="A125">
            <v>40301</v>
          </cell>
          <cell r="B125">
            <v>12.835749</v>
          </cell>
          <cell r="C125">
            <v>56.74</v>
          </cell>
          <cell r="D125">
            <v>59.782032000000001</v>
          </cell>
          <cell r="E125">
            <v>31.95429</v>
          </cell>
          <cell r="F125">
            <v>78.56</v>
          </cell>
          <cell r="G125">
            <v>1.2311053999999999</v>
          </cell>
          <cell r="H125">
            <v>23.61</v>
          </cell>
          <cell r="I125">
            <v>38.119999999999997</v>
          </cell>
          <cell r="J125">
            <v>34.340000000000003</v>
          </cell>
          <cell r="K125">
            <v>4.0660400000000001</v>
          </cell>
          <cell r="L125">
            <v>3.62</v>
          </cell>
          <cell r="M125">
            <v>16.64</v>
          </cell>
          <cell r="N125">
            <v>8.8498125000000005</v>
          </cell>
          <cell r="O125">
            <v>10.47564</v>
          </cell>
          <cell r="Q125">
            <v>92.857846910978395</v>
          </cell>
          <cell r="R125">
            <v>93.971513746273601</v>
          </cell>
          <cell r="S125">
            <v>114.75068583182397</v>
          </cell>
          <cell r="T125">
            <v>116.88741094429935</v>
          </cell>
          <cell r="U125">
            <v>104.97060395510422</v>
          </cell>
          <cell r="V125">
            <v>119.20070906246745</v>
          </cell>
          <cell r="W125">
            <v>120.70552147239265</v>
          </cell>
          <cell r="X125">
            <v>107.28961441035743</v>
          </cell>
          <cell r="Y125">
            <v>131.39468146164148</v>
          </cell>
          <cell r="Z125">
            <v>89.173312747206239</v>
          </cell>
          <cell r="AA125">
            <v>177.45098039215685</v>
          </cell>
          <cell r="AB125">
            <v>90.730643402399139</v>
          </cell>
          <cell r="AC125">
            <v>108.27860050186054</v>
          </cell>
          <cell r="AD125">
            <v>99.299279031747574</v>
          </cell>
          <cell r="AF125">
            <v>113.28196036142508</v>
          </cell>
          <cell r="AG125">
            <v>103.78893976680405</v>
          </cell>
        </row>
        <row r="126">
          <cell r="A126">
            <v>40302</v>
          </cell>
          <cell r="B126">
            <v>12.521437000000001</v>
          </cell>
          <cell r="C126">
            <v>55.98</v>
          </cell>
          <cell r="D126">
            <v>59.778869999999998</v>
          </cell>
          <cell r="E126">
            <v>31.9526</v>
          </cell>
          <cell r="F126">
            <v>77.83</v>
          </cell>
          <cell r="G126">
            <v>1.2260593</v>
          </cell>
          <cell r="H126">
            <v>23</v>
          </cell>
          <cell r="I126">
            <v>37.950000000000003</v>
          </cell>
          <cell r="J126">
            <v>33.854999999999997</v>
          </cell>
          <cell r="K126">
            <v>4.0614986000000002</v>
          </cell>
          <cell r="L126">
            <v>3.44</v>
          </cell>
          <cell r="M126">
            <v>15.96</v>
          </cell>
          <cell r="N126">
            <v>8.6585029999999996</v>
          </cell>
          <cell r="O126">
            <v>10.139562</v>
          </cell>
          <cell r="Q126">
            <v>90.584015007730414</v>
          </cell>
          <cell r="R126">
            <v>92.71281881417687</v>
          </cell>
          <cell r="S126">
            <v>114.74461642172764</v>
          </cell>
          <cell r="T126">
            <v>116.88122899738404</v>
          </cell>
          <cell r="U126">
            <v>103.99518973810795</v>
          </cell>
          <cell r="V126">
            <v>118.71212482102061</v>
          </cell>
          <cell r="W126">
            <v>117.58691206543968</v>
          </cell>
          <cell r="X126">
            <v>106.81114551083593</v>
          </cell>
          <cell r="Y126">
            <v>129.5389324660417</v>
          </cell>
          <cell r="Z126">
            <v>89.073714198615917</v>
          </cell>
          <cell r="AA126">
            <v>168.62745098039215</v>
          </cell>
          <cell r="AB126">
            <v>87.022900763358777</v>
          </cell>
          <cell r="AC126">
            <v>105.93790402691141</v>
          </cell>
          <cell r="AD126">
            <v>96.113573614376264</v>
          </cell>
          <cell r="AF126">
            <v>111.35758748206933</v>
          </cell>
          <cell r="AG126">
            <v>101.02573882064384</v>
          </cell>
        </row>
        <row r="127">
          <cell r="A127">
            <v>40303</v>
          </cell>
          <cell r="B127">
            <v>12.428639</v>
          </cell>
          <cell r="C127">
            <v>56.59</v>
          </cell>
          <cell r="D127">
            <v>59.867550000000001</v>
          </cell>
          <cell r="E127">
            <v>32</v>
          </cell>
          <cell r="F127">
            <v>77.67</v>
          </cell>
          <cell r="G127">
            <v>1.1920577000000001</v>
          </cell>
          <cell r="H127">
            <v>23</v>
          </cell>
          <cell r="I127">
            <v>37.25</v>
          </cell>
          <cell r="J127">
            <v>33.795000000000002</v>
          </cell>
          <cell r="K127">
            <v>3.9191039999999999</v>
          </cell>
          <cell r="L127">
            <v>3.59</v>
          </cell>
          <cell r="M127">
            <v>15.99</v>
          </cell>
          <cell r="N127">
            <v>8.4962389999999992</v>
          </cell>
          <cell r="O127">
            <v>9.8442270000000001</v>
          </cell>
          <cell r="Q127">
            <v>89.912685077732178</v>
          </cell>
          <cell r="R127">
            <v>93.723087114938721</v>
          </cell>
          <cell r="S127">
            <v>114.9148363101979</v>
          </cell>
          <cell r="T127">
            <v>117.05461614755262</v>
          </cell>
          <cell r="U127">
            <v>103.78140032068413</v>
          </cell>
          <cell r="V127">
            <v>115.41994948878798</v>
          </cell>
          <cell r="W127">
            <v>117.58691206543968</v>
          </cell>
          <cell r="X127">
            <v>104.84097945398254</v>
          </cell>
          <cell r="Y127">
            <v>129.30935527070977</v>
          </cell>
          <cell r="Z127">
            <v>85.950823573016237</v>
          </cell>
          <cell r="AA127">
            <v>175.98039215686273</v>
          </cell>
          <cell r="AB127">
            <v>87.186477644492911</v>
          </cell>
          <cell r="AC127">
            <v>103.95258300097623</v>
          </cell>
          <cell r="AD127">
            <v>93.314073767794937</v>
          </cell>
          <cell r="AF127">
            <v>111.30512621869978</v>
          </cell>
          <cell r="AG127">
            <v>98.633328384385578</v>
          </cell>
        </row>
        <row r="128">
          <cell r="A128">
            <v>40304</v>
          </cell>
          <cell r="B128">
            <v>12.142575000000001</v>
          </cell>
          <cell r="C128">
            <v>55.07</v>
          </cell>
          <cell r="D128">
            <v>59.882164000000003</v>
          </cell>
          <cell r="E128">
            <v>31.933584</v>
          </cell>
          <cell r="F128">
            <v>76.260000000000005</v>
          </cell>
          <cell r="G128">
            <v>1.153543</v>
          </cell>
          <cell r="H128">
            <v>22.16</v>
          </cell>
          <cell r="I128">
            <v>36.26</v>
          </cell>
          <cell r="J128">
            <v>32.844999999999999</v>
          </cell>
          <cell r="K128">
            <v>3.9305964000000002</v>
          </cell>
          <cell r="L128">
            <v>3.31</v>
          </cell>
          <cell r="M128">
            <v>15.91</v>
          </cell>
          <cell r="N128">
            <v>8.2943960000000008</v>
          </cell>
          <cell r="O128">
            <v>9.5109080000000006</v>
          </cell>
          <cell r="Q128">
            <v>87.843208094445728</v>
          </cell>
          <cell r="R128">
            <v>91.205697250745274</v>
          </cell>
          <cell r="S128">
            <v>114.942887657177</v>
          </cell>
          <cell r="T128">
            <v>116.81166929173837</v>
          </cell>
          <cell r="U128">
            <v>101.89738107963655</v>
          </cell>
          <cell r="V128">
            <v>111.69079717629855</v>
          </cell>
          <cell r="W128">
            <v>113.29243353783231</v>
          </cell>
          <cell r="X128">
            <v>102.05460174500421</v>
          </cell>
          <cell r="Y128">
            <v>125.67438301128753</v>
          </cell>
          <cell r="Z128">
            <v>86.202866194194584</v>
          </cell>
          <cell r="AA128">
            <v>162.25490196078431</v>
          </cell>
          <cell r="AB128">
            <v>86.750272628135221</v>
          </cell>
          <cell r="AC128">
            <v>101.483007791208</v>
          </cell>
          <cell r="AD128">
            <v>90.154521092485069</v>
          </cell>
          <cell r="AF128">
            <v>108.38509163560663</v>
          </cell>
          <cell r="AG128">
            <v>95.818764441846525</v>
          </cell>
        </row>
        <row r="129">
          <cell r="A129">
            <v>40305</v>
          </cell>
          <cell r="B129">
            <v>11.498613000000001</v>
          </cell>
          <cell r="C129">
            <v>54.5</v>
          </cell>
          <cell r="D129">
            <v>58.555343999999998</v>
          </cell>
          <cell r="E129">
            <v>31.299092999999999</v>
          </cell>
          <cell r="F129">
            <v>75.23</v>
          </cell>
          <cell r="G129">
            <v>1.1237161</v>
          </cell>
          <cell r="H129">
            <v>20.79</v>
          </cell>
          <cell r="I129">
            <v>27.89</v>
          </cell>
          <cell r="J129">
            <v>31.815000000000001</v>
          </cell>
          <cell r="K129">
            <v>3.8505340000000001</v>
          </cell>
          <cell r="L129">
            <v>3.32</v>
          </cell>
          <cell r="M129">
            <v>15.38</v>
          </cell>
          <cell r="N129">
            <v>7.9578322999999997</v>
          </cell>
          <cell r="O129">
            <v>9.168806</v>
          </cell>
          <cell r="Q129">
            <v>83.184584369995562</v>
          </cell>
          <cell r="R129">
            <v>90.261676051672737</v>
          </cell>
          <cell r="S129">
            <v>112.39607718784765</v>
          </cell>
          <cell r="T129">
            <v>114.49072865254848</v>
          </cell>
          <cell r="U129">
            <v>100.52111170497059</v>
          </cell>
          <cell r="V129">
            <v>108.80283353879415</v>
          </cell>
          <cell r="W129">
            <v>106.28834355828221</v>
          </cell>
          <cell r="X129">
            <v>78.497044750914725</v>
          </cell>
          <cell r="Y129">
            <v>121.73330782475607</v>
          </cell>
          <cell r="Z129">
            <v>84.446998215893359</v>
          </cell>
          <cell r="AA129">
            <v>162.74509803921569</v>
          </cell>
          <cell r="AB129">
            <v>83.860414394765542</v>
          </cell>
          <cell r="AC129">
            <v>97.365107393235945</v>
          </cell>
          <cell r="AD129">
            <v>86.911713783784222</v>
          </cell>
          <cell r="AF129">
            <v>103.9356848574714</v>
          </cell>
          <cell r="AG129">
            <v>92.138410588510084</v>
          </cell>
        </row>
        <row r="130">
          <cell r="A130">
            <v>40306</v>
          </cell>
          <cell r="B130">
            <v>11.498613000000001</v>
          </cell>
          <cell r="C130">
            <v>54.5</v>
          </cell>
          <cell r="D130">
            <v>58.555343999999998</v>
          </cell>
          <cell r="E130">
            <v>31.299092999999999</v>
          </cell>
          <cell r="F130">
            <v>75.23</v>
          </cell>
          <cell r="G130">
            <v>1.1237161</v>
          </cell>
          <cell r="H130">
            <v>20.79</v>
          </cell>
          <cell r="I130">
            <v>27.89</v>
          </cell>
          <cell r="J130">
            <v>31.815000000000001</v>
          </cell>
          <cell r="K130">
            <v>3.8505340000000001</v>
          </cell>
          <cell r="L130">
            <v>3.32</v>
          </cell>
          <cell r="M130">
            <v>15.38</v>
          </cell>
          <cell r="N130">
            <v>7.9578322999999997</v>
          </cell>
          <cell r="O130">
            <v>9.168806</v>
          </cell>
          <cell r="Q130">
            <v>83.184584369995562</v>
          </cell>
          <cell r="R130">
            <v>90.261676051672737</v>
          </cell>
          <cell r="S130">
            <v>112.39607718784765</v>
          </cell>
          <cell r="T130">
            <v>114.49072865254848</v>
          </cell>
          <cell r="U130">
            <v>100.52111170497059</v>
          </cell>
          <cell r="V130">
            <v>108.80283353879415</v>
          </cell>
          <cell r="W130">
            <v>106.28834355828221</v>
          </cell>
          <cell r="X130">
            <v>78.497044750914725</v>
          </cell>
          <cell r="Y130">
            <v>121.73330782475607</v>
          </cell>
          <cell r="Z130">
            <v>84.446998215893359</v>
          </cell>
          <cell r="AA130">
            <v>162.74509803921569</v>
          </cell>
          <cell r="AB130">
            <v>83.860414394765542</v>
          </cell>
          <cell r="AC130">
            <v>97.365107393235945</v>
          </cell>
          <cell r="AD130">
            <v>86.911713783784222</v>
          </cell>
          <cell r="AF130">
            <v>103.9356848574714</v>
          </cell>
          <cell r="AG130">
            <v>92.138410588510084</v>
          </cell>
        </row>
        <row r="131">
          <cell r="A131">
            <v>40307</v>
          </cell>
          <cell r="B131">
            <v>11.498613000000001</v>
          </cell>
          <cell r="C131">
            <v>54.5</v>
          </cell>
          <cell r="D131">
            <v>58.555343999999998</v>
          </cell>
          <cell r="E131">
            <v>31.299092999999999</v>
          </cell>
          <cell r="F131">
            <v>75.23</v>
          </cell>
          <cell r="G131">
            <v>1.1237161</v>
          </cell>
          <cell r="H131">
            <v>20.79</v>
          </cell>
          <cell r="I131">
            <v>27.89</v>
          </cell>
          <cell r="J131">
            <v>31.815000000000001</v>
          </cell>
          <cell r="K131">
            <v>3.8505340000000001</v>
          </cell>
          <cell r="L131">
            <v>3.32</v>
          </cell>
          <cell r="M131">
            <v>15.38</v>
          </cell>
          <cell r="N131">
            <v>7.9578322999999997</v>
          </cell>
          <cell r="O131">
            <v>9.168806</v>
          </cell>
          <cell r="Q131">
            <v>83.184584369995562</v>
          </cell>
          <cell r="R131">
            <v>90.261676051672737</v>
          </cell>
          <cell r="S131">
            <v>112.39607718784765</v>
          </cell>
          <cell r="T131">
            <v>114.49072865254848</v>
          </cell>
          <cell r="U131">
            <v>100.52111170497059</v>
          </cell>
          <cell r="V131">
            <v>108.80283353879415</v>
          </cell>
          <cell r="W131">
            <v>106.28834355828221</v>
          </cell>
          <cell r="X131">
            <v>78.497044750914725</v>
          </cell>
          <cell r="Y131">
            <v>121.73330782475607</v>
          </cell>
          <cell r="Z131">
            <v>84.446998215893359</v>
          </cell>
          <cell r="AA131">
            <v>162.74509803921569</v>
          </cell>
          <cell r="AB131">
            <v>83.860414394765542</v>
          </cell>
          <cell r="AC131">
            <v>97.365107393235945</v>
          </cell>
          <cell r="AD131">
            <v>86.911713783784222</v>
          </cell>
          <cell r="AF131">
            <v>103.9356848574714</v>
          </cell>
          <cell r="AG131">
            <v>92.138410588510084</v>
          </cell>
        </row>
        <row r="132">
          <cell r="A132">
            <v>40308</v>
          </cell>
          <cell r="B132">
            <v>11.678756</v>
          </cell>
          <cell r="C132">
            <v>54.93</v>
          </cell>
          <cell r="D132">
            <v>56.499595999999997</v>
          </cell>
          <cell r="E132">
            <v>31.08014</v>
          </cell>
          <cell r="F132">
            <v>76.86</v>
          </cell>
          <cell r="G132">
            <v>1.1583711000000001</v>
          </cell>
          <cell r="H132">
            <v>21.96</v>
          </cell>
          <cell r="I132">
            <v>29.8</v>
          </cell>
          <cell r="J132">
            <v>33.21</v>
          </cell>
          <cell r="K132">
            <v>3.9229105</v>
          </cell>
          <cell r="L132">
            <v>3.23</v>
          </cell>
          <cell r="M132">
            <v>15.97</v>
          </cell>
          <cell r="N132">
            <v>8.5477729999999994</v>
          </cell>
          <cell r="O132">
            <v>9.4316410000000008</v>
          </cell>
          <cell r="Q132">
            <v>84.487795512258018</v>
          </cell>
          <cell r="R132">
            <v>90.973832394832726</v>
          </cell>
          <cell r="S132">
            <v>108.45010069615864</v>
          </cell>
          <cell r="T132">
            <v>113.68980804725612</v>
          </cell>
          <cell r="U132">
            <v>102.69909139497595</v>
          </cell>
          <cell r="V132">
            <v>112.15827375744627</v>
          </cell>
          <cell r="W132">
            <v>112.26993865030677</v>
          </cell>
          <cell r="X132">
            <v>83.872783563186033</v>
          </cell>
          <cell r="Y132">
            <v>127.07097761622346</v>
          </cell>
          <cell r="Z132">
            <v>86.034304850862071</v>
          </cell>
          <cell r="AA132">
            <v>158.33333333333331</v>
          </cell>
          <cell r="AB132">
            <v>87.077426390403488</v>
          </cell>
          <cell r="AC132">
            <v>104.58310815597392</v>
          </cell>
          <cell r="AD132">
            <v>89.40314399752863</v>
          </cell>
          <cell r="AF132">
            <v>105.59313885060357</v>
          </cell>
          <cell r="AG132">
            <v>96.993126076751281</v>
          </cell>
        </row>
        <row r="133">
          <cell r="A133">
            <v>40309</v>
          </cell>
          <cell r="B133">
            <v>11.536025</v>
          </cell>
          <cell r="C133">
            <v>54.89</v>
          </cell>
          <cell r="D133">
            <v>55.345776000000001</v>
          </cell>
          <cell r="E133">
            <v>29.970870999999999</v>
          </cell>
          <cell r="F133">
            <v>76.94</v>
          </cell>
          <cell r="G133">
            <v>1.1859135999999999</v>
          </cell>
          <cell r="H133">
            <v>22.45</v>
          </cell>
          <cell r="I133">
            <v>29.65</v>
          </cell>
          <cell r="J133">
            <v>33.784999999999997</v>
          </cell>
          <cell r="K133">
            <v>3.8811955</v>
          </cell>
          <cell r="L133">
            <v>3.23</v>
          </cell>
          <cell r="M133">
            <v>15.95</v>
          </cell>
          <cell r="N133">
            <v>8.5761559999999992</v>
          </cell>
          <cell r="O133">
            <v>9.5072500000000009</v>
          </cell>
          <cell r="Q133">
            <v>83.45523454932156</v>
          </cell>
          <cell r="R133">
            <v>90.907585293143427</v>
          </cell>
          <cell r="S133">
            <v>106.23536105120186</v>
          </cell>
          <cell r="T133">
            <v>109.63215001602551</v>
          </cell>
          <cell r="U133">
            <v>102.80598610368786</v>
          </cell>
          <cell r="V133">
            <v>114.82505235280698</v>
          </cell>
          <cell r="W133">
            <v>114.77505112474438</v>
          </cell>
          <cell r="X133">
            <v>83.450605122431739</v>
          </cell>
          <cell r="Y133">
            <v>129.2710924048211</v>
          </cell>
          <cell r="Z133">
            <v>85.119443034143643</v>
          </cell>
          <cell r="AA133">
            <v>158.33333333333331</v>
          </cell>
          <cell r="AB133">
            <v>86.968375136314066</v>
          </cell>
          <cell r="AC133">
            <v>104.93037783180537</v>
          </cell>
          <cell r="AD133">
            <v>90.119846670426085</v>
          </cell>
          <cell r="AF133">
            <v>105.48160579349796</v>
          </cell>
          <cell r="AG133">
            <v>97.525112251115729</v>
          </cell>
        </row>
        <row r="134">
          <cell r="A134">
            <v>40310</v>
          </cell>
          <cell r="B134">
            <v>11.647041</v>
          </cell>
          <cell r="C134">
            <v>55.39</v>
          </cell>
          <cell r="D134">
            <v>56.7254</v>
          </cell>
          <cell r="E134">
            <v>29.447786000000001</v>
          </cell>
          <cell r="F134">
            <v>77.19</v>
          </cell>
          <cell r="G134">
            <v>1.2251704000000001</v>
          </cell>
          <cell r="H134">
            <v>23.11</v>
          </cell>
          <cell r="I134">
            <v>29.98</v>
          </cell>
          <cell r="J134">
            <v>34.384999999999998</v>
          </cell>
          <cell r="K134">
            <v>3.9539110000000002</v>
          </cell>
          <cell r="L134">
            <v>3.43</v>
          </cell>
          <cell r="M134">
            <v>16.14</v>
          </cell>
          <cell r="N134">
            <v>8.6365049999999997</v>
          </cell>
          <cell r="O134">
            <v>9.6864329999999992</v>
          </cell>
          <cell r="Q134">
            <v>84.258359223438291</v>
          </cell>
          <cell r="R134">
            <v>91.735674064259683</v>
          </cell>
          <cell r="S134">
            <v>108.88352798186163</v>
          </cell>
          <cell r="T134">
            <v>107.7187277070398</v>
          </cell>
          <cell r="U134">
            <v>103.14003206841261</v>
          </cell>
          <cell r="V134">
            <v>118.62605785203029</v>
          </cell>
          <cell r="W134">
            <v>118.14928425357874</v>
          </cell>
          <cell r="X134">
            <v>84.379397692091189</v>
          </cell>
          <cell r="Y134">
            <v>131.56686435814041</v>
          </cell>
          <cell r="Z134">
            <v>86.714184360611043</v>
          </cell>
          <cell r="AA134">
            <v>168.13725490196077</v>
          </cell>
          <cell r="AB134">
            <v>88.004362050163579</v>
          </cell>
          <cell r="AC134">
            <v>105.66875565186504</v>
          </cell>
          <cell r="AD134">
            <v>91.818334086445091</v>
          </cell>
          <cell r="AF134">
            <v>107.60947720946564</v>
          </cell>
          <cell r="AG134">
            <v>98.743544869155073</v>
          </cell>
        </row>
        <row r="135">
          <cell r="A135">
            <v>40311</v>
          </cell>
          <cell r="B135">
            <v>11.691549999999999</v>
          </cell>
          <cell r="C135">
            <v>55.25</v>
          </cell>
          <cell r="D135">
            <v>57.229239999999997</v>
          </cell>
          <cell r="E135">
            <v>29.132923000000002</v>
          </cell>
          <cell r="F135">
            <v>77.8</v>
          </cell>
          <cell r="G135">
            <v>1.208656</v>
          </cell>
          <cell r="H135">
            <v>24.26</v>
          </cell>
          <cell r="I135">
            <v>30.09</v>
          </cell>
          <cell r="J135">
            <v>34.409999999999997</v>
          </cell>
          <cell r="K135">
            <v>4.0470750000000004</v>
          </cell>
          <cell r="L135">
            <v>3.27</v>
          </cell>
          <cell r="M135">
            <v>16.22</v>
          </cell>
          <cell r="N135">
            <v>8.6500210000000006</v>
          </cell>
          <cell r="O135">
            <v>9.9873049999999992</v>
          </cell>
          <cell r="Q135">
            <v>84.580351333767084</v>
          </cell>
          <cell r="R135">
            <v>91.503809208347135</v>
          </cell>
          <cell r="S135">
            <v>109.85064106944465</v>
          </cell>
          <cell r="T135">
            <v>106.56697246941273</v>
          </cell>
          <cell r="U135">
            <v>103.95510422234098</v>
          </cell>
          <cell r="V135">
            <v>117.02706544265476</v>
          </cell>
          <cell r="W135">
            <v>124.02862985685073</v>
          </cell>
          <cell r="X135">
            <v>84.688995215310996</v>
          </cell>
          <cell r="Y135">
            <v>131.66252152286205</v>
          </cell>
          <cell r="Z135">
            <v>88.757386716903838</v>
          </cell>
          <cell r="AA135">
            <v>160.29411764705884</v>
          </cell>
          <cell r="AB135">
            <v>88.440567066521254</v>
          </cell>
          <cell r="AC135">
            <v>105.83412565991699</v>
          </cell>
          <cell r="AD135">
            <v>94.670319519396202</v>
          </cell>
          <cell r="AF135">
            <v>107.61301348095624</v>
          </cell>
          <cell r="AG135">
            <v>100.2522225896566</v>
          </cell>
        </row>
        <row r="136">
          <cell r="A136">
            <v>40312</v>
          </cell>
          <cell r="B136">
            <v>11.715992999999999</v>
          </cell>
          <cell r="C136">
            <v>54.97</v>
          </cell>
          <cell r="D136">
            <v>56.739131999999998</v>
          </cell>
          <cell r="E136">
            <v>29.467392</v>
          </cell>
          <cell r="F136">
            <v>77.47</v>
          </cell>
          <cell r="G136">
            <v>1.2119025999999999</v>
          </cell>
          <cell r="H136">
            <v>24.02</v>
          </cell>
          <cell r="I136">
            <v>29.51</v>
          </cell>
          <cell r="J136">
            <v>34.145000000000003</v>
          </cell>
          <cell r="K136">
            <v>4.7042165000000002</v>
          </cell>
          <cell r="L136">
            <v>3.25</v>
          </cell>
          <cell r="M136">
            <v>15.97</v>
          </cell>
          <cell r="N136">
            <v>8.4698539999999998</v>
          </cell>
          <cell r="O136">
            <v>9.7514769999999995</v>
          </cell>
          <cell r="Q136">
            <v>84.757179686521951</v>
          </cell>
          <cell r="R136">
            <v>91.040079496522026</v>
          </cell>
          <cell r="S136">
            <v>108.90988634348176</v>
          </cell>
          <cell r="T136">
            <v>107.79044560717071</v>
          </cell>
          <cell r="U136">
            <v>103.51416354890432</v>
          </cell>
          <cell r="V136">
            <v>117.34141466250401</v>
          </cell>
          <cell r="W136">
            <v>122.80163599182006</v>
          </cell>
          <cell r="X136">
            <v>83.05657191106107</v>
          </cell>
          <cell r="Y136">
            <v>130.6485555768127</v>
          </cell>
          <cell r="Z136">
            <v>103.16931687466624</v>
          </cell>
          <cell r="AA136">
            <v>159.31372549019608</v>
          </cell>
          <cell r="AB136">
            <v>87.077426390403488</v>
          </cell>
          <cell r="AC136">
            <v>103.62975911355019</v>
          </cell>
          <cell r="AD136">
            <v>92.43489043100648</v>
          </cell>
          <cell r="AF136">
            <v>108.28503346500536</v>
          </cell>
          <cell r="AG136">
            <v>98.032324772278344</v>
          </cell>
        </row>
        <row r="137">
          <cell r="A137">
            <v>40313</v>
          </cell>
          <cell r="B137">
            <v>11.715992999999999</v>
          </cell>
          <cell r="C137">
            <v>54.97</v>
          </cell>
          <cell r="D137">
            <v>56.739131999999998</v>
          </cell>
          <cell r="E137">
            <v>29.467392</v>
          </cell>
          <cell r="F137">
            <v>77.47</v>
          </cell>
          <cell r="G137">
            <v>1.2119025999999999</v>
          </cell>
          <cell r="H137">
            <v>24.02</v>
          </cell>
          <cell r="I137">
            <v>29.51</v>
          </cell>
          <cell r="J137">
            <v>34.145000000000003</v>
          </cell>
          <cell r="K137">
            <v>4.7042165000000002</v>
          </cell>
          <cell r="L137">
            <v>3.25</v>
          </cell>
          <cell r="M137">
            <v>15.97</v>
          </cell>
          <cell r="N137">
            <v>8.4698539999999998</v>
          </cell>
          <cell r="O137">
            <v>9.7514769999999995</v>
          </cell>
          <cell r="Q137">
            <v>84.757179686521951</v>
          </cell>
          <cell r="R137">
            <v>91.040079496522026</v>
          </cell>
          <cell r="S137">
            <v>108.90988634348176</v>
          </cell>
          <cell r="T137">
            <v>107.79044560717071</v>
          </cell>
          <cell r="U137">
            <v>103.51416354890432</v>
          </cell>
          <cell r="V137">
            <v>117.34141466250401</v>
          </cell>
          <cell r="W137">
            <v>122.80163599182006</v>
          </cell>
          <cell r="X137">
            <v>83.05657191106107</v>
          </cell>
          <cell r="Y137">
            <v>130.6485555768127</v>
          </cell>
          <cell r="Z137">
            <v>103.16931687466624</v>
          </cell>
          <cell r="AA137">
            <v>159.31372549019608</v>
          </cell>
          <cell r="AB137">
            <v>87.077426390403488</v>
          </cell>
          <cell r="AC137">
            <v>103.62975911355019</v>
          </cell>
          <cell r="AD137">
            <v>92.43489043100648</v>
          </cell>
          <cell r="AF137">
            <v>108.28503346500536</v>
          </cell>
          <cell r="AG137">
            <v>98.032324772278344</v>
          </cell>
        </row>
        <row r="138">
          <cell r="A138">
            <v>40314</v>
          </cell>
          <cell r="B138">
            <v>11.715992999999999</v>
          </cell>
          <cell r="C138">
            <v>54.97</v>
          </cell>
          <cell r="D138">
            <v>56.739131999999998</v>
          </cell>
          <cell r="E138">
            <v>29.467392</v>
          </cell>
          <cell r="F138">
            <v>77.47</v>
          </cell>
          <cell r="G138">
            <v>1.2119025999999999</v>
          </cell>
          <cell r="H138">
            <v>24.02</v>
          </cell>
          <cell r="I138">
            <v>29.51</v>
          </cell>
          <cell r="J138">
            <v>34.145000000000003</v>
          </cell>
          <cell r="K138">
            <v>4.7042165000000002</v>
          </cell>
          <cell r="L138">
            <v>3.25</v>
          </cell>
          <cell r="M138">
            <v>15.97</v>
          </cell>
          <cell r="N138">
            <v>8.4698539999999998</v>
          </cell>
          <cell r="O138">
            <v>9.7514769999999995</v>
          </cell>
          <cell r="Q138">
            <v>84.757179686521951</v>
          </cell>
          <cell r="R138">
            <v>91.040079496522026</v>
          </cell>
          <cell r="S138">
            <v>108.90988634348176</v>
          </cell>
          <cell r="T138">
            <v>107.79044560717071</v>
          </cell>
          <cell r="U138">
            <v>103.51416354890432</v>
          </cell>
          <cell r="V138">
            <v>117.34141466250401</v>
          </cell>
          <cell r="W138">
            <v>122.80163599182006</v>
          </cell>
          <cell r="X138">
            <v>83.05657191106107</v>
          </cell>
          <cell r="Y138">
            <v>130.6485555768127</v>
          </cell>
          <cell r="Z138">
            <v>103.16931687466624</v>
          </cell>
          <cell r="AA138">
            <v>159.31372549019608</v>
          </cell>
          <cell r="AB138">
            <v>87.077426390403488</v>
          </cell>
          <cell r="AC138">
            <v>103.62975911355019</v>
          </cell>
          <cell r="AD138">
            <v>92.43489043100648</v>
          </cell>
          <cell r="AF138">
            <v>108.28503346500536</v>
          </cell>
          <cell r="AG138">
            <v>98.032324772278344</v>
          </cell>
        </row>
        <row r="139">
          <cell r="A139">
            <v>40315</v>
          </cell>
          <cell r="B139">
            <v>11.339745000000001</v>
          </cell>
          <cell r="C139">
            <v>54.66</v>
          </cell>
          <cell r="D139">
            <v>56.114173999999998</v>
          </cell>
          <cell r="E139">
            <v>29.019354</v>
          </cell>
          <cell r="F139">
            <v>77.52</v>
          </cell>
          <cell r="G139">
            <v>1.1861969000000001</v>
          </cell>
          <cell r="H139">
            <v>24.04</v>
          </cell>
          <cell r="I139">
            <v>29.03</v>
          </cell>
          <cell r="J139">
            <v>34.36</v>
          </cell>
          <cell r="K139">
            <v>4.5710597000000002</v>
          </cell>
          <cell r="L139">
            <v>3.46</v>
          </cell>
          <cell r="M139">
            <v>16.29</v>
          </cell>
          <cell r="N139">
            <v>8.4596649999999993</v>
          </cell>
          <cell r="O139">
            <v>9.5440959999999997</v>
          </cell>
          <cell r="Q139">
            <v>82.035283271707229</v>
          </cell>
          <cell r="R139">
            <v>90.526664458429934</v>
          </cell>
          <cell r="S139">
            <v>107.71028912811637</v>
          </cell>
          <cell r="T139">
            <v>106.1515419787483</v>
          </cell>
          <cell r="U139">
            <v>103.58097274184928</v>
          </cell>
          <cell r="V139">
            <v>114.85248262878289</v>
          </cell>
          <cell r="W139">
            <v>122.90388548057261</v>
          </cell>
          <cell r="X139">
            <v>81.70560090064734</v>
          </cell>
          <cell r="Y139">
            <v>131.47120719341879</v>
          </cell>
          <cell r="Z139">
            <v>100.24902268896783</v>
          </cell>
          <cell r="AA139">
            <v>169.60784313725489</v>
          </cell>
          <cell r="AB139">
            <v>88.822246455834247</v>
          </cell>
          <cell r="AC139">
            <v>103.50509538078596</v>
          </cell>
          <cell r="AD139">
            <v>90.469112322472512</v>
          </cell>
          <cell r="AF139">
            <v>108.3014200053608</v>
          </cell>
          <cell r="AG139">
            <v>96.987103851629229</v>
          </cell>
        </row>
        <row r="140">
          <cell r="A140">
            <v>40316</v>
          </cell>
          <cell r="B140">
            <v>11.316675999999999</v>
          </cell>
          <cell r="C140">
            <v>54.3</v>
          </cell>
          <cell r="D140">
            <v>57.587383000000003</v>
          </cell>
          <cell r="E140">
            <v>29.744475999999999</v>
          </cell>
          <cell r="F140">
            <v>76.930000000000007</v>
          </cell>
          <cell r="G140">
            <v>1.2172285</v>
          </cell>
          <cell r="H140">
            <v>22.9</v>
          </cell>
          <cell r="I140">
            <v>29.15</v>
          </cell>
          <cell r="J140">
            <v>33.22</v>
          </cell>
          <cell r="K140">
            <v>4.5389147000000003</v>
          </cell>
          <cell r="L140">
            <v>3.47</v>
          </cell>
          <cell r="M140">
            <v>15.77</v>
          </cell>
          <cell r="N140">
            <v>8.5654660000000007</v>
          </cell>
          <cell r="O140">
            <v>9.5171840000000003</v>
          </cell>
          <cell r="Q140">
            <v>81.868394867268222</v>
          </cell>
          <cell r="R140">
            <v>89.930440543226226</v>
          </cell>
          <cell r="S140">
            <v>110.53809101888544</v>
          </cell>
          <cell r="T140">
            <v>108.80400689656535</v>
          </cell>
          <cell r="U140">
            <v>102.79262426509888</v>
          </cell>
          <cell r="V140">
            <v>117.8570902954724</v>
          </cell>
          <cell r="W140">
            <v>117.07566462167689</v>
          </cell>
          <cell r="X140">
            <v>82.043343653250773</v>
          </cell>
          <cell r="Y140">
            <v>127.1092404821121</v>
          </cell>
          <cell r="Z140">
            <v>99.54404287119452</v>
          </cell>
          <cell r="AA140">
            <v>170.0980392156863</v>
          </cell>
          <cell r="AB140">
            <v>85.986913849509278</v>
          </cell>
          <cell r="AC140">
            <v>104.79958429924581</v>
          </cell>
          <cell r="AD140">
            <v>90.214011708352288</v>
          </cell>
          <cell r="AF140">
            <v>107.80399104832888</v>
          </cell>
          <cell r="AG140">
            <v>97.506798003799048</v>
          </cell>
        </row>
        <row r="141">
          <cell r="A141">
            <v>40317</v>
          </cell>
          <cell r="B141">
            <v>10.703092</v>
          </cell>
          <cell r="C141">
            <v>54.29</v>
          </cell>
          <cell r="D141">
            <v>58.562747999999999</v>
          </cell>
          <cell r="E141">
            <v>30.080456000000002</v>
          </cell>
          <cell r="F141">
            <v>77.709999999999994</v>
          </cell>
          <cell r="G141">
            <v>1.1926867999999999</v>
          </cell>
          <cell r="H141">
            <v>22.87</v>
          </cell>
          <cell r="I141">
            <v>28.54</v>
          </cell>
          <cell r="J141">
            <v>32.354999999999997</v>
          </cell>
          <cell r="K141">
            <v>4.3620780000000003</v>
          </cell>
          <cell r="L141">
            <v>3.26</v>
          </cell>
          <cell r="M141">
            <v>15.62</v>
          </cell>
          <cell r="N141">
            <v>8.0537650000000003</v>
          </cell>
          <cell r="O141">
            <v>9.2509460000000008</v>
          </cell>
          <cell r="Q141">
            <v>77.429535152963609</v>
          </cell>
          <cell r="R141">
            <v>89.913878767803908</v>
          </cell>
          <cell r="S141">
            <v>112.41028905133699</v>
          </cell>
          <cell r="T141">
            <v>110.03300720697958</v>
          </cell>
          <cell r="U141">
            <v>103.83484767504008</v>
          </cell>
          <cell r="V141">
            <v>115.480861548853</v>
          </cell>
          <cell r="W141">
            <v>116.92229038854806</v>
          </cell>
          <cell r="X141">
            <v>80.326484660849985</v>
          </cell>
          <cell r="Y141">
            <v>123.79950258274344</v>
          </cell>
          <cell r="Z141">
            <v>95.665794168701709</v>
          </cell>
          <cell r="AA141">
            <v>159.80392156862743</v>
          </cell>
          <cell r="AB141">
            <v>85.169029443838596</v>
          </cell>
          <cell r="AC141">
            <v>98.538856384908357</v>
          </cell>
          <cell r="AD141">
            <v>87.690324234283466</v>
          </cell>
          <cell r="AF141">
            <v>105.89912018469052</v>
          </cell>
          <cell r="AG141">
            <v>93.114590309595911</v>
          </cell>
        </row>
        <row r="142">
          <cell r="A142">
            <v>40318</v>
          </cell>
          <cell r="B142">
            <v>10.340197</v>
          </cell>
          <cell r="C142">
            <v>52.21</v>
          </cell>
          <cell r="D142">
            <v>58.176537000000003</v>
          </cell>
          <cell r="E142">
            <v>31.075873999999999</v>
          </cell>
          <cell r="F142">
            <v>75.98</v>
          </cell>
          <cell r="G142">
            <v>1.1674802</v>
          </cell>
          <cell r="H142">
            <v>21.85</v>
          </cell>
          <cell r="I142">
            <v>27.6</v>
          </cell>
          <cell r="J142">
            <v>31.28</v>
          </cell>
          <cell r="K142">
            <v>4.3671354999999998</v>
          </cell>
          <cell r="L142">
            <v>2.96</v>
          </cell>
          <cell r="M142">
            <v>14.42</v>
          </cell>
          <cell r="N142">
            <v>7.4215429999999998</v>
          </cell>
          <cell r="O142">
            <v>8.8528409999999997</v>
          </cell>
          <cell r="Q142">
            <v>74.804238541541906</v>
          </cell>
          <cell r="R142">
            <v>86.469029479960241</v>
          </cell>
          <cell r="S142">
            <v>111.66896300999744</v>
          </cell>
          <cell r="T142">
            <v>113.67420320374096</v>
          </cell>
          <cell r="U142">
            <v>101.52324959914485</v>
          </cell>
          <cell r="V142">
            <v>113.04025443832128</v>
          </cell>
          <cell r="W142">
            <v>111.7075664621677</v>
          </cell>
          <cell r="X142">
            <v>77.680833098789762</v>
          </cell>
          <cell r="Y142">
            <v>119.68624449971304</v>
          </cell>
          <cell r="Z142">
            <v>95.776711431989554</v>
          </cell>
          <cell r="AA142">
            <v>145.09803921568627</v>
          </cell>
          <cell r="AB142">
            <v>78.625954198473281</v>
          </cell>
          <cell r="AC142">
            <v>90.803538448343332</v>
          </cell>
          <cell r="AD142">
            <v>83.91666081334364</v>
          </cell>
          <cell r="AF142">
            <v>102.47960726496051</v>
          </cell>
          <cell r="AG142">
            <v>87.360099630843479</v>
          </cell>
        </row>
        <row r="143">
          <cell r="A143">
            <v>40319</v>
          </cell>
          <cell r="B143">
            <v>8.3153030000000001</v>
          </cell>
          <cell r="C143">
            <v>52.25</v>
          </cell>
          <cell r="D143">
            <v>57.737231999999999</v>
          </cell>
          <cell r="E143">
            <v>30.414950999999999</v>
          </cell>
          <cell r="F143">
            <v>76</v>
          </cell>
          <cell r="G143">
            <v>1.1488955000000001</v>
          </cell>
          <cell r="H143">
            <v>22.09</v>
          </cell>
          <cell r="I143">
            <v>27.14</v>
          </cell>
          <cell r="J143">
            <v>30.565000000000001</v>
          </cell>
          <cell r="K143">
            <v>4.3269299999999999</v>
          </cell>
          <cell r="L143">
            <v>3.03</v>
          </cell>
          <cell r="M143">
            <v>14.26</v>
          </cell>
          <cell r="N143">
            <v>7.9827000000000004</v>
          </cell>
          <cell r="O143">
            <v>8.8637339999999991</v>
          </cell>
          <cell r="Q143">
            <v>60.155518232118702</v>
          </cell>
          <cell r="R143">
            <v>86.535276581649541</v>
          </cell>
          <cell r="S143">
            <v>110.8257238568126</v>
          </cell>
          <cell r="T143">
            <v>111.25657545161316</v>
          </cell>
          <cell r="U143">
            <v>101.54997327632283</v>
          </cell>
          <cell r="V143">
            <v>111.24080703299497</v>
          </cell>
          <cell r="W143">
            <v>112.93456032719837</v>
          </cell>
          <cell r="X143">
            <v>76.386152547143254</v>
          </cell>
          <cell r="Y143">
            <v>116.9504495886742</v>
          </cell>
          <cell r="Z143">
            <v>94.894954827121495</v>
          </cell>
          <cell r="AA143">
            <v>148.52941176470586</v>
          </cell>
          <cell r="AB143">
            <v>77.753544165757901</v>
          </cell>
          <cell r="AC143">
            <v>97.669366918926485</v>
          </cell>
          <cell r="AD143">
            <v>84.019916275204949</v>
          </cell>
          <cell r="AF143">
            <v>100.75107897100941</v>
          </cell>
          <cell r="AG143">
            <v>90.844641597065717</v>
          </cell>
        </row>
        <row r="144">
          <cell r="A144">
            <v>40320</v>
          </cell>
          <cell r="B144">
            <v>8.3153030000000001</v>
          </cell>
          <cell r="C144">
            <v>52.25</v>
          </cell>
          <cell r="D144">
            <v>57.737231999999999</v>
          </cell>
          <cell r="E144">
            <v>30.414950999999999</v>
          </cell>
          <cell r="F144">
            <v>76</v>
          </cell>
          <cell r="G144">
            <v>1.1488955000000001</v>
          </cell>
          <cell r="H144">
            <v>22.09</v>
          </cell>
          <cell r="I144">
            <v>27.14</v>
          </cell>
          <cell r="J144">
            <v>30.565000000000001</v>
          </cell>
          <cell r="K144">
            <v>4.3269299999999999</v>
          </cell>
          <cell r="L144">
            <v>3.03</v>
          </cell>
          <cell r="M144">
            <v>14.26</v>
          </cell>
          <cell r="N144">
            <v>7.9827000000000004</v>
          </cell>
          <cell r="O144">
            <v>8.8637339999999991</v>
          </cell>
          <cell r="Q144">
            <v>60.155518232118702</v>
          </cell>
          <cell r="R144">
            <v>86.535276581649541</v>
          </cell>
          <cell r="S144">
            <v>110.8257238568126</v>
          </cell>
          <cell r="T144">
            <v>111.25657545161316</v>
          </cell>
          <cell r="U144">
            <v>101.54997327632283</v>
          </cell>
          <cell r="V144">
            <v>111.24080703299497</v>
          </cell>
          <cell r="W144">
            <v>112.93456032719837</v>
          </cell>
          <cell r="X144">
            <v>76.386152547143254</v>
          </cell>
          <cell r="Y144">
            <v>116.9504495886742</v>
          </cell>
          <cell r="Z144">
            <v>94.894954827121495</v>
          </cell>
          <cell r="AA144">
            <v>148.52941176470586</v>
          </cell>
          <cell r="AB144">
            <v>77.753544165757901</v>
          </cell>
          <cell r="AC144">
            <v>97.669366918926485</v>
          </cell>
          <cell r="AD144">
            <v>84.019916275204949</v>
          </cell>
          <cell r="AF144">
            <v>100.75107897100941</v>
          </cell>
          <cell r="AG144">
            <v>90.844641597065717</v>
          </cell>
        </row>
        <row r="145">
          <cell r="A145">
            <v>40321</v>
          </cell>
          <cell r="B145">
            <v>8.3153030000000001</v>
          </cell>
          <cell r="C145">
            <v>52.25</v>
          </cell>
          <cell r="D145">
            <v>57.737231999999999</v>
          </cell>
          <cell r="E145">
            <v>30.414950999999999</v>
          </cell>
          <cell r="F145">
            <v>76</v>
          </cell>
          <cell r="G145">
            <v>1.1488955000000001</v>
          </cell>
          <cell r="H145">
            <v>22.09</v>
          </cell>
          <cell r="I145">
            <v>27.14</v>
          </cell>
          <cell r="J145">
            <v>30.565000000000001</v>
          </cell>
          <cell r="K145">
            <v>4.3269299999999999</v>
          </cell>
          <cell r="L145">
            <v>3.03</v>
          </cell>
          <cell r="M145">
            <v>14.26</v>
          </cell>
          <cell r="N145">
            <v>7.9827000000000004</v>
          </cell>
          <cell r="O145">
            <v>8.8637339999999991</v>
          </cell>
          <cell r="Q145">
            <v>60.155518232118702</v>
          </cell>
          <cell r="R145">
            <v>86.535276581649541</v>
          </cell>
          <cell r="S145">
            <v>110.8257238568126</v>
          </cell>
          <cell r="T145">
            <v>111.25657545161316</v>
          </cell>
          <cell r="U145">
            <v>101.54997327632283</v>
          </cell>
          <cell r="V145">
            <v>111.24080703299497</v>
          </cell>
          <cell r="W145">
            <v>112.93456032719837</v>
          </cell>
          <cell r="X145">
            <v>76.386152547143254</v>
          </cell>
          <cell r="Y145">
            <v>116.9504495886742</v>
          </cell>
          <cell r="Z145">
            <v>94.894954827121495</v>
          </cell>
          <cell r="AA145">
            <v>148.52941176470586</v>
          </cell>
          <cell r="AB145">
            <v>77.753544165757901</v>
          </cell>
          <cell r="AC145">
            <v>97.669366918926485</v>
          </cell>
          <cell r="AD145">
            <v>84.019916275204949</v>
          </cell>
          <cell r="AF145">
            <v>100.75107897100941</v>
          </cell>
          <cell r="AG145">
            <v>90.844641597065717</v>
          </cell>
        </row>
        <row r="146">
          <cell r="A146">
            <v>40322</v>
          </cell>
          <cell r="B146">
            <v>8.5390820000000005</v>
          </cell>
          <cell r="C146">
            <v>51.84</v>
          </cell>
          <cell r="D146">
            <v>57.133384999999997</v>
          </cell>
          <cell r="E146">
            <v>30.544813000000001</v>
          </cell>
          <cell r="F146">
            <v>75.400000000000006</v>
          </cell>
          <cell r="G146">
            <v>1.1375755000000001</v>
          </cell>
          <cell r="H146">
            <v>22.14</v>
          </cell>
          <cell r="I146">
            <v>26.36</v>
          </cell>
          <cell r="J146">
            <v>31.05</v>
          </cell>
          <cell r="K146">
            <v>4.3609122999999999</v>
          </cell>
          <cell r="L146">
            <v>2.94</v>
          </cell>
          <cell r="M146">
            <v>14.01</v>
          </cell>
          <cell r="N146">
            <v>8.1687849999999997</v>
          </cell>
          <cell r="O146">
            <v>8.9369755000000008</v>
          </cell>
          <cell r="Q146">
            <v>61.774405928028919</v>
          </cell>
          <cell r="R146">
            <v>85.856243789334215</v>
          </cell>
          <cell r="S146">
            <v>109.6666488794433</v>
          </cell>
          <cell r="T146">
            <v>111.73160503168047</v>
          </cell>
          <cell r="U146">
            <v>100.74826296098342</v>
          </cell>
          <cell r="V146">
            <v>110.1447578835175</v>
          </cell>
          <cell r="W146">
            <v>113.19018404907976</v>
          </cell>
          <cell r="X146">
            <v>74.190824655220936</v>
          </cell>
          <cell r="Y146">
            <v>118.80619858427394</v>
          </cell>
          <cell r="Z146">
            <v>95.640228918318172</v>
          </cell>
          <cell r="AA146">
            <v>144.11764705882354</v>
          </cell>
          <cell r="AB146">
            <v>76.390403489640136</v>
          </cell>
          <cell r="AC146">
            <v>99.946140960680324</v>
          </cell>
          <cell r="AD146">
            <v>84.714177260233441</v>
          </cell>
          <cell r="AF146">
            <v>100.18811760236203</v>
          </cell>
          <cell r="AG146">
            <v>92.33015911045689</v>
          </cell>
        </row>
        <row r="147">
          <cell r="A147">
            <v>40323</v>
          </cell>
          <cell r="B147">
            <v>8.2763360000000006</v>
          </cell>
          <cell r="C147">
            <v>51.48</v>
          </cell>
          <cell r="D147">
            <v>55.468834000000001</v>
          </cell>
          <cell r="E147">
            <v>29.902998</v>
          </cell>
          <cell r="F147">
            <v>75.459999999999994</v>
          </cell>
          <cell r="G147">
            <v>1.1265225000000001</v>
          </cell>
          <cell r="H147">
            <v>22.58</v>
          </cell>
          <cell r="I147">
            <v>25.46</v>
          </cell>
          <cell r="J147">
            <v>31.004999999999999</v>
          </cell>
          <cell r="K147">
            <v>4.1951900000000002</v>
          </cell>
          <cell r="L147">
            <v>2.77</v>
          </cell>
          <cell r="M147">
            <v>13.88</v>
          </cell>
          <cell r="N147">
            <v>7.8925046999999999</v>
          </cell>
          <cell r="O147">
            <v>8.7458919999999996</v>
          </cell>
          <cell r="Q147">
            <v>59.873618693526907</v>
          </cell>
          <cell r="R147">
            <v>85.260019874130506</v>
          </cell>
          <cell r="S147">
            <v>106.47156897898012</v>
          </cell>
          <cell r="T147">
            <v>109.38387351721981</v>
          </cell>
          <cell r="U147">
            <v>100.82843399251735</v>
          </cell>
          <cell r="V147">
            <v>109.07456077669994</v>
          </cell>
          <cell r="W147">
            <v>115.43967280163598</v>
          </cell>
          <cell r="X147">
            <v>71.657754010695186</v>
          </cell>
          <cell r="Y147">
            <v>118.634015687775</v>
          </cell>
          <cell r="Z147">
            <v>92.005732827014029</v>
          </cell>
          <cell r="AA147">
            <v>135.78431372549019</v>
          </cell>
          <cell r="AB147">
            <v>75.68157033805889</v>
          </cell>
          <cell r="AC147">
            <v>96.565815758283762</v>
          </cell>
          <cell r="AD147">
            <v>82.902884223735157</v>
          </cell>
          <cell r="AF147">
            <v>98.341261268645326</v>
          </cell>
          <cell r="AG147">
            <v>89.734349991009452</v>
          </cell>
        </row>
        <row r="148">
          <cell r="A148">
            <v>40324</v>
          </cell>
          <cell r="B148">
            <v>8.4072399999999998</v>
          </cell>
          <cell r="C148">
            <v>51.74</v>
          </cell>
          <cell r="D148">
            <v>54.548470000000002</v>
          </cell>
          <cell r="E148">
            <v>29.324638</v>
          </cell>
          <cell r="F148">
            <v>74.989999999999995</v>
          </cell>
          <cell r="G148">
            <v>1.1013215999999999</v>
          </cell>
          <cell r="H148">
            <v>22.3</v>
          </cell>
          <cell r="I148">
            <v>25.98</v>
          </cell>
          <cell r="J148">
            <v>30.57</v>
          </cell>
          <cell r="K148">
            <v>4.2951836999999999</v>
          </cell>
          <cell r="L148">
            <v>2.8</v>
          </cell>
          <cell r="M148">
            <v>13.88</v>
          </cell>
          <cell r="N148">
            <v>8.0725765000000003</v>
          </cell>
          <cell r="O148">
            <v>9.2351150000000004</v>
          </cell>
          <cell r="Q148">
            <v>60.820619417211574</v>
          </cell>
          <cell r="R148">
            <v>85.690626035110967</v>
          </cell>
          <cell r="S148">
            <v>104.70494451538006</v>
          </cell>
          <cell r="T148">
            <v>107.26825764862298</v>
          </cell>
          <cell r="U148">
            <v>100.20042757883483</v>
          </cell>
          <cell r="V148">
            <v>106.63450556370815</v>
          </cell>
          <cell r="W148">
            <v>114.00817995910022</v>
          </cell>
          <cell r="X148">
            <v>73.121305938643403</v>
          </cell>
          <cell r="Y148">
            <v>116.96958102161852</v>
          </cell>
          <cell r="Z148">
            <v>94.198718996075399</v>
          </cell>
          <cell r="AA148">
            <v>137.25490196078428</v>
          </cell>
          <cell r="AB148">
            <v>75.68157033805889</v>
          </cell>
          <cell r="AC148">
            <v>98.769017520338139</v>
          </cell>
          <cell r="AD148">
            <v>87.540261146362184</v>
          </cell>
          <cell r="AF148">
            <v>98.046136581095766</v>
          </cell>
          <cell r="AG148">
            <v>93.154639333350161</v>
          </cell>
        </row>
        <row r="149">
          <cell r="A149">
            <v>40325</v>
          </cell>
          <cell r="B149">
            <v>8.3933230000000005</v>
          </cell>
          <cell r="C149">
            <v>52.87</v>
          </cell>
          <cell r="D149">
            <v>54.906930000000003</v>
          </cell>
          <cell r="E149">
            <v>29.39751</v>
          </cell>
          <cell r="F149">
            <v>76.41</v>
          </cell>
          <cell r="G149">
            <v>1.1736255</v>
          </cell>
          <cell r="H149">
            <v>22.96</v>
          </cell>
          <cell r="I149">
            <v>26.75</v>
          </cell>
          <cell r="J149">
            <v>31.864999999999998</v>
          </cell>
          <cell r="K149">
            <v>4.3864599999999996</v>
          </cell>
          <cell r="L149">
            <v>3.05</v>
          </cell>
          <cell r="M149">
            <v>14.26</v>
          </cell>
          <cell r="N149">
            <v>8.2428080000000001</v>
          </cell>
          <cell r="O149">
            <v>9.3618649999999999</v>
          </cell>
          <cell r="Q149">
            <v>60.719939460361374</v>
          </cell>
          <cell r="R149">
            <v>87.562106657833709</v>
          </cell>
          <cell r="S149">
            <v>105.39300294141809</v>
          </cell>
          <cell r="T149">
            <v>107.53482027324499</v>
          </cell>
          <cell r="U149">
            <v>102.09780865847139</v>
          </cell>
          <cell r="V149">
            <v>113.63526776325803</v>
          </cell>
          <cell r="W149">
            <v>117.38241308793458</v>
          </cell>
          <cell r="X149">
            <v>75.288488601182095</v>
          </cell>
          <cell r="Y149">
            <v>121.92462215419934</v>
          </cell>
          <cell r="Z149">
            <v>96.200521744279499</v>
          </cell>
          <cell r="AA149">
            <v>149.50980392156862</v>
          </cell>
          <cell r="AB149">
            <v>77.753544165757901</v>
          </cell>
          <cell r="AC149">
            <v>100.8518219392264</v>
          </cell>
          <cell r="AD149">
            <v>88.741732714426192</v>
          </cell>
          <cell r="AF149">
            <v>101.25019495245913</v>
          </cell>
          <cell r="AG149">
            <v>94.796777326826287</v>
          </cell>
        </row>
        <row r="150">
          <cell r="A150">
            <v>40326</v>
          </cell>
          <cell r="B150">
            <v>8.5193849999999998</v>
          </cell>
          <cell r="C150">
            <v>52.75</v>
          </cell>
          <cell r="D150">
            <v>56.740704000000001</v>
          </cell>
          <cell r="E150">
            <v>29.436990000000002</v>
          </cell>
          <cell r="F150">
            <v>75.61</v>
          </cell>
          <cell r="G150">
            <v>1.1759675000000001</v>
          </cell>
          <cell r="H150">
            <v>22.87</v>
          </cell>
          <cell r="I150">
            <v>26.66</v>
          </cell>
          <cell r="J150">
            <v>31.445</v>
          </cell>
          <cell r="K150">
            <v>4.4334709999999999</v>
          </cell>
          <cell r="L150">
            <v>2.96</v>
          </cell>
          <cell r="M150">
            <v>14.18</v>
          </cell>
          <cell r="N150">
            <v>8.2049885000000007</v>
          </cell>
          <cell r="O150">
            <v>9.7725410000000004</v>
          </cell>
          <cell r="Q150">
            <v>61.631911632557291</v>
          </cell>
          <cell r="R150">
            <v>87.363365352765811</v>
          </cell>
          <cell r="S150">
            <v>108.91290377316913</v>
          </cell>
          <cell r="T150">
            <v>107.67923640591704</v>
          </cell>
          <cell r="U150">
            <v>101.02886157135219</v>
          </cell>
          <cell r="V150">
            <v>113.86202987527892</v>
          </cell>
          <cell r="W150">
            <v>116.92229038854806</v>
          </cell>
          <cell r="X150">
            <v>75.035181536729525</v>
          </cell>
          <cell r="Y150">
            <v>120.31758178687583</v>
          </cell>
          <cell r="Z150">
            <v>97.231531425826887</v>
          </cell>
          <cell r="AA150">
            <v>145.09803921568627</v>
          </cell>
          <cell r="AB150">
            <v>77.317339149400226</v>
          </cell>
          <cell r="AC150">
            <v>100.38909546545307</v>
          </cell>
          <cell r="AD150">
            <v>92.634557469347328</v>
          </cell>
          <cell r="AF150">
            <v>101.03335600950892</v>
          </cell>
          <cell r="AG150">
            <v>96.511826467400198</v>
          </cell>
        </row>
        <row r="151">
          <cell r="A151">
            <v>40327</v>
          </cell>
          <cell r="B151">
            <v>8.5193849999999998</v>
          </cell>
          <cell r="C151">
            <v>52.75</v>
          </cell>
          <cell r="D151">
            <v>56.740704000000001</v>
          </cell>
          <cell r="E151">
            <v>29.436990000000002</v>
          </cell>
          <cell r="F151">
            <v>75.61</v>
          </cell>
          <cell r="G151">
            <v>1.1759675000000001</v>
          </cell>
          <cell r="H151">
            <v>22.87</v>
          </cell>
          <cell r="I151">
            <v>26.66</v>
          </cell>
          <cell r="J151">
            <v>31.445</v>
          </cell>
          <cell r="K151">
            <v>4.4334709999999999</v>
          </cell>
          <cell r="L151">
            <v>2.96</v>
          </cell>
          <cell r="M151">
            <v>14.18</v>
          </cell>
          <cell r="N151">
            <v>8.2049885000000007</v>
          </cell>
          <cell r="O151">
            <v>9.7725410000000004</v>
          </cell>
          <cell r="Q151">
            <v>61.631911632557291</v>
          </cell>
          <cell r="R151">
            <v>87.363365352765811</v>
          </cell>
          <cell r="S151">
            <v>108.91290377316913</v>
          </cell>
          <cell r="T151">
            <v>107.67923640591704</v>
          </cell>
          <cell r="U151">
            <v>101.02886157135219</v>
          </cell>
          <cell r="V151">
            <v>113.86202987527892</v>
          </cell>
          <cell r="W151">
            <v>116.92229038854806</v>
          </cell>
          <cell r="X151">
            <v>75.035181536729525</v>
          </cell>
          <cell r="Y151">
            <v>120.31758178687583</v>
          </cell>
          <cell r="Z151">
            <v>97.231531425826887</v>
          </cell>
          <cell r="AA151">
            <v>145.09803921568627</v>
          </cell>
          <cell r="AB151">
            <v>77.317339149400226</v>
          </cell>
          <cell r="AC151">
            <v>100.38909546545307</v>
          </cell>
          <cell r="AD151">
            <v>92.634557469347328</v>
          </cell>
          <cell r="AF151">
            <v>101.03335600950892</v>
          </cell>
          <cell r="AG151">
            <v>96.511826467400198</v>
          </cell>
        </row>
        <row r="152">
          <cell r="A152">
            <v>40328</v>
          </cell>
          <cell r="B152">
            <v>8.5193849999999998</v>
          </cell>
          <cell r="C152">
            <v>52.75</v>
          </cell>
          <cell r="D152">
            <v>56.740704000000001</v>
          </cell>
          <cell r="E152">
            <v>29.436990000000002</v>
          </cell>
          <cell r="F152">
            <v>75.61</v>
          </cell>
          <cell r="G152">
            <v>1.1759675000000001</v>
          </cell>
          <cell r="H152">
            <v>22.87</v>
          </cell>
          <cell r="I152">
            <v>26.66</v>
          </cell>
          <cell r="J152">
            <v>31.445</v>
          </cell>
          <cell r="K152">
            <v>4.4334709999999999</v>
          </cell>
          <cell r="L152">
            <v>2.96</v>
          </cell>
          <cell r="M152">
            <v>14.18</v>
          </cell>
          <cell r="N152">
            <v>8.2049885000000007</v>
          </cell>
          <cell r="O152">
            <v>9.7725410000000004</v>
          </cell>
          <cell r="Q152">
            <v>61.631911632557291</v>
          </cell>
          <cell r="R152">
            <v>87.363365352765811</v>
          </cell>
          <cell r="S152">
            <v>108.91290377316913</v>
          </cell>
          <cell r="T152">
            <v>107.67923640591704</v>
          </cell>
          <cell r="U152">
            <v>101.02886157135219</v>
          </cell>
          <cell r="V152">
            <v>113.86202987527892</v>
          </cell>
          <cell r="W152">
            <v>116.92229038854806</v>
          </cell>
          <cell r="X152">
            <v>75.035181536729525</v>
          </cell>
          <cell r="Y152">
            <v>120.31758178687583</v>
          </cell>
          <cell r="Z152">
            <v>97.231531425826887</v>
          </cell>
          <cell r="AA152">
            <v>145.09803921568627</v>
          </cell>
          <cell r="AB152">
            <v>77.317339149400226</v>
          </cell>
          <cell r="AC152">
            <v>100.38909546545307</v>
          </cell>
          <cell r="AD152">
            <v>92.634557469347328</v>
          </cell>
          <cell r="AF152">
            <v>101.03335600950892</v>
          </cell>
          <cell r="AG152">
            <v>96.511826467400198</v>
          </cell>
        </row>
        <row r="153">
          <cell r="A153">
            <v>40329</v>
          </cell>
          <cell r="B153">
            <v>8.5193849999999998</v>
          </cell>
          <cell r="C153">
            <v>52.75</v>
          </cell>
          <cell r="D153">
            <v>56.740704000000001</v>
          </cell>
          <cell r="E153">
            <v>29.436990000000002</v>
          </cell>
          <cell r="F153">
            <v>75.61</v>
          </cell>
          <cell r="G153">
            <v>1.1759675000000001</v>
          </cell>
          <cell r="H153">
            <v>22.87</v>
          </cell>
          <cell r="I153">
            <v>26.66</v>
          </cell>
          <cell r="J153">
            <v>31.445</v>
          </cell>
          <cell r="K153">
            <v>4.4334709999999999</v>
          </cell>
          <cell r="L153">
            <v>2.96</v>
          </cell>
          <cell r="M153">
            <v>14.18</v>
          </cell>
          <cell r="N153">
            <v>8.2049885000000007</v>
          </cell>
          <cell r="O153">
            <v>9.7725410000000004</v>
          </cell>
          <cell r="Q153">
            <v>61.631911632557291</v>
          </cell>
          <cell r="R153">
            <v>87.363365352765811</v>
          </cell>
          <cell r="S153">
            <v>108.91290377316913</v>
          </cell>
          <cell r="T153">
            <v>107.67923640591704</v>
          </cell>
          <cell r="U153">
            <v>101.02886157135219</v>
          </cell>
          <cell r="V153">
            <v>113.86202987527892</v>
          </cell>
          <cell r="W153">
            <v>116.92229038854806</v>
          </cell>
          <cell r="X153">
            <v>75.035181536729525</v>
          </cell>
          <cell r="Y153">
            <v>120.31758178687583</v>
          </cell>
          <cell r="Z153">
            <v>97.231531425826887</v>
          </cell>
          <cell r="AA153">
            <v>145.09803921568627</v>
          </cell>
          <cell r="AB153">
            <v>77.317339149400226</v>
          </cell>
          <cell r="AC153">
            <v>100.38909546545307</v>
          </cell>
          <cell r="AD153">
            <v>92.634557469347328</v>
          </cell>
          <cell r="AF153">
            <v>101.03335600950892</v>
          </cell>
          <cell r="AG153">
            <v>96.511826467400198</v>
          </cell>
        </row>
        <row r="154">
          <cell r="A154">
            <v>40330</v>
          </cell>
          <cell r="B154">
            <v>8.5397020000000001</v>
          </cell>
          <cell r="C154">
            <v>51.54</v>
          </cell>
          <cell r="D154">
            <v>57.070872999999999</v>
          </cell>
          <cell r="E154">
            <v>29.433674</v>
          </cell>
          <cell r="F154">
            <v>75</v>
          </cell>
          <cell r="G154">
            <v>1.1992620000000001</v>
          </cell>
          <cell r="H154">
            <v>22.5</v>
          </cell>
          <cell r="I154">
            <v>25.17</v>
          </cell>
          <cell r="J154">
            <v>31.65</v>
          </cell>
          <cell r="K154">
            <v>4.6863200000000003</v>
          </cell>
          <cell r="L154">
            <v>2.78</v>
          </cell>
          <cell r="M154">
            <v>13.6</v>
          </cell>
          <cell r="N154">
            <v>8.1300810000000006</v>
          </cell>
          <cell r="O154">
            <v>9.6187649999999998</v>
          </cell>
          <cell r="Q154">
            <v>61.778891203105957</v>
          </cell>
          <cell r="R154">
            <v>85.359390526664455</v>
          </cell>
          <cell r="S154">
            <v>109.54665806225732</v>
          </cell>
          <cell r="T154">
            <v>107.66710662131874</v>
          </cell>
          <cell r="U154">
            <v>100.21378941742383</v>
          </cell>
          <cell r="V154">
            <v>116.11749956719615</v>
          </cell>
          <cell r="W154">
            <v>115.03067484662577</v>
          </cell>
          <cell r="X154">
            <v>70.841542358570223</v>
          </cell>
          <cell r="Y154">
            <v>121.10197053759326</v>
          </cell>
          <cell r="Z154">
            <v>102.77682437789286</v>
          </cell>
          <cell r="AA154">
            <v>136.27450980392155</v>
          </cell>
          <cell r="AB154">
            <v>74.154852780806976</v>
          </cell>
          <cell r="AC154">
            <v>99.472592515012821</v>
          </cell>
          <cell r="AD154">
            <v>91.176904673681747</v>
          </cell>
          <cell r="AF154">
            <v>100.07197584194809</v>
          </cell>
          <cell r="AG154">
            <v>95.324748594347284</v>
          </cell>
        </row>
        <row r="155">
          <cell r="A155">
            <v>40331</v>
          </cell>
          <cell r="B155">
            <v>8.6382100000000008</v>
          </cell>
          <cell r="C155">
            <v>52.54</v>
          </cell>
          <cell r="D155">
            <v>56.241875</v>
          </cell>
          <cell r="E155">
            <v>28.727785000000001</v>
          </cell>
          <cell r="F155">
            <v>76.58</v>
          </cell>
          <cell r="G155">
            <v>1.2260808000000001</v>
          </cell>
          <cell r="H155">
            <v>23.09</v>
          </cell>
          <cell r="I155">
            <v>25.78</v>
          </cell>
          <cell r="J155">
            <v>32.49</v>
          </cell>
          <cell r="K155">
            <v>4.6231502999999998</v>
          </cell>
          <cell r="L155">
            <v>3.05</v>
          </cell>
          <cell r="M155">
            <v>14.21</v>
          </cell>
          <cell r="N155">
            <v>8.3712820000000008</v>
          </cell>
          <cell r="O155">
            <v>9.5983420000000006</v>
          </cell>
          <cell r="Q155">
            <v>62.491529069700782</v>
          </cell>
          <cell r="R155">
            <v>87.015568068896982</v>
          </cell>
          <cell r="S155">
            <v>107.95540922258573</v>
          </cell>
          <cell r="T155">
            <v>105.08499518576313</v>
          </cell>
          <cell r="U155">
            <v>102.32495991448423</v>
          </cell>
          <cell r="V155">
            <v>118.71420653981157</v>
          </cell>
          <cell r="W155">
            <v>118.04703476482618</v>
          </cell>
          <cell r="X155">
            <v>72.55840135097101</v>
          </cell>
          <cell r="Y155">
            <v>124.31605127224029</v>
          </cell>
          <cell r="Z155">
            <v>101.39143431428128</v>
          </cell>
          <cell r="AA155">
            <v>149.50980392156862</v>
          </cell>
          <cell r="AB155">
            <v>77.48091603053436</v>
          </cell>
          <cell r="AC155">
            <v>102.42371794503174</v>
          </cell>
          <cell r="AD155">
            <v>90.983313716407039</v>
          </cell>
          <cell r="AF155">
            <v>102.24085913797201</v>
          </cell>
          <cell r="AG155">
            <v>96.703515830719397</v>
          </cell>
        </row>
        <row r="156">
          <cell r="A156">
            <v>40332</v>
          </cell>
          <cell r="B156">
            <v>8.8525100000000005</v>
          </cell>
          <cell r="C156">
            <v>52.93</v>
          </cell>
          <cell r="D156">
            <v>57.028460000000003</v>
          </cell>
          <cell r="E156">
            <v>29.055298000000001</v>
          </cell>
          <cell r="F156">
            <v>76.87</v>
          </cell>
          <cell r="G156">
            <v>1.2603247</v>
          </cell>
          <cell r="H156">
            <v>23.39</v>
          </cell>
          <cell r="I156">
            <v>26.09</v>
          </cell>
          <cell r="J156">
            <v>32.76</v>
          </cell>
          <cell r="K156">
            <v>4.7258395999999996</v>
          </cell>
          <cell r="L156">
            <v>2.95</v>
          </cell>
          <cell r="M156">
            <v>14.61</v>
          </cell>
          <cell r="N156">
            <v>8.4377750000000002</v>
          </cell>
          <cell r="O156">
            <v>9.6745824999999996</v>
          </cell>
          <cell r="Q156">
            <v>64.041842697134811</v>
          </cell>
          <cell r="R156">
            <v>87.661477310367658</v>
          </cell>
          <cell r="S156">
            <v>109.46524696471911</v>
          </cell>
          <cell r="T156">
            <v>106.28302357633603</v>
          </cell>
          <cell r="U156">
            <v>102.71245323356494</v>
          </cell>
          <cell r="V156">
            <v>122.02984235869778</v>
          </cell>
          <cell r="W156">
            <v>119.58077709611452</v>
          </cell>
          <cell r="X156">
            <v>73.43090346186321</v>
          </cell>
          <cell r="Y156">
            <v>125.34914865123396</v>
          </cell>
          <cell r="Z156">
            <v>103.64353834294104</v>
          </cell>
          <cell r="AA156">
            <v>144.60784313725489</v>
          </cell>
          <cell r="AB156">
            <v>79.661941112322793</v>
          </cell>
          <cell r="AC156">
            <v>103.23726839970749</v>
          </cell>
          <cell r="AD156">
            <v>91.706002419247142</v>
          </cell>
          <cell r="AF156">
            <v>103.20566982854591</v>
          </cell>
          <cell r="AG156">
            <v>97.471635409477315</v>
          </cell>
        </row>
        <row r="157">
          <cell r="A157">
            <v>40333</v>
          </cell>
          <cell r="B157">
            <v>8.7902299999999993</v>
          </cell>
          <cell r="C157">
            <v>51.53</v>
          </cell>
          <cell r="D157">
            <v>57.553173000000001</v>
          </cell>
          <cell r="E157">
            <v>29.037699</v>
          </cell>
          <cell r="F157">
            <v>75.05</v>
          </cell>
          <cell r="G157">
            <v>1.2545184</v>
          </cell>
          <cell r="H157">
            <v>22.36</v>
          </cell>
          <cell r="I157">
            <v>25.35</v>
          </cell>
          <cell r="J157">
            <v>32.215000000000003</v>
          </cell>
          <cell r="K157">
            <v>4.5984769999999999</v>
          </cell>
          <cell r="L157">
            <v>2.8</v>
          </cell>
          <cell r="M157">
            <v>13.685</v>
          </cell>
          <cell r="N157">
            <v>8.3707019999999996</v>
          </cell>
          <cell r="O157">
            <v>9.7567609999999991</v>
          </cell>
          <cell r="Q157">
            <v>63.591289581331765</v>
          </cell>
          <cell r="R157">
            <v>85.342828751242124</v>
          </cell>
          <cell r="S157">
            <v>110.47242545297915</v>
          </cell>
          <cell r="T157">
            <v>106.21864719541163</v>
          </cell>
          <cell r="U157">
            <v>100.28059861036877</v>
          </cell>
          <cell r="V157">
            <v>121.46765241376747</v>
          </cell>
          <cell r="W157">
            <v>114.31492842535789</v>
          </cell>
          <cell r="X157">
            <v>71.348156487475379</v>
          </cell>
          <cell r="Y157">
            <v>123.26382246030228</v>
          </cell>
          <cell r="Z157">
            <v>100.85031816751302</v>
          </cell>
          <cell r="AA157">
            <v>137.25490196078428</v>
          </cell>
          <cell r="AB157">
            <v>74.618320610687022</v>
          </cell>
          <cell r="AC157">
            <v>102.41662157001912</v>
          </cell>
          <cell r="AD157">
            <v>92.484977813772957</v>
          </cell>
          <cell r="AF157">
            <v>100.75199084310174</v>
          </cell>
          <cell r="AG157">
            <v>97.450799691896037</v>
          </cell>
        </row>
        <row r="158">
          <cell r="A158">
            <v>40334</v>
          </cell>
          <cell r="B158">
            <v>8.7902299999999993</v>
          </cell>
          <cell r="C158">
            <v>51.53</v>
          </cell>
          <cell r="D158">
            <v>57.553173000000001</v>
          </cell>
          <cell r="E158">
            <v>29.037699</v>
          </cell>
          <cell r="F158">
            <v>75.05</v>
          </cell>
          <cell r="G158">
            <v>1.2545184</v>
          </cell>
          <cell r="H158">
            <v>22.36</v>
          </cell>
          <cell r="I158">
            <v>25.35</v>
          </cell>
          <cell r="J158">
            <v>32.215000000000003</v>
          </cell>
          <cell r="K158">
            <v>4.5984769999999999</v>
          </cell>
          <cell r="L158">
            <v>2.8</v>
          </cell>
          <cell r="M158">
            <v>13.685</v>
          </cell>
          <cell r="N158">
            <v>8.3707019999999996</v>
          </cell>
          <cell r="O158">
            <v>9.7567609999999991</v>
          </cell>
          <cell r="Q158">
            <v>63.591289581331765</v>
          </cell>
          <cell r="R158">
            <v>85.342828751242124</v>
          </cell>
          <cell r="S158">
            <v>110.47242545297915</v>
          </cell>
          <cell r="T158">
            <v>106.21864719541163</v>
          </cell>
          <cell r="U158">
            <v>100.28059861036877</v>
          </cell>
          <cell r="V158">
            <v>121.46765241376747</v>
          </cell>
          <cell r="W158">
            <v>114.31492842535789</v>
          </cell>
          <cell r="X158">
            <v>71.348156487475379</v>
          </cell>
          <cell r="Y158">
            <v>123.26382246030228</v>
          </cell>
          <cell r="Z158">
            <v>100.85031816751302</v>
          </cell>
          <cell r="AA158">
            <v>137.25490196078428</v>
          </cell>
          <cell r="AB158">
            <v>74.618320610687022</v>
          </cell>
          <cell r="AC158">
            <v>102.41662157001912</v>
          </cell>
          <cell r="AD158">
            <v>92.484977813772957</v>
          </cell>
          <cell r="AF158">
            <v>100.75199084310174</v>
          </cell>
          <cell r="AG158">
            <v>97.450799691896037</v>
          </cell>
        </row>
        <row r="159">
          <cell r="A159">
            <v>40335</v>
          </cell>
          <cell r="B159">
            <v>8.7902299999999993</v>
          </cell>
          <cell r="C159">
            <v>51.53</v>
          </cell>
          <cell r="D159">
            <v>57.553173000000001</v>
          </cell>
          <cell r="E159">
            <v>29.037699</v>
          </cell>
          <cell r="F159">
            <v>75.05</v>
          </cell>
          <cell r="G159">
            <v>1.2545184</v>
          </cell>
          <cell r="H159">
            <v>22.36</v>
          </cell>
          <cell r="I159">
            <v>25.35</v>
          </cell>
          <cell r="J159">
            <v>32.215000000000003</v>
          </cell>
          <cell r="K159">
            <v>4.5984769999999999</v>
          </cell>
          <cell r="L159">
            <v>2.8</v>
          </cell>
          <cell r="M159">
            <v>13.685</v>
          </cell>
          <cell r="N159">
            <v>8.3707019999999996</v>
          </cell>
          <cell r="O159">
            <v>9.7567609999999991</v>
          </cell>
          <cell r="Q159">
            <v>63.591289581331765</v>
          </cell>
          <cell r="R159">
            <v>85.342828751242124</v>
          </cell>
          <cell r="S159">
            <v>110.47242545297915</v>
          </cell>
          <cell r="T159">
            <v>106.21864719541163</v>
          </cell>
          <cell r="U159">
            <v>100.28059861036877</v>
          </cell>
          <cell r="V159">
            <v>121.46765241376747</v>
          </cell>
          <cell r="W159">
            <v>114.31492842535789</v>
          </cell>
          <cell r="X159">
            <v>71.348156487475379</v>
          </cell>
          <cell r="Y159">
            <v>123.26382246030228</v>
          </cell>
          <cell r="Z159">
            <v>100.85031816751302</v>
          </cell>
          <cell r="AA159">
            <v>137.25490196078428</v>
          </cell>
          <cell r="AB159">
            <v>74.618320610687022</v>
          </cell>
          <cell r="AC159">
            <v>102.41662157001912</v>
          </cell>
          <cell r="AD159">
            <v>92.484977813772957</v>
          </cell>
          <cell r="AF159">
            <v>100.75199084310174</v>
          </cell>
          <cell r="AG159">
            <v>97.450799691896037</v>
          </cell>
        </row>
        <row r="160">
          <cell r="A160">
            <v>40336</v>
          </cell>
          <cell r="B160">
            <v>8.4184330000000003</v>
          </cell>
          <cell r="C160">
            <v>51.81</v>
          </cell>
          <cell r="D160">
            <v>56.706657</v>
          </cell>
          <cell r="E160">
            <v>28.604144999999999</v>
          </cell>
          <cell r="F160">
            <v>75</v>
          </cell>
          <cell r="G160">
            <v>1.2626082999999999</v>
          </cell>
          <cell r="H160">
            <v>22.3</v>
          </cell>
          <cell r="I160">
            <v>24.89</v>
          </cell>
          <cell r="J160">
            <v>31.47</v>
          </cell>
          <cell r="K160">
            <v>4.4740753</v>
          </cell>
          <cell r="L160">
            <v>2.8</v>
          </cell>
          <cell r="M160">
            <v>13.11</v>
          </cell>
          <cell r="N160">
            <v>8.0209609999999998</v>
          </cell>
          <cell r="O160">
            <v>9.8390459999999997</v>
          </cell>
          <cell r="Q160">
            <v>60.90159310098138</v>
          </cell>
          <cell r="R160">
            <v>85.806558463067233</v>
          </cell>
          <cell r="S160">
            <v>108.84755108324188</v>
          </cell>
          <cell r="T160">
            <v>104.632725412623</v>
          </cell>
          <cell r="U160">
            <v>100.21378941742383</v>
          </cell>
          <cell r="V160">
            <v>122.25094994153758</v>
          </cell>
          <cell r="W160">
            <v>114.00817995910022</v>
          </cell>
          <cell r="X160">
            <v>70.053475935828885</v>
          </cell>
          <cell r="Y160">
            <v>120.41323895159746</v>
          </cell>
          <cell r="Z160">
            <v>98.122034210546516</v>
          </cell>
          <cell r="AA160">
            <v>137.25490196078428</v>
          </cell>
          <cell r="AB160">
            <v>71.483097055616142</v>
          </cell>
          <cell r="AC160">
            <v>98.137495202299903</v>
          </cell>
          <cell r="AD160">
            <v>93.264962728787921</v>
          </cell>
          <cell r="AF160">
            <v>99.499007957695696</v>
          </cell>
          <cell r="AG160">
            <v>95.701228965543919</v>
          </cell>
        </row>
        <row r="161">
          <cell r="A161">
            <v>40337</v>
          </cell>
          <cell r="B161">
            <v>8.54392</v>
          </cell>
          <cell r="C161">
            <v>51.82</v>
          </cell>
          <cell r="D161">
            <v>56.813186999999999</v>
          </cell>
          <cell r="E161">
            <v>29.263736999999999</v>
          </cell>
          <cell r="F161">
            <v>75.459999999999994</v>
          </cell>
          <cell r="G161">
            <v>1.3047925</v>
          </cell>
          <cell r="H161">
            <v>22.61</v>
          </cell>
          <cell r="I161">
            <v>22.635000000000002</v>
          </cell>
          <cell r="J161">
            <v>31.414999999999999</v>
          </cell>
          <cell r="K161">
            <v>4.4477440000000001</v>
          </cell>
          <cell r="L161">
            <v>2.7</v>
          </cell>
          <cell r="M161">
            <v>12.94</v>
          </cell>
          <cell r="N161">
            <v>7.7715509999999997</v>
          </cell>
          <cell r="O161">
            <v>10.141446999999999</v>
          </cell>
          <cell r="Q161">
            <v>61.809405542259086</v>
          </cell>
          <cell r="R161">
            <v>85.823120238489565</v>
          </cell>
          <cell r="S161">
            <v>109.05203377064309</v>
          </cell>
          <cell r="T161">
            <v>107.04548442431042</v>
          </cell>
          <cell r="U161">
            <v>100.82843399251735</v>
          </cell>
          <cell r="V161">
            <v>126.33539839837398</v>
          </cell>
          <cell r="W161">
            <v>115.59304703476482</v>
          </cell>
          <cell r="X161">
            <v>63.706726709822689</v>
          </cell>
          <cell r="Y161">
            <v>120.20279318920986</v>
          </cell>
          <cell r="Z161">
            <v>97.544556062289118</v>
          </cell>
          <cell r="AA161">
            <v>132.35294117647058</v>
          </cell>
          <cell r="AB161">
            <v>70.556161395856051</v>
          </cell>
          <cell r="AC161">
            <v>95.085931595594218</v>
          </cell>
          <cell r="AD161">
            <v>96.131441653080799</v>
          </cell>
          <cell r="AF161">
            <v>99.237508494583878</v>
          </cell>
          <cell r="AG161">
            <v>95.608686624337508</v>
          </cell>
        </row>
        <row r="162">
          <cell r="A162">
            <v>40338</v>
          </cell>
          <cell r="B162">
            <v>9.0155399999999997</v>
          </cell>
          <cell r="C162">
            <v>51.83</v>
          </cell>
          <cell r="D162">
            <v>55.537334000000001</v>
          </cell>
          <cell r="E162">
            <v>28.402756</v>
          </cell>
          <cell r="F162">
            <v>75.569999999999993</v>
          </cell>
          <cell r="G162">
            <v>1.3095954999999999</v>
          </cell>
          <cell r="H162">
            <v>22.5</v>
          </cell>
          <cell r="I162">
            <v>21.95</v>
          </cell>
          <cell r="J162">
            <v>31.344999999999999</v>
          </cell>
          <cell r="K162">
            <v>4.4869199999999996</v>
          </cell>
          <cell r="L162">
            <v>2.7</v>
          </cell>
          <cell r="M162">
            <v>12.46</v>
          </cell>
          <cell r="N162">
            <v>7.8642225000000003</v>
          </cell>
          <cell r="O162">
            <v>9.9117449999999998</v>
          </cell>
          <cell r="Q162">
            <v>65.22125301295641</v>
          </cell>
          <cell r="R162">
            <v>85.839682013911883</v>
          </cell>
          <cell r="S162">
            <v>106.60305366955536</v>
          </cell>
          <cell r="T162">
            <v>103.89605315976867</v>
          </cell>
          <cell r="U162">
            <v>100.97541421699626</v>
          </cell>
          <cell r="V162">
            <v>126.8004446938634</v>
          </cell>
          <cell r="W162">
            <v>115.03067484662577</v>
          </cell>
          <cell r="X162">
            <v>61.778778497044748</v>
          </cell>
          <cell r="Y162">
            <v>119.93495312798927</v>
          </cell>
          <cell r="Z162">
            <v>98.403734452119153</v>
          </cell>
          <cell r="AA162">
            <v>132.35294117647058</v>
          </cell>
          <cell r="AB162">
            <v>67.938931297709928</v>
          </cell>
          <cell r="AC162">
            <v>96.219779383488955</v>
          </cell>
          <cell r="AD162">
            <v>93.954081320714437</v>
          </cell>
          <cell r="AF162">
            <v>98.731326180417611</v>
          </cell>
          <cell r="AG162">
            <v>95.086930352101689</v>
          </cell>
        </row>
        <row r="163">
          <cell r="A163">
            <v>40339</v>
          </cell>
          <cell r="B163">
            <v>9.1940760000000008</v>
          </cell>
          <cell r="C163">
            <v>52.58</v>
          </cell>
          <cell r="D163">
            <v>56.642017000000003</v>
          </cell>
          <cell r="E163">
            <v>28.846890999999999</v>
          </cell>
          <cell r="F163">
            <v>77.47</v>
          </cell>
          <cell r="G163">
            <v>1.3106346</v>
          </cell>
          <cell r="H163">
            <v>23</v>
          </cell>
          <cell r="I163">
            <v>22.984999999999999</v>
          </cell>
          <cell r="J163">
            <v>31.83</v>
          </cell>
          <cell r="K163">
            <v>4.5462417999999998</v>
          </cell>
          <cell r="L163">
            <v>2.7</v>
          </cell>
          <cell r="M163">
            <v>13.295</v>
          </cell>
          <cell r="N163">
            <v>7.8890257000000004</v>
          </cell>
          <cell r="O163">
            <v>10.245844999999999</v>
          </cell>
          <cell r="Q163">
            <v>66.512838611591789</v>
          </cell>
          <cell r="R163">
            <v>87.081815170586282</v>
          </cell>
          <cell r="S163">
            <v>108.72347560296767</v>
          </cell>
          <cell r="T163">
            <v>105.52067978297781</v>
          </cell>
          <cell r="U163">
            <v>103.51416354890432</v>
          </cell>
          <cell r="V163">
            <v>126.90105464715158</v>
          </cell>
          <cell r="W163">
            <v>117.58691206543968</v>
          </cell>
          <cell r="X163">
            <v>64.691809738249361</v>
          </cell>
          <cell r="Y163">
            <v>121.79070212358904</v>
          </cell>
          <cell r="Z163">
            <v>99.704735284409836</v>
          </cell>
          <cell r="AA163">
            <v>132.35294117647058</v>
          </cell>
          <cell r="AB163">
            <v>72.491821155943299</v>
          </cell>
          <cell r="AC163">
            <v>96.523249743337573</v>
          </cell>
          <cell r="AD163">
            <v>97.121037146277999</v>
          </cell>
          <cell r="AF163">
            <v>100.57274574235679</v>
          </cell>
          <cell r="AG163">
            <v>96.822143444807779</v>
          </cell>
        </row>
        <row r="164">
          <cell r="A164">
            <v>40340</v>
          </cell>
          <cell r="B164">
            <v>9.1708210000000001</v>
          </cell>
          <cell r="C164">
            <v>52.77</v>
          </cell>
          <cell r="D164">
            <v>57.379730000000002</v>
          </cell>
          <cell r="E164">
            <v>29.180755999999999</v>
          </cell>
          <cell r="F164">
            <v>78.239999999999995</v>
          </cell>
          <cell r="G164">
            <v>1.3186971000000001</v>
          </cell>
          <cell r="H164">
            <v>23.19</v>
          </cell>
          <cell r="I164">
            <v>22.06</v>
          </cell>
          <cell r="J164">
            <v>32.19</v>
          </cell>
          <cell r="K164">
            <v>4.5344614999999999</v>
          </cell>
          <cell r="L164">
            <v>2.61</v>
          </cell>
          <cell r="M164">
            <v>13.4</v>
          </cell>
          <cell r="N164">
            <v>8.0756680000000003</v>
          </cell>
          <cell r="O164">
            <v>10.232867000000001</v>
          </cell>
          <cell r="Q164">
            <v>66.344604624629682</v>
          </cell>
          <cell r="R164">
            <v>87.396488903610475</v>
          </cell>
          <cell r="S164">
            <v>110.13950429695807</v>
          </cell>
          <cell r="T164">
            <v>106.74194351485602</v>
          </cell>
          <cell r="U164">
            <v>104.54302512025653</v>
          </cell>
          <cell r="V164">
            <v>127.68169919376484</v>
          </cell>
          <cell r="W164">
            <v>118.55828220858898</v>
          </cell>
          <cell r="X164">
            <v>62.088376020264555</v>
          </cell>
          <cell r="Y164">
            <v>123.16816529558064</v>
          </cell>
          <cell r="Z164">
            <v>99.446378658268458</v>
          </cell>
          <cell r="AA164">
            <v>127.94117647058823</v>
          </cell>
          <cell r="AB164">
            <v>73.064340239912767</v>
          </cell>
          <cell r="AC164">
            <v>98.806842422668169</v>
          </cell>
          <cell r="AD164">
            <v>96.99801783258701</v>
          </cell>
          <cell r="AF164">
            <v>100.5928320456066</v>
          </cell>
          <cell r="AG164">
            <v>97.902430127627582</v>
          </cell>
        </row>
        <row r="165">
          <cell r="A165">
            <v>40341</v>
          </cell>
          <cell r="B165">
            <v>9.1708210000000001</v>
          </cell>
          <cell r="C165">
            <v>52.77</v>
          </cell>
          <cell r="D165">
            <v>57.379730000000002</v>
          </cell>
          <cell r="E165">
            <v>29.180755999999999</v>
          </cell>
          <cell r="F165">
            <v>78.239999999999995</v>
          </cell>
          <cell r="G165">
            <v>1.3186971000000001</v>
          </cell>
          <cell r="H165">
            <v>23.19</v>
          </cell>
          <cell r="I165">
            <v>22.06</v>
          </cell>
          <cell r="J165">
            <v>32.19</v>
          </cell>
          <cell r="K165">
            <v>4.5344614999999999</v>
          </cell>
          <cell r="L165">
            <v>2.61</v>
          </cell>
          <cell r="M165">
            <v>13.4</v>
          </cell>
          <cell r="N165">
            <v>8.0756680000000003</v>
          </cell>
          <cell r="O165">
            <v>10.232867000000001</v>
          </cell>
          <cell r="Q165">
            <v>66.344604624629682</v>
          </cell>
          <cell r="R165">
            <v>87.396488903610475</v>
          </cell>
          <cell r="S165">
            <v>110.13950429695807</v>
          </cell>
          <cell r="T165">
            <v>106.74194351485602</v>
          </cell>
          <cell r="U165">
            <v>104.54302512025653</v>
          </cell>
          <cell r="V165">
            <v>127.68169919376484</v>
          </cell>
          <cell r="W165">
            <v>118.55828220858898</v>
          </cell>
          <cell r="X165">
            <v>62.088376020264555</v>
          </cell>
          <cell r="Y165">
            <v>123.16816529558064</v>
          </cell>
          <cell r="Z165">
            <v>99.446378658268458</v>
          </cell>
          <cell r="AA165">
            <v>127.94117647058823</v>
          </cell>
          <cell r="AB165">
            <v>73.064340239912767</v>
          </cell>
          <cell r="AC165">
            <v>98.806842422668169</v>
          </cell>
          <cell r="AD165">
            <v>96.99801783258701</v>
          </cell>
          <cell r="AF165">
            <v>100.5928320456066</v>
          </cell>
          <cell r="AG165">
            <v>97.902430127627582</v>
          </cell>
        </row>
        <row r="166">
          <cell r="A166">
            <v>40342</v>
          </cell>
          <cell r="B166">
            <v>9.1708210000000001</v>
          </cell>
          <cell r="C166">
            <v>52.77</v>
          </cell>
          <cell r="D166">
            <v>57.379730000000002</v>
          </cell>
          <cell r="E166">
            <v>29.180755999999999</v>
          </cell>
          <cell r="F166">
            <v>78.239999999999995</v>
          </cell>
          <cell r="G166">
            <v>1.3186971000000001</v>
          </cell>
          <cell r="H166">
            <v>23.19</v>
          </cell>
          <cell r="I166">
            <v>22.06</v>
          </cell>
          <cell r="J166">
            <v>32.19</v>
          </cell>
          <cell r="K166">
            <v>4.5344614999999999</v>
          </cell>
          <cell r="L166">
            <v>2.61</v>
          </cell>
          <cell r="M166">
            <v>13.4</v>
          </cell>
          <cell r="N166">
            <v>8.0756680000000003</v>
          </cell>
          <cell r="O166">
            <v>10.232867000000001</v>
          </cell>
          <cell r="Q166">
            <v>66.344604624629682</v>
          </cell>
          <cell r="R166">
            <v>87.396488903610475</v>
          </cell>
          <cell r="S166">
            <v>110.13950429695807</v>
          </cell>
          <cell r="T166">
            <v>106.74194351485602</v>
          </cell>
          <cell r="U166">
            <v>104.54302512025653</v>
          </cell>
          <cell r="V166">
            <v>127.68169919376484</v>
          </cell>
          <cell r="W166">
            <v>118.55828220858898</v>
          </cell>
          <cell r="X166">
            <v>62.088376020264555</v>
          </cell>
          <cell r="Y166">
            <v>123.16816529558064</v>
          </cell>
          <cell r="Z166">
            <v>99.446378658268458</v>
          </cell>
          <cell r="AA166">
            <v>127.94117647058823</v>
          </cell>
          <cell r="AB166">
            <v>73.064340239912767</v>
          </cell>
          <cell r="AC166">
            <v>98.806842422668169</v>
          </cell>
          <cell r="AD166">
            <v>96.99801783258701</v>
          </cell>
          <cell r="AF166">
            <v>100.5928320456066</v>
          </cell>
          <cell r="AG166">
            <v>97.902430127627582</v>
          </cell>
        </row>
        <row r="167">
          <cell r="A167">
            <v>40343</v>
          </cell>
          <cell r="B167">
            <v>9.3403799999999997</v>
          </cell>
          <cell r="C167">
            <v>52.91</v>
          </cell>
          <cell r="D167">
            <v>60.041409999999999</v>
          </cell>
          <cell r="E167">
            <v>28.756675999999999</v>
          </cell>
          <cell r="F167">
            <v>78.81</v>
          </cell>
          <cell r="G167">
            <v>1.426779</v>
          </cell>
          <cell r="H167">
            <v>23.32</v>
          </cell>
          <cell r="I167">
            <v>22.06</v>
          </cell>
          <cell r="J167">
            <v>32.56</v>
          </cell>
          <cell r="K167">
            <v>4.6182990000000004</v>
          </cell>
          <cell r="L167">
            <v>2.63</v>
          </cell>
          <cell r="M167">
            <v>13.22</v>
          </cell>
          <cell r="N167">
            <v>8.1616789999999995</v>
          </cell>
          <cell r="O167">
            <v>10.104937</v>
          </cell>
          <cell r="Q167">
            <v>67.571247780738346</v>
          </cell>
          <cell r="R167">
            <v>87.628353759523009</v>
          </cell>
          <cell r="S167">
            <v>115.24855789126964</v>
          </cell>
          <cell r="T167">
            <v>105.19067721436058</v>
          </cell>
          <cell r="U167">
            <v>105.30464991982898</v>
          </cell>
          <cell r="V167">
            <v>138.14663510974628</v>
          </cell>
          <cell r="W167">
            <v>119.22290388548058</v>
          </cell>
          <cell r="X167">
            <v>62.088376020264555</v>
          </cell>
          <cell r="Y167">
            <v>124.58389133346088</v>
          </cell>
          <cell r="Z167">
            <v>101.28503927337404</v>
          </cell>
          <cell r="AA167">
            <v>128.92156862745097</v>
          </cell>
          <cell r="AB167">
            <v>72.082878953107965</v>
          </cell>
          <cell r="AC167">
            <v>99.859198131646792</v>
          </cell>
          <cell r="AD167">
            <v>95.785360967084614</v>
          </cell>
          <cell r="AF167">
            <v>102.27289831405049</v>
          </cell>
          <cell r="AG167">
            <v>97.822279549365703</v>
          </cell>
        </row>
        <row r="168">
          <cell r="A168">
            <v>40344</v>
          </cell>
          <cell r="B168">
            <v>9.3816299999999995</v>
          </cell>
          <cell r="C168">
            <v>53.69</v>
          </cell>
          <cell r="D168">
            <v>60.735626000000003</v>
          </cell>
          <cell r="E168">
            <v>28.372526000000001</v>
          </cell>
          <cell r="F168">
            <v>79.599999999999994</v>
          </cell>
          <cell r="G168">
            <v>1.3969982999999999</v>
          </cell>
          <cell r="H168">
            <v>23.57</v>
          </cell>
          <cell r="I168">
            <v>22.88</v>
          </cell>
          <cell r="J168">
            <v>33.045000000000002</v>
          </cell>
          <cell r="K168">
            <v>4.6219587000000004</v>
          </cell>
          <cell r="L168">
            <v>2.76</v>
          </cell>
          <cell r="M168">
            <v>13.63</v>
          </cell>
          <cell r="N168">
            <v>8.3331009999999992</v>
          </cell>
          <cell r="O168">
            <v>10.183662999999999</v>
          </cell>
          <cell r="Q168">
            <v>67.869663259654118</v>
          </cell>
          <cell r="R168">
            <v>88.920172242464375</v>
          </cell>
          <cell r="S168">
            <v>116.58109476648704</v>
          </cell>
          <cell r="T168">
            <v>103.78547312707678</v>
          </cell>
          <cell r="U168">
            <v>106.36023516835915</v>
          </cell>
          <cell r="V168">
            <v>135.26314474703923</v>
          </cell>
          <cell r="W168">
            <v>120.50102249488755</v>
          </cell>
          <cell r="X168">
            <v>64.396284829721367</v>
          </cell>
          <cell r="Y168">
            <v>126.43964032906065</v>
          </cell>
          <cell r="Z168">
            <v>101.36530104469479</v>
          </cell>
          <cell r="AA168">
            <v>135.29411764705881</v>
          </cell>
          <cell r="AB168">
            <v>74.318429661941124</v>
          </cell>
          <cell r="AC168">
            <v>101.95656847200485</v>
          </cell>
          <cell r="AD168">
            <v>96.531609887537513</v>
          </cell>
          <cell r="AF168">
            <v>103.4245482765371</v>
          </cell>
          <cell r="AG168">
            <v>99.24408917977118</v>
          </cell>
        </row>
        <row r="169">
          <cell r="A169">
            <v>40345</v>
          </cell>
          <cell r="B169">
            <v>9.3781979999999994</v>
          </cell>
          <cell r="C169">
            <v>53.65</v>
          </cell>
          <cell r="D169">
            <v>60.29766</v>
          </cell>
          <cell r="E169">
            <v>27.817903999999999</v>
          </cell>
          <cell r="F169">
            <v>80.39</v>
          </cell>
          <cell r="G169">
            <v>1.3775786000000001</v>
          </cell>
          <cell r="H169">
            <v>23.18</v>
          </cell>
          <cell r="I169">
            <v>17.190000000000001</v>
          </cell>
          <cell r="J169">
            <v>32.729999999999997</v>
          </cell>
          <cell r="K169">
            <v>4.6674899999999999</v>
          </cell>
          <cell r="L169">
            <v>2.69</v>
          </cell>
          <cell r="M169">
            <v>13.35</v>
          </cell>
          <cell r="N169">
            <v>8.48996</v>
          </cell>
          <cell r="O169">
            <v>10.1097555</v>
          </cell>
          <cell r="Q169">
            <v>67.844835091808335</v>
          </cell>
          <cell r="R169">
            <v>88.853925140775075</v>
          </cell>
          <cell r="S169">
            <v>115.74042580309312</v>
          </cell>
          <cell r="T169">
            <v>101.75668983592088</v>
          </cell>
          <cell r="U169">
            <v>107.41582041688935</v>
          </cell>
          <cell r="V169">
            <v>133.38284919331946</v>
          </cell>
          <cell r="W169">
            <v>118.50715746421268</v>
          </cell>
          <cell r="X169">
            <v>48.38164931044188</v>
          </cell>
          <cell r="Y169">
            <v>125.23436005356798</v>
          </cell>
          <cell r="Z169">
            <v>102.36385906544392</v>
          </cell>
          <cell r="AA169">
            <v>131.86274509803923</v>
          </cell>
          <cell r="AB169">
            <v>72.791712104689196</v>
          </cell>
          <cell r="AC169">
            <v>103.87575862390031</v>
          </cell>
          <cell r="AD169">
            <v>95.831035844802301</v>
          </cell>
          <cell r="AF169">
            <v>101.17800238151675</v>
          </cell>
          <cell r="AG169">
            <v>99.853397234351306</v>
          </cell>
        </row>
        <row r="170">
          <cell r="A170">
            <v>40346</v>
          </cell>
          <cell r="B170">
            <v>9.4028849999999995</v>
          </cell>
          <cell r="C170">
            <v>53.42</v>
          </cell>
          <cell r="D170">
            <v>61.340232999999998</v>
          </cell>
          <cell r="E170">
            <v>28.500633000000001</v>
          </cell>
          <cell r="F170">
            <v>80.400000000000006</v>
          </cell>
          <cell r="G170">
            <v>1.3278782</v>
          </cell>
          <cell r="H170">
            <v>23.21</v>
          </cell>
          <cell r="I170">
            <v>16.78</v>
          </cell>
          <cell r="J170">
            <v>32.35</v>
          </cell>
          <cell r="K170">
            <v>4.6496835000000001</v>
          </cell>
          <cell r="L170">
            <v>2.79</v>
          </cell>
          <cell r="M170">
            <v>13.34</v>
          </cell>
          <cell r="N170">
            <v>8.6113140000000001</v>
          </cell>
          <cell r="O170">
            <v>10.259573</v>
          </cell>
          <cell r="Q170">
            <v>68.023428617335469</v>
          </cell>
          <cell r="R170">
            <v>88.473004306061611</v>
          </cell>
          <cell r="S170">
            <v>117.74162855210209</v>
          </cell>
          <cell r="T170">
            <v>104.2540829930397</v>
          </cell>
          <cell r="U170">
            <v>107.42918225547835</v>
          </cell>
          <cell r="V170">
            <v>128.57065121198636</v>
          </cell>
          <cell r="W170">
            <v>118.66053169734153</v>
          </cell>
          <cell r="X170">
            <v>47.227694905713484</v>
          </cell>
          <cell r="Y170">
            <v>123.78037114979912</v>
          </cell>
          <cell r="Z170">
            <v>101.97334038057286</v>
          </cell>
          <cell r="AA170">
            <v>136.76470588235296</v>
          </cell>
          <cell r="AB170">
            <v>72.737186477644485</v>
          </cell>
          <cell r="AC170">
            <v>105.36054050886148</v>
          </cell>
          <cell r="AD170">
            <v>97.251165759188325</v>
          </cell>
          <cell r="AF170">
            <v>101.30298403578566</v>
          </cell>
          <cell r="AG170">
            <v>101.3058531340249</v>
          </cell>
        </row>
        <row r="171">
          <cell r="A171">
            <v>40347</v>
          </cell>
          <cell r="B171">
            <v>9.5237619999999996</v>
          </cell>
          <cell r="C171">
            <v>53.09</v>
          </cell>
          <cell r="D171">
            <v>60.996426</v>
          </cell>
          <cell r="E171">
            <v>27.184146999999999</v>
          </cell>
          <cell r="F171">
            <v>80.25</v>
          </cell>
          <cell r="G171">
            <v>1.3298639999999999</v>
          </cell>
          <cell r="H171">
            <v>23.34</v>
          </cell>
          <cell r="I171">
            <v>16.670000000000002</v>
          </cell>
          <cell r="J171">
            <v>31.684999999999999</v>
          </cell>
          <cell r="K171">
            <v>4.6879520000000001</v>
          </cell>
          <cell r="L171">
            <v>2.89</v>
          </cell>
          <cell r="M171">
            <v>13.6</v>
          </cell>
          <cell r="N171">
            <v>8.7976539999999996</v>
          </cell>
          <cell r="O171">
            <v>10.354162000000001</v>
          </cell>
          <cell r="Q171">
            <v>68.89789086812101</v>
          </cell>
          <cell r="R171">
            <v>87.926465717124884</v>
          </cell>
          <cell r="S171">
            <v>117.08169633293997</v>
          </cell>
          <cell r="T171">
            <v>99.438434136988874</v>
          </cell>
          <cell r="U171">
            <v>107.2287546766435</v>
          </cell>
          <cell r="V171">
            <v>128.76292456896803</v>
          </cell>
          <cell r="W171">
            <v>119.32515337423312</v>
          </cell>
          <cell r="X171">
            <v>46.91809738249367</v>
          </cell>
          <cell r="Y171">
            <v>121.23589056820354</v>
          </cell>
          <cell r="Z171">
            <v>102.81261616705466</v>
          </cell>
          <cell r="AA171">
            <v>141.66666666666669</v>
          </cell>
          <cell r="AB171">
            <v>74.154852780806976</v>
          </cell>
          <cell r="AC171">
            <v>107.64043450859499</v>
          </cell>
          <cell r="AD171">
            <v>98.147781097662545</v>
          </cell>
          <cell r="AF171">
            <v>101.28745360335375</v>
          </cell>
          <cell r="AG171">
            <v>102.89410780312878</v>
          </cell>
        </row>
        <row r="172">
          <cell r="A172">
            <v>40348</v>
          </cell>
          <cell r="B172">
            <v>9.5237619999999996</v>
          </cell>
          <cell r="C172">
            <v>53.09</v>
          </cell>
          <cell r="D172">
            <v>60.996426</v>
          </cell>
          <cell r="E172">
            <v>27.184146999999999</v>
          </cell>
          <cell r="F172">
            <v>80.25</v>
          </cell>
          <cell r="G172">
            <v>1.3298639999999999</v>
          </cell>
          <cell r="H172">
            <v>23.34</v>
          </cell>
          <cell r="I172">
            <v>16.670000000000002</v>
          </cell>
          <cell r="J172">
            <v>31.684999999999999</v>
          </cell>
          <cell r="K172">
            <v>4.6879520000000001</v>
          </cell>
          <cell r="L172">
            <v>2.89</v>
          </cell>
          <cell r="M172">
            <v>13.6</v>
          </cell>
          <cell r="N172">
            <v>8.7976539999999996</v>
          </cell>
          <cell r="O172">
            <v>10.354162000000001</v>
          </cell>
          <cell r="Q172">
            <v>68.89789086812101</v>
          </cell>
          <cell r="R172">
            <v>87.926465717124884</v>
          </cell>
          <cell r="S172">
            <v>117.08169633293997</v>
          </cell>
          <cell r="T172">
            <v>99.438434136988874</v>
          </cell>
          <cell r="U172">
            <v>107.2287546766435</v>
          </cell>
          <cell r="V172">
            <v>128.76292456896803</v>
          </cell>
          <cell r="W172">
            <v>119.32515337423312</v>
          </cell>
          <cell r="X172">
            <v>46.91809738249367</v>
          </cell>
          <cell r="Y172">
            <v>121.23589056820354</v>
          </cell>
          <cell r="Z172">
            <v>102.81261616705466</v>
          </cell>
          <cell r="AA172">
            <v>141.66666666666669</v>
          </cell>
          <cell r="AB172">
            <v>74.154852780806976</v>
          </cell>
          <cell r="AC172">
            <v>107.64043450859499</v>
          </cell>
          <cell r="AD172">
            <v>98.147781097662545</v>
          </cell>
          <cell r="AF172">
            <v>101.28745360335375</v>
          </cell>
          <cell r="AG172">
            <v>102.89410780312878</v>
          </cell>
        </row>
        <row r="173">
          <cell r="A173">
            <v>40349</v>
          </cell>
          <cell r="B173">
            <v>9.5237619999999996</v>
          </cell>
          <cell r="C173">
            <v>53.09</v>
          </cell>
          <cell r="D173">
            <v>60.996426</v>
          </cell>
          <cell r="E173">
            <v>27.184146999999999</v>
          </cell>
          <cell r="F173">
            <v>80.25</v>
          </cell>
          <cell r="G173">
            <v>1.3298639999999999</v>
          </cell>
          <cell r="H173">
            <v>23.34</v>
          </cell>
          <cell r="I173">
            <v>16.670000000000002</v>
          </cell>
          <cell r="J173">
            <v>31.684999999999999</v>
          </cell>
          <cell r="K173">
            <v>4.6879520000000001</v>
          </cell>
          <cell r="L173">
            <v>2.89</v>
          </cell>
          <cell r="M173">
            <v>13.6</v>
          </cell>
          <cell r="N173">
            <v>8.7976539999999996</v>
          </cell>
          <cell r="O173">
            <v>10.354162000000001</v>
          </cell>
          <cell r="Q173">
            <v>68.89789086812101</v>
          </cell>
          <cell r="R173">
            <v>87.926465717124884</v>
          </cell>
          <cell r="S173">
            <v>117.08169633293997</v>
          </cell>
          <cell r="T173">
            <v>99.438434136988874</v>
          </cell>
          <cell r="U173">
            <v>107.2287546766435</v>
          </cell>
          <cell r="V173">
            <v>128.76292456896803</v>
          </cell>
          <cell r="W173">
            <v>119.32515337423312</v>
          </cell>
          <cell r="X173">
            <v>46.91809738249367</v>
          </cell>
          <cell r="Y173">
            <v>121.23589056820354</v>
          </cell>
          <cell r="Z173">
            <v>102.81261616705466</v>
          </cell>
          <cell r="AA173">
            <v>141.66666666666669</v>
          </cell>
          <cell r="AB173">
            <v>74.154852780806976</v>
          </cell>
          <cell r="AC173">
            <v>107.64043450859499</v>
          </cell>
          <cell r="AD173">
            <v>98.147781097662545</v>
          </cell>
          <cell r="AF173">
            <v>101.28745360335375</v>
          </cell>
          <cell r="AG173">
            <v>102.89410780312878</v>
          </cell>
        </row>
        <row r="174">
          <cell r="A174">
            <v>40350</v>
          </cell>
          <cell r="B174">
            <v>9.6507830000000006</v>
          </cell>
          <cell r="C174">
            <v>53.09</v>
          </cell>
          <cell r="D174">
            <v>61.543526</v>
          </cell>
          <cell r="E174">
            <v>27.414843000000001</v>
          </cell>
          <cell r="F174">
            <v>80.22</v>
          </cell>
          <cell r="G174">
            <v>1.3457482999999999</v>
          </cell>
          <cell r="H174">
            <v>22.93</v>
          </cell>
          <cell r="I174">
            <v>16.29</v>
          </cell>
          <cell r="J174">
            <v>31.824999999999999</v>
          </cell>
          <cell r="K174">
            <v>4.6711549999999997</v>
          </cell>
          <cell r="L174">
            <v>2.91</v>
          </cell>
          <cell r="M174">
            <v>13.34</v>
          </cell>
          <cell r="N174">
            <v>8.8166919999999998</v>
          </cell>
          <cell r="O174">
            <v>10.489312</v>
          </cell>
          <cell r="Q174">
            <v>69.816800748057076</v>
          </cell>
          <cell r="R174">
            <v>87.926465717124884</v>
          </cell>
          <cell r="S174">
            <v>118.13184632146144</v>
          </cell>
          <cell r="T174">
            <v>100.28231012845062</v>
          </cell>
          <cell r="U174">
            <v>107.18866916087653</v>
          </cell>
          <cell r="V174">
            <v>130.30090809414867</v>
          </cell>
          <cell r="W174">
            <v>117.22903885480574</v>
          </cell>
          <cell r="X174">
            <v>45.848578665916122</v>
          </cell>
          <cell r="Y174">
            <v>121.77157069064472</v>
          </cell>
          <cell r="Z174">
            <v>102.44423707235445</v>
          </cell>
          <cell r="AA174">
            <v>142.64705882352942</v>
          </cell>
          <cell r="AB174">
            <v>72.737186477644485</v>
          </cell>
          <cell r="AC174">
            <v>107.87336690081848</v>
          </cell>
          <cell r="AD174">
            <v>99.428876816982864</v>
          </cell>
          <cell r="AF174">
            <v>101.3603892295845</v>
          </cell>
          <cell r="AG174">
            <v>103.65112185890067</v>
          </cell>
        </row>
        <row r="175">
          <cell r="A175">
            <v>40351</v>
          </cell>
          <cell r="B175">
            <v>9.533353</v>
          </cell>
          <cell r="C175">
            <v>52.14</v>
          </cell>
          <cell r="D175">
            <v>60.679609999999997</v>
          </cell>
          <cell r="E175">
            <v>28.144307999999999</v>
          </cell>
          <cell r="F175">
            <v>78.95</v>
          </cell>
          <cell r="G175">
            <v>1.3084654</v>
          </cell>
          <cell r="H175">
            <v>22.8</v>
          </cell>
          <cell r="I175">
            <v>16.22</v>
          </cell>
          <cell r="J175">
            <v>31.64</v>
          </cell>
          <cell r="K175">
            <v>4.6568449999999997</v>
          </cell>
          <cell r="L175">
            <v>2.59</v>
          </cell>
          <cell r="M175">
            <v>12.72</v>
          </cell>
          <cell r="N175">
            <v>9.0921979999999998</v>
          </cell>
          <cell r="O175">
            <v>10.656689999999999</v>
          </cell>
          <cell r="Q175">
            <v>68.967275179836932</v>
          </cell>
          <cell r="R175">
            <v>86.353097052003974</v>
          </cell>
          <cell r="S175">
            <v>116.47357292083353</v>
          </cell>
          <cell r="T175">
            <v>102.95066155245294</v>
          </cell>
          <cell r="U175">
            <v>105.49171566007483</v>
          </cell>
          <cell r="V175">
            <v>126.6910237447623</v>
          </cell>
          <cell r="W175">
            <v>116.56441717791412</v>
          </cell>
          <cell r="X175">
            <v>45.651562060230788</v>
          </cell>
          <cell r="Y175">
            <v>121.06370767170461</v>
          </cell>
          <cell r="Z175">
            <v>102.13040097988795</v>
          </cell>
          <cell r="AA175">
            <v>126.96078431372548</v>
          </cell>
          <cell r="AB175">
            <v>69.356597600872419</v>
          </cell>
          <cell r="AC175">
            <v>111.24421844257324</v>
          </cell>
          <cell r="AD175">
            <v>101.01546386328988</v>
          </cell>
          <cell r="AF175">
            <v>99.054567992858324</v>
          </cell>
          <cell r="AG175">
            <v>106.12984115293156</v>
          </cell>
        </row>
        <row r="176">
          <cell r="A176">
            <v>40352</v>
          </cell>
          <cell r="B176">
            <v>9.1895579999999999</v>
          </cell>
          <cell r="C176">
            <v>51.59</v>
          </cell>
          <cell r="D176">
            <v>59.597136999999996</v>
          </cell>
          <cell r="E176">
            <v>27.91188</v>
          </cell>
          <cell r="F176">
            <v>78.41</v>
          </cell>
          <cell r="G176">
            <v>1.2708212999999999</v>
          </cell>
          <cell r="H176">
            <v>23.01</v>
          </cell>
          <cell r="I176">
            <v>15.89</v>
          </cell>
          <cell r="J176">
            <v>30.975000000000001</v>
          </cell>
          <cell r="K176">
            <v>4.6078204999999999</v>
          </cell>
          <cell r="L176">
            <v>2.52</v>
          </cell>
          <cell r="M176">
            <v>12.55</v>
          </cell>
          <cell r="N176">
            <v>8.7041219999999999</v>
          </cell>
          <cell r="O176">
            <v>10.579625999999999</v>
          </cell>
          <cell r="Q176">
            <v>66.48015397804653</v>
          </cell>
          <cell r="R176">
            <v>85.442199403776087</v>
          </cell>
          <cell r="S176">
            <v>114.39578273892015</v>
          </cell>
          <cell r="T176">
            <v>102.10044997989223</v>
          </cell>
          <cell r="U176">
            <v>104.77017637626938</v>
          </cell>
          <cell r="V176">
            <v>123.04616651968763</v>
          </cell>
          <cell r="W176">
            <v>117.63803680981597</v>
          </cell>
          <cell r="X176">
            <v>44.722769490571345</v>
          </cell>
          <cell r="Y176">
            <v>118.51922709010904</v>
          </cell>
          <cell r="Z176">
            <v>101.05523273983732</v>
          </cell>
          <cell r="AA176">
            <v>123.52941176470588</v>
          </cell>
          <cell r="AB176">
            <v>68.429661941112329</v>
          </cell>
          <cell r="AC176">
            <v>106.49605839191003</v>
          </cell>
          <cell r="AD176">
            <v>100.28496914990697</v>
          </cell>
          <cell r="AF176">
            <v>97.510772402728648</v>
          </cell>
          <cell r="AG176">
            <v>103.3905137709085</v>
          </cell>
        </row>
        <row r="177">
          <cell r="A177">
            <v>40353</v>
          </cell>
          <cell r="B177">
            <v>9.1378819999999994</v>
          </cell>
          <cell r="C177">
            <v>50.58</v>
          </cell>
          <cell r="D177">
            <v>59.669750000000001</v>
          </cell>
          <cell r="E177">
            <v>27.7302</v>
          </cell>
          <cell r="F177">
            <v>77.05</v>
          </cell>
          <cell r="G177">
            <v>1.247938</v>
          </cell>
          <cell r="H177">
            <v>23</v>
          </cell>
          <cell r="I177">
            <v>15.61</v>
          </cell>
          <cell r="J177">
            <v>30.695</v>
          </cell>
          <cell r="K177">
            <v>4.633902</v>
          </cell>
          <cell r="L177">
            <v>2.4500000000000002</v>
          </cell>
          <cell r="M177">
            <v>12.49</v>
          </cell>
          <cell r="N177">
            <v>8.8707879999999992</v>
          </cell>
          <cell r="O177">
            <v>10.600312000000001</v>
          </cell>
          <cell r="Q177">
            <v>66.106313534690102</v>
          </cell>
          <cell r="R177">
            <v>83.769460086121228</v>
          </cell>
          <cell r="S177">
            <v>114.53516226938352</v>
          </cell>
          <cell r="T177">
            <v>101.43587239671447</v>
          </cell>
          <cell r="U177">
            <v>102.95296632816675</v>
          </cell>
          <cell r="V177">
            <v>120.8305109099493</v>
          </cell>
          <cell r="W177">
            <v>117.58691206543968</v>
          </cell>
          <cell r="X177">
            <v>43.93470306783</v>
          </cell>
          <cell r="Y177">
            <v>117.4478668452267</v>
          </cell>
          <cell r="Z177">
            <v>101.62723246350367</v>
          </cell>
          <cell r="AA177">
            <v>120.0980392156863</v>
          </cell>
          <cell r="AB177">
            <v>68.102508178844062</v>
          </cell>
          <cell r="AC177">
            <v>108.53523845716487</v>
          </cell>
          <cell r="AD177">
            <v>100.48105310144129</v>
          </cell>
          <cell r="AF177">
            <v>96.535628946796336</v>
          </cell>
          <cell r="AG177">
            <v>104.50814577930308</v>
          </cell>
        </row>
        <row r="178">
          <cell r="A178">
            <v>40354</v>
          </cell>
          <cell r="B178">
            <v>9.1194199999999999</v>
          </cell>
          <cell r="C178">
            <v>50.74</v>
          </cell>
          <cell r="D178">
            <v>59.248469999999998</v>
          </cell>
          <cell r="E178">
            <v>28.112223</v>
          </cell>
          <cell r="F178">
            <v>77.19</v>
          </cell>
          <cell r="G178">
            <v>1.2431287</v>
          </cell>
          <cell r="H178">
            <v>22.74</v>
          </cell>
          <cell r="I178">
            <v>15.8</v>
          </cell>
          <cell r="J178">
            <v>30.844999999999999</v>
          </cell>
          <cell r="K178">
            <v>4.5035242999999996</v>
          </cell>
          <cell r="L178">
            <v>2.7</v>
          </cell>
          <cell r="M178">
            <v>12.71</v>
          </cell>
          <cell r="N178">
            <v>9.0944699999999994</v>
          </cell>
          <cell r="O178">
            <v>10.745467</v>
          </cell>
          <cell r="Q178">
            <v>65.972753617799356</v>
          </cell>
          <cell r="R178">
            <v>84.03444849287844</v>
          </cell>
          <cell r="S178">
            <v>113.72652182492304</v>
          </cell>
          <cell r="T178">
            <v>102.83329600998125</v>
          </cell>
          <cell r="U178">
            <v>103.14003206841261</v>
          </cell>
          <cell r="V178">
            <v>120.36485462244207</v>
          </cell>
          <cell r="W178">
            <v>116.25766871165644</v>
          </cell>
          <cell r="X178">
            <v>44.469462426118774</v>
          </cell>
          <cell r="Y178">
            <v>118.02180983355652</v>
          </cell>
          <cell r="Z178">
            <v>98.767887396224083</v>
          </cell>
          <cell r="AA178">
            <v>132.35294117647058</v>
          </cell>
          <cell r="AB178">
            <v>69.302071973827708</v>
          </cell>
          <cell r="AC178">
            <v>111.27201665641566</v>
          </cell>
          <cell r="AD178">
            <v>101.85698687234724</v>
          </cell>
          <cell r="AF178">
            <v>97.436979012857549</v>
          </cell>
          <cell r="AG178">
            <v>106.56450176438145</v>
          </cell>
        </row>
        <row r="179">
          <cell r="A179">
            <v>40355</v>
          </cell>
          <cell r="B179">
            <v>9.1194199999999999</v>
          </cell>
          <cell r="C179">
            <v>50.74</v>
          </cell>
          <cell r="D179">
            <v>59.248469999999998</v>
          </cell>
          <cell r="E179">
            <v>28.112223</v>
          </cell>
          <cell r="F179">
            <v>77.19</v>
          </cell>
          <cell r="G179">
            <v>1.2431287</v>
          </cell>
          <cell r="H179">
            <v>22.74</v>
          </cell>
          <cell r="I179">
            <v>15.8</v>
          </cell>
          <cell r="J179">
            <v>30.844999999999999</v>
          </cell>
          <cell r="K179">
            <v>4.5035242999999996</v>
          </cell>
          <cell r="L179">
            <v>2.7</v>
          </cell>
          <cell r="M179">
            <v>12.71</v>
          </cell>
          <cell r="N179">
            <v>9.0944699999999994</v>
          </cell>
          <cell r="O179">
            <v>10.745467</v>
          </cell>
          <cell r="Q179">
            <v>65.972753617799356</v>
          </cell>
          <cell r="R179">
            <v>84.03444849287844</v>
          </cell>
          <cell r="S179">
            <v>113.72652182492304</v>
          </cell>
          <cell r="T179">
            <v>102.83329600998125</v>
          </cell>
          <cell r="U179">
            <v>103.14003206841261</v>
          </cell>
          <cell r="V179">
            <v>120.36485462244207</v>
          </cell>
          <cell r="W179">
            <v>116.25766871165644</v>
          </cell>
          <cell r="X179">
            <v>44.469462426118774</v>
          </cell>
          <cell r="Y179">
            <v>118.02180983355652</v>
          </cell>
          <cell r="Z179">
            <v>98.767887396224083</v>
          </cell>
          <cell r="AA179">
            <v>132.35294117647058</v>
          </cell>
          <cell r="AB179">
            <v>69.302071973827708</v>
          </cell>
          <cell r="AC179">
            <v>111.27201665641566</v>
          </cell>
          <cell r="AD179">
            <v>101.85698687234724</v>
          </cell>
          <cell r="AF179">
            <v>97.436979012857549</v>
          </cell>
          <cell r="AG179">
            <v>106.56450176438145</v>
          </cell>
        </row>
        <row r="180">
          <cell r="A180">
            <v>40356</v>
          </cell>
          <cell r="B180">
            <v>9.1194199999999999</v>
          </cell>
          <cell r="C180">
            <v>50.74</v>
          </cell>
          <cell r="D180">
            <v>59.248469999999998</v>
          </cell>
          <cell r="E180">
            <v>28.112223</v>
          </cell>
          <cell r="F180">
            <v>77.19</v>
          </cell>
          <cell r="G180">
            <v>1.2431287</v>
          </cell>
          <cell r="H180">
            <v>22.74</v>
          </cell>
          <cell r="I180">
            <v>15.8</v>
          </cell>
          <cell r="J180">
            <v>30.844999999999999</v>
          </cell>
          <cell r="K180">
            <v>4.5035242999999996</v>
          </cell>
          <cell r="L180">
            <v>2.7</v>
          </cell>
          <cell r="M180">
            <v>12.71</v>
          </cell>
          <cell r="N180">
            <v>9.0944699999999994</v>
          </cell>
          <cell r="O180">
            <v>10.745467</v>
          </cell>
          <cell r="Q180">
            <v>65.972753617799356</v>
          </cell>
          <cell r="R180">
            <v>84.03444849287844</v>
          </cell>
          <cell r="S180">
            <v>113.72652182492304</v>
          </cell>
          <cell r="T180">
            <v>102.83329600998125</v>
          </cell>
          <cell r="U180">
            <v>103.14003206841261</v>
          </cell>
          <cell r="V180">
            <v>120.36485462244207</v>
          </cell>
          <cell r="W180">
            <v>116.25766871165644</v>
          </cell>
          <cell r="X180">
            <v>44.469462426118774</v>
          </cell>
          <cell r="Y180">
            <v>118.02180983355652</v>
          </cell>
          <cell r="Z180">
            <v>98.767887396224083</v>
          </cell>
          <cell r="AA180">
            <v>132.35294117647058</v>
          </cell>
          <cell r="AB180">
            <v>69.302071973827708</v>
          </cell>
          <cell r="AC180">
            <v>111.27201665641566</v>
          </cell>
          <cell r="AD180">
            <v>101.85698687234724</v>
          </cell>
          <cell r="AF180">
            <v>97.436979012857549</v>
          </cell>
          <cell r="AG180">
            <v>106.56450176438145</v>
          </cell>
        </row>
        <row r="181">
          <cell r="A181">
            <v>40357</v>
          </cell>
          <cell r="B181">
            <v>9.1270299999999995</v>
          </cell>
          <cell r="C181">
            <v>51.08</v>
          </cell>
          <cell r="D181">
            <v>58.381892999999998</v>
          </cell>
          <cell r="E181">
            <v>28.305693000000002</v>
          </cell>
          <cell r="F181">
            <v>78</v>
          </cell>
          <cell r="G181">
            <v>1.2610794999999999</v>
          </cell>
          <cell r="H181">
            <v>22.74</v>
          </cell>
          <cell r="I181">
            <v>16.32</v>
          </cell>
          <cell r="J181">
            <v>30.82</v>
          </cell>
          <cell r="K181">
            <v>4.5154779999999999</v>
          </cell>
          <cell r="L181">
            <v>2.4900000000000002</v>
          </cell>
          <cell r="M181">
            <v>12.63</v>
          </cell>
          <cell r="N181">
            <v>9.55593</v>
          </cell>
          <cell r="O181">
            <v>10.961214</v>
          </cell>
          <cell r="Q181">
            <v>66.027806752212683</v>
          </cell>
          <cell r="R181">
            <v>84.597548857237499</v>
          </cell>
          <cell r="S181">
            <v>112.06314067595031</v>
          </cell>
          <cell r="T181">
            <v>103.54100090329585</v>
          </cell>
          <cell r="U181">
            <v>104.22234099412077</v>
          </cell>
          <cell r="V181">
            <v>122.10292521188025</v>
          </cell>
          <cell r="W181">
            <v>116.25766871165644</v>
          </cell>
          <cell r="X181">
            <v>45.933014354066984</v>
          </cell>
          <cell r="Y181">
            <v>117.92615266883489</v>
          </cell>
          <cell r="Z181">
            <v>99.030046899963921</v>
          </cell>
          <cell r="AA181">
            <v>122.05882352941177</v>
          </cell>
          <cell r="AB181">
            <v>68.865866957470018</v>
          </cell>
          <cell r="AC181">
            <v>116.91803943798178</v>
          </cell>
          <cell r="AD181">
            <v>103.90206684390624</v>
          </cell>
          <cell r="AF181">
            <v>96.885528043008435</v>
          </cell>
          <cell r="AG181">
            <v>110.410053140944</v>
          </cell>
        </row>
        <row r="182">
          <cell r="A182">
            <v>40358</v>
          </cell>
          <cell r="B182">
            <v>9.0460410000000007</v>
          </cell>
          <cell r="C182">
            <v>50.05</v>
          </cell>
          <cell r="D182">
            <v>58.002147999999998</v>
          </cell>
          <cell r="E182">
            <v>28.92193</v>
          </cell>
          <cell r="F182">
            <v>76.52</v>
          </cell>
          <cell r="G182">
            <v>1.2406858999999999</v>
          </cell>
          <cell r="H182">
            <v>22.13</v>
          </cell>
          <cell r="I182">
            <v>16.37</v>
          </cell>
          <cell r="J182">
            <v>30.265000000000001</v>
          </cell>
          <cell r="K182">
            <v>4.4888839999999997</v>
          </cell>
          <cell r="L182">
            <v>2.4</v>
          </cell>
          <cell r="M182">
            <v>12.14</v>
          </cell>
          <cell r="N182">
            <v>9.2104540000000004</v>
          </cell>
          <cell r="O182">
            <v>10.819509</v>
          </cell>
          <cell r="Q182">
            <v>65.441906843802727</v>
          </cell>
          <cell r="R182">
            <v>82.89168598873799</v>
          </cell>
          <cell r="S182">
            <v>111.33422602160725</v>
          </cell>
          <cell r="T182">
            <v>105.79516919988707</v>
          </cell>
          <cell r="U182">
            <v>102.24478888295027</v>
          </cell>
          <cell r="V182">
            <v>120.12833263813607</v>
          </cell>
          <cell r="W182">
            <v>113.13905930470347</v>
          </cell>
          <cell r="X182">
            <v>46.073740500985082</v>
          </cell>
          <cell r="Y182">
            <v>115.80256361201452</v>
          </cell>
          <cell r="Z182">
            <v>98.446807414076119</v>
          </cell>
          <cell r="AA182">
            <v>117.64705882352942</v>
          </cell>
          <cell r="AB182">
            <v>66.19411123227917</v>
          </cell>
          <cell r="AC182">
            <v>112.69109589686373</v>
          </cell>
          <cell r="AD182">
            <v>102.55883584940912</v>
          </cell>
          <cell r="AF182">
            <v>95.428287538559104</v>
          </cell>
          <cell r="AG182">
            <v>107.62496587313643</v>
          </cell>
        </row>
        <row r="183">
          <cell r="A183">
            <v>40359</v>
          </cell>
          <cell r="B183">
            <v>8.8096999999999994</v>
          </cell>
          <cell r="C183">
            <v>49.77</v>
          </cell>
          <cell r="D183">
            <v>57.181601999999998</v>
          </cell>
          <cell r="E183">
            <v>30.1616</v>
          </cell>
          <cell r="F183">
            <v>75.349999999999994</v>
          </cell>
          <cell r="G183">
            <v>1.2248406000000001</v>
          </cell>
          <cell r="H183">
            <v>22.17</v>
          </cell>
          <cell r="I183">
            <v>17.2</v>
          </cell>
          <cell r="J183">
            <v>30.405000000000001</v>
          </cell>
          <cell r="K183">
            <v>4.3837336999999996</v>
          </cell>
          <cell r="L183">
            <v>2.37</v>
          </cell>
          <cell r="M183">
            <v>11.92</v>
          </cell>
          <cell r="N183">
            <v>9.4257969999999993</v>
          </cell>
          <cell r="O183">
            <v>11.090153000000001</v>
          </cell>
          <cell r="Q183">
            <v>63.732141687380015</v>
          </cell>
          <cell r="R183">
            <v>82.42795627691288</v>
          </cell>
          <cell r="S183">
            <v>109.75920066521654</v>
          </cell>
          <cell r="T183">
            <v>110.32982844987571</v>
          </cell>
          <cell r="U183">
            <v>100.68145376803848</v>
          </cell>
          <cell r="V183">
            <v>118.59412525401811</v>
          </cell>
          <cell r="W183">
            <v>113.34355828220862</v>
          </cell>
          <cell r="X183">
            <v>48.409794539825498</v>
          </cell>
          <cell r="Y183">
            <v>116.33824373445572</v>
          </cell>
          <cell r="Z183">
            <v>96.140730595510007</v>
          </cell>
          <cell r="AA183">
            <v>116.1764705882353</v>
          </cell>
          <cell r="AB183">
            <v>64.994547437295523</v>
          </cell>
          <cell r="AC183">
            <v>115.32584535261459</v>
          </cell>
          <cell r="AD183">
            <v>105.12428808662501</v>
          </cell>
          <cell r="AF183">
            <v>95.077337606581025</v>
          </cell>
          <cell r="AG183">
            <v>110.2250667196198</v>
          </cell>
        </row>
        <row r="184">
          <cell r="A184">
            <v>40360</v>
          </cell>
          <cell r="B184">
            <v>8.6154349999999997</v>
          </cell>
          <cell r="C184">
            <v>49.31</v>
          </cell>
          <cell r="D184">
            <v>58.120840000000001</v>
          </cell>
          <cell r="E184">
            <v>30.611073999999999</v>
          </cell>
          <cell r="F184">
            <v>75.42</v>
          </cell>
          <cell r="G184">
            <v>1.2951235999999999</v>
          </cell>
          <cell r="H184">
            <v>20.86</v>
          </cell>
          <cell r="I184">
            <v>17.22</v>
          </cell>
          <cell r="J184">
            <v>29.805</v>
          </cell>
          <cell r="K184">
            <v>4.3160819999999998</v>
          </cell>
          <cell r="L184">
            <v>2.25</v>
          </cell>
          <cell r="M184">
            <v>11.68</v>
          </cell>
          <cell r="N184">
            <v>9.3346630000000008</v>
          </cell>
          <cell r="O184">
            <v>11.046480000000001</v>
          </cell>
          <cell r="Q184">
            <v>62.326767553766061</v>
          </cell>
          <cell r="R184">
            <v>81.666114607485923</v>
          </cell>
          <cell r="S184">
            <v>111.56205347991029</v>
          </cell>
          <cell r="T184">
            <v>111.97398490419775</v>
          </cell>
          <cell r="U184">
            <v>100.77498663816141</v>
          </cell>
          <cell r="V184">
            <v>125.39921556962992</v>
          </cell>
          <cell r="W184">
            <v>106.64621676891616</v>
          </cell>
          <cell r="X184">
            <v>48.466084998592734</v>
          </cell>
          <cell r="Y184">
            <v>114.0424717811364</v>
          </cell>
          <cell r="Z184">
            <v>94.657044699163635</v>
          </cell>
          <cell r="AA184">
            <v>110.29411764705883</v>
          </cell>
          <cell r="AB184">
            <v>63.685932388222469</v>
          </cell>
          <cell r="AC184">
            <v>114.21080907606789</v>
          </cell>
          <cell r="AD184">
            <v>104.71030885355157</v>
          </cell>
          <cell r="AF184">
            <v>94.291249253020126</v>
          </cell>
          <cell r="AG184">
            <v>109.46055896480974</v>
          </cell>
        </row>
        <row r="185">
          <cell r="A185">
            <v>40361</v>
          </cell>
          <cell r="B185">
            <v>8.7291720000000002</v>
          </cell>
          <cell r="C185">
            <v>49.2</v>
          </cell>
          <cell r="D185">
            <v>57.471916</v>
          </cell>
          <cell r="E185">
            <v>30.389417999999999</v>
          </cell>
          <cell r="F185">
            <v>74.5</v>
          </cell>
          <cell r="G185">
            <v>1.2928712</v>
          </cell>
          <cell r="H185">
            <v>20.86</v>
          </cell>
          <cell r="I185">
            <v>17.170000000000002</v>
          </cell>
          <cell r="J185">
            <v>30.585000000000001</v>
          </cell>
          <cell r="K185">
            <v>4.4153365999999998</v>
          </cell>
          <cell r="L185">
            <v>2.1800000000000002</v>
          </cell>
          <cell r="M185">
            <v>11.68</v>
          </cell>
          <cell r="N185">
            <v>9.7143820000000005</v>
          </cell>
          <cell r="O185">
            <v>11.244073999999999</v>
          </cell>
          <cell r="Q185">
            <v>63.149576798019282</v>
          </cell>
          <cell r="R185">
            <v>81.483935077840343</v>
          </cell>
          <cell r="S185">
            <v>110.31645389820434</v>
          </cell>
          <cell r="T185">
            <v>111.16317684179768</v>
          </cell>
          <cell r="U185">
            <v>99.545697487974337</v>
          </cell>
          <cell r="V185">
            <v>125.18112889964024</v>
          </cell>
          <cell r="W185">
            <v>106.64621676891616</v>
          </cell>
          <cell r="X185">
            <v>48.325358851674643</v>
          </cell>
          <cell r="Y185">
            <v>117.0269753204515</v>
          </cell>
          <cell r="Z185">
            <v>96.833821486258415</v>
          </cell>
          <cell r="AA185">
            <v>106.86274509803921</v>
          </cell>
          <cell r="AB185">
            <v>63.685932388222469</v>
          </cell>
          <cell r="AC185">
            <v>118.85672015090319</v>
          </cell>
          <cell r="AD185">
            <v>106.58331534680632</v>
          </cell>
          <cell r="AF185">
            <v>94.185084909753201</v>
          </cell>
          <cell r="AG185">
            <v>112.72001774885476</v>
          </cell>
        </row>
        <row r="186">
          <cell r="A186">
            <v>40362</v>
          </cell>
          <cell r="B186">
            <v>8.7291720000000002</v>
          </cell>
          <cell r="C186">
            <v>49.2</v>
          </cell>
          <cell r="D186">
            <v>57.471916</v>
          </cell>
          <cell r="E186">
            <v>30.389417999999999</v>
          </cell>
          <cell r="F186">
            <v>74.5</v>
          </cell>
          <cell r="G186">
            <v>1.2928712</v>
          </cell>
          <cell r="H186">
            <v>20.86</v>
          </cell>
          <cell r="I186">
            <v>17.170000000000002</v>
          </cell>
          <cell r="J186">
            <v>30.585000000000001</v>
          </cell>
          <cell r="K186">
            <v>4.4153365999999998</v>
          </cell>
          <cell r="L186">
            <v>2.1800000000000002</v>
          </cell>
          <cell r="M186">
            <v>11.68</v>
          </cell>
          <cell r="N186">
            <v>9.7143820000000005</v>
          </cell>
          <cell r="O186">
            <v>11.244073999999999</v>
          </cell>
          <cell r="Q186">
            <v>63.149576798019282</v>
          </cell>
          <cell r="R186">
            <v>81.483935077840343</v>
          </cell>
          <cell r="S186">
            <v>110.31645389820434</v>
          </cell>
          <cell r="T186">
            <v>111.16317684179768</v>
          </cell>
          <cell r="U186">
            <v>99.545697487974337</v>
          </cell>
          <cell r="V186">
            <v>125.18112889964024</v>
          </cell>
          <cell r="W186">
            <v>106.64621676891616</v>
          </cell>
          <cell r="X186">
            <v>48.325358851674643</v>
          </cell>
          <cell r="Y186">
            <v>117.0269753204515</v>
          </cell>
          <cell r="Z186">
            <v>96.833821486258415</v>
          </cell>
          <cell r="AA186">
            <v>106.86274509803921</v>
          </cell>
          <cell r="AB186">
            <v>63.685932388222469</v>
          </cell>
          <cell r="AC186">
            <v>118.85672015090319</v>
          </cell>
          <cell r="AD186">
            <v>106.58331534680632</v>
          </cell>
          <cell r="AF186">
            <v>94.185084909753201</v>
          </cell>
          <cell r="AG186">
            <v>112.72001774885476</v>
          </cell>
        </row>
        <row r="187">
          <cell r="A187">
            <v>40363</v>
          </cell>
          <cell r="B187">
            <v>8.7291720000000002</v>
          </cell>
          <cell r="C187">
            <v>49.2</v>
          </cell>
          <cell r="D187">
            <v>57.471916</v>
          </cell>
          <cell r="E187">
            <v>30.389417999999999</v>
          </cell>
          <cell r="F187">
            <v>74.5</v>
          </cell>
          <cell r="G187">
            <v>1.2928712</v>
          </cell>
          <cell r="H187">
            <v>20.86</v>
          </cell>
          <cell r="I187">
            <v>17.170000000000002</v>
          </cell>
          <cell r="J187">
            <v>30.585000000000001</v>
          </cell>
          <cell r="K187">
            <v>4.4153365999999998</v>
          </cell>
          <cell r="L187">
            <v>2.1800000000000002</v>
          </cell>
          <cell r="M187">
            <v>11.68</v>
          </cell>
          <cell r="N187">
            <v>9.7143820000000005</v>
          </cell>
          <cell r="O187">
            <v>11.244073999999999</v>
          </cell>
          <cell r="Q187">
            <v>63.149576798019282</v>
          </cell>
          <cell r="R187">
            <v>81.483935077840343</v>
          </cell>
          <cell r="S187">
            <v>110.31645389820434</v>
          </cell>
          <cell r="T187">
            <v>111.16317684179768</v>
          </cell>
          <cell r="U187">
            <v>99.545697487974337</v>
          </cell>
          <cell r="V187">
            <v>125.18112889964024</v>
          </cell>
          <cell r="W187">
            <v>106.64621676891616</v>
          </cell>
          <cell r="X187">
            <v>48.325358851674643</v>
          </cell>
          <cell r="Y187">
            <v>117.0269753204515</v>
          </cell>
          <cell r="Z187">
            <v>96.833821486258415</v>
          </cell>
          <cell r="AA187">
            <v>106.86274509803921</v>
          </cell>
          <cell r="AB187">
            <v>63.685932388222469</v>
          </cell>
          <cell r="AC187">
            <v>118.85672015090319</v>
          </cell>
          <cell r="AD187">
            <v>106.58331534680632</v>
          </cell>
          <cell r="AF187">
            <v>94.185084909753201</v>
          </cell>
          <cell r="AG187">
            <v>112.72001774885476</v>
          </cell>
        </row>
        <row r="188">
          <cell r="A188">
            <v>40364</v>
          </cell>
          <cell r="B188">
            <v>8.7291720000000002</v>
          </cell>
          <cell r="C188">
            <v>49.2</v>
          </cell>
          <cell r="D188">
            <v>57.471916</v>
          </cell>
          <cell r="E188">
            <v>30.389417999999999</v>
          </cell>
          <cell r="F188">
            <v>74.5</v>
          </cell>
          <cell r="G188">
            <v>1.2928712</v>
          </cell>
          <cell r="H188">
            <v>20.86</v>
          </cell>
          <cell r="I188">
            <v>17.170000000000002</v>
          </cell>
          <cell r="J188">
            <v>30.585000000000001</v>
          </cell>
          <cell r="K188">
            <v>4.4153365999999998</v>
          </cell>
          <cell r="L188">
            <v>2.1800000000000002</v>
          </cell>
          <cell r="M188">
            <v>11.68</v>
          </cell>
          <cell r="N188">
            <v>9.7143820000000005</v>
          </cell>
          <cell r="O188">
            <v>11.244073999999999</v>
          </cell>
          <cell r="Q188">
            <v>63.149576798019282</v>
          </cell>
          <cell r="R188">
            <v>81.483935077840343</v>
          </cell>
          <cell r="S188">
            <v>110.31645389820434</v>
          </cell>
          <cell r="T188">
            <v>111.16317684179768</v>
          </cell>
          <cell r="U188">
            <v>99.545697487974337</v>
          </cell>
          <cell r="V188">
            <v>125.18112889964024</v>
          </cell>
          <cell r="W188">
            <v>106.64621676891616</v>
          </cell>
          <cell r="X188">
            <v>48.325358851674643</v>
          </cell>
          <cell r="Y188">
            <v>117.0269753204515</v>
          </cell>
          <cell r="Z188">
            <v>96.833821486258415</v>
          </cell>
          <cell r="AA188">
            <v>106.86274509803921</v>
          </cell>
          <cell r="AB188">
            <v>63.685932388222469</v>
          </cell>
          <cell r="AC188">
            <v>118.85672015090319</v>
          </cell>
          <cell r="AD188">
            <v>106.58331534680632</v>
          </cell>
          <cell r="AF188">
            <v>94.185084909753201</v>
          </cell>
          <cell r="AG188">
            <v>112.72001774885476</v>
          </cell>
        </row>
        <row r="189">
          <cell r="A189">
            <v>40365</v>
          </cell>
          <cell r="B189">
            <v>8.7475194999999992</v>
          </cell>
          <cell r="C189">
            <v>48.91</v>
          </cell>
          <cell r="D189">
            <v>57.649410000000003</v>
          </cell>
          <cell r="E189">
            <v>30.826422000000001</v>
          </cell>
          <cell r="F189">
            <v>74.2</v>
          </cell>
          <cell r="G189">
            <v>1.3350171</v>
          </cell>
          <cell r="H189">
            <v>20.69</v>
          </cell>
          <cell r="I189">
            <v>17.07</v>
          </cell>
          <cell r="J189">
            <v>30.975000000000001</v>
          </cell>
          <cell r="K189">
            <v>4.4420999999999999</v>
          </cell>
          <cell r="L189">
            <v>2.17</v>
          </cell>
          <cell r="M189">
            <v>11.82</v>
          </cell>
          <cell r="N189">
            <v>10.143654</v>
          </cell>
          <cell r="O189">
            <v>11.447029000000001</v>
          </cell>
          <cell r="Q189">
            <v>63.282308385883688</v>
          </cell>
          <cell r="R189">
            <v>81.003643590592901</v>
          </cell>
          <cell r="S189">
            <v>110.65715088607244</v>
          </cell>
          <cell r="T189">
            <v>112.76171857538972</v>
          </cell>
          <cell r="U189">
            <v>99.144842330304655</v>
          </cell>
          <cell r="V189">
            <v>129.26186899230481</v>
          </cell>
          <cell r="W189">
            <v>105.77709611451944</v>
          </cell>
          <cell r="X189">
            <v>48.043906557838447</v>
          </cell>
          <cell r="Y189">
            <v>118.51922709010904</v>
          </cell>
          <cell r="Z189">
            <v>97.420776124771223</v>
          </cell>
          <cell r="AA189">
            <v>106.37254901960785</v>
          </cell>
          <cell r="AB189">
            <v>64.449291166848425</v>
          </cell>
          <cell r="AC189">
            <v>124.1089185895294</v>
          </cell>
          <cell r="AD189">
            <v>108.50713911088073</v>
          </cell>
          <cell r="AF189">
            <v>94.724531569520238</v>
          </cell>
          <cell r="AG189">
            <v>116.30802885020506</v>
          </cell>
        </row>
        <row r="190">
          <cell r="A190">
            <v>40366</v>
          </cell>
          <cell r="B190">
            <v>8.8324210000000001</v>
          </cell>
          <cell r="C190">
            <v>49.77</v>
          </cell>
          <cell r="D190">
            <v>56.599452999999997</v>
          </cell>
          <cell r="E190">
            <v>30.648489000000001</v>
          </cell>
          <cell r="F190">
            <v>74.989999999999995</v>
          </cell>
          <cell r="G190">
            <v>1.3063875</v>
          </cell>
          <cell r="H190">
            <v>20.81</v>
          </cell>
          <cell r="I190">
            <v>17.28</v>
          </cell>
          <cell r="J190">
            <v>32.01</v>
          </cell>
          <cell r="K190">
            <v>4.4548363999999996</v>
          </cell>
          <cell r="L190">
            <v>2.12</v>
          </cell>
          <cell r="M190">
            <v>12.05</v>
          </cell>
          <cell r="N190">
            <v>9.7186140000000005</v>
          </cell>
          <cell r="O190">
            <v>11.764042</v>
          </cell>
          <cell r="Q190">
            <v>63.896512550324161</v>
          </cell>
          <cell r="R190">
            <v>82.42795627691288</v>
          </cell>
          <cell r="S190">
            <v>108.64177466326481</v>
          </cell>
          <cell r="T190">
            <v>112.11084735617153</v>
          </cell>
          <cell r="U190">
            <v>100.20042757883483</v>
          </cell>
          <cell r="V190">
            <v>126.48983288542493</v>
          </cell>
          <cell r="W190">
            <v>106.39059304703477</v>
          </cell>
          <cell r="X190">
            <v>48.634956374894458</v>
          </cell>
          <cell r="Y190">
            <v>122.47943370958482</v>
          </cell>
          <cell r="Z190">
            <v>97.700101212688097</v>
          </cell>
          <cell r="AA190">
            <v>103.92156862745099</v>
          </cell>
          <cell r="AB190">
            <v>65.703380588876783</v>
          </cell>
          <cell r="AC190">
            <v>118.90849921823641</v>
          </cell>
          <cell r="AD190">
            <v>111.51212614209707</v>
          </cell>
          <cell r="AF190">
            <v>94.883115405955252</v>
          </cell>
          <cell r="AG190">
            <v>115.21031268016674</v>
          </cell>
        </row>
        <row r="191">
          <cell r="A191">
            <v>40367</v>
          </cell>
          <cell r="B191">
            <v>9.0875199999999996</v>
          </cell>
          <cell r="C191">
            <v>49.88</v>
          </cell>
          <cell r="D191">
            <v>56.458897</v>
          </cell>
          <cell r="E191">
            <v>30.171634999999998</v>
          </cell>
          <cell r="F191">
            <v>75.62</v>
          </cell>
          <cell r="G191">
            <v>1.2876156999999999</v>
          </cell>
          <cell r="H191">
            <v>21.19</v>
          </cell>
          <cell r="I191">
            <v>17.03</v>
          </cell>
          <cell r="J191">
            <v>32.5</v>
          </cell>
          <cell r="K191">
            <v>4.5874499999999996</v>
          </cell>
          <cell r="L191">
            <v>2.21</v>
          </cell>
          <cell r="M191">
            <v>12.13</v>
          </cell>
          <cell r="N191">
            <v>9.6115790000000008</v>
          </cell>
          <cell r="O191">
            <v>12.099282000000001</v>
          </cell>
          <cell r="Q191">
            <v>65.741978980771151</v>
          </cell>
          <cell r="R191">
            <v>82.610135806558461</v>
          </cell>
          <cell r="S191">
            <v>108.3719795951116</v>
          </cell>
          <cell r="T191">
            <v>110.36653604590822</v>
          </cell>
          <cell r="U191">
            <v>101.0422234099412</v>
          </cell>
          <cell r="V191">
            <v>124.67226968541065</v>
          </cell>
          <cell r="W191">
            <v>108.33333333333334</v>
          </cell>
          <cell r="X191">
            <v>47.931325640303967</v>
          </cell>
          <cell r="Y191">
            <v>124.35431413812894</v>
          </cell>
          <cell r="Z191">
            <v>100.60848234699394</v>
          </cell>
          <cell r="AA191">
            <v>108.33333333333333</v>
          </cell>
          <cell r="AB191">
            <v>66.139585605234458</v>
          </cell>
          <cell r="AC191">
            <v>117.59891215018084</v>
          </cell>
          <cell r="AD191">
            <v>114.68988810247403</v>
          </cell>
          <cell r="AF191">
            <v>95.708791493419099</v>
          </cell>
          <cell r="AG191">
            <v>116.14440012632744</v>
          </cell>
        </row>
        <row r="192">
          <cell r="A192">
            <v>40368</v>
          </cell>
          <cell r="B192">
            <v>9.2034230000000008</v>
          </cell>
          <cell r="C192">
            <v>49.73</v>
          </cell>
          <cell r="D192">
            <v>56.280726999999999</v>
          </cell>
          <cell r="E192">
            <v>29.575635999999999</v>
          </cell>
          <cell r="F192">
            <v>74.33</v>
          </cell>
          <cell r="G192">
            <v>1.302413</v>
          </cell>
          <cell r="H192">
            <v>21.43</v>
          </cell>
          <cell r="I192">
            <v>17.03</v>
          </cell>
          <cell r="J192">
            <v>32.465000000000003</v>
          </cell>
          <cell r="K192">
            <v>4.6192083000000004</v>
          </cell>
          <cell r="L192">
            <v>2.2000000000000002</v>
          </cell>
          <cell r="M192">
            <v>12.21</v>
          </cell>
          <cell r="N192">
            <v>9.6549759999999996</v>
          </cell>
          <cell r="O192">
            <v>12.153911000000001</v>
          </cell>
          <cell r="Q192">
            <v>66.580457750535444</v>
          </cell>
          <cell r="R192">
            <v>82.361709175223581</v>
          </cell>
          <cell r="S192">
            <v>108.02998503569856</v>
          </cell>
          <cell r="T192">
            <v>108.18639747811683</v>
          </cell>
          <cell r="U192">
            <v>99.31854623196152</v>
          </cell>
          <cell r="V192">
            <v>126.10500538148514</v>
          </cell>
          <cell r="W192">
            <v>109.56032719836402</v>
          </cell>
          <cell r="X192">
            <v>47.931325640303967</v>
          </cell>
          <cell r="Y192">
            <v>124.22039410751866</v>
          </cell>
          <cell r="Z192">
            <v>101.30498135296034</v>
          </cell>
          <cell r="AA192">
            <v>107.84313725490198</v>
          </cell>
          <cell r="AB192">
            <v>66.575790621592162</v>
          </cell>
          <cell r="AC192">
            <v>118.12988005780363</v>
          </cell>
          <cell r="AD192">
            <v>115.2077199785432</v>
          </cell>
          <cell r="AF192">
            <v>95.668171435721845</v>
          </cell>
          <cell r="AG192">
            <v>116.66880001817341</v>
          </cell>
        </row>
        <row r="193">
          <cell r="A193">
            <v>40369</v>
          </cell>
          <cell r="B193">
            <v>9.2034230000000008</v>
          </cell>
          <cell r="C193">
            <v>49.73</v>
          </cell>
          <cell r="D193">
            <v>56.280726999999999</v>
          </cell>
          <cell r="E193">
            <v>29.575635999999999</v>
          </cell>
          <cell r="F193">
            <v>74.33</v>
          </cell>
          <cell r="G193">
            <v>1.302413</v>
          </cell>
          <cell r="H193">
            <v>21.43</v>
          </cell>
          <cell r="I193">
            <v>17.03</v>
          </cell>
          <cell r="J193">
            <v>32.465000000000003</v>
          </cell>
          <cell r="K193">
            <v>4.6192083000000004</v>
          </cell>
          <cell r="L193">
            <v>2.2000000000000002</v>
          </cell>
          <cell r="M193">
            <v>12.21</v>
          </cell>
          <cell r="N193">
            <v>9.6549759999999996</v>
          </cell>
          <cell r="O193">
            <v>12.153911000000001</v>
          </cell>
          <cell r="Q193">
            <v>66.580457750535444</v>
          </cell>
          <cell r="R193">
            <v>82.361709175223581</v>
          </cell>
          <cell r="S193">
            <v>108.02998503569856</v>
          </cell>
          <cell r="T193">
            <v>108.18639747811683</v>
          </cell>
          <cell r="U193">
            <v>99.31854623196152</v>
          </cell>
          <cell r="V193">
            <v>126.10500538148514</v>
          </cell>
          <cell r="W193">
            <v>109.56032719836402</v>
          </cell>
          <cell r="X193">
            <v>47.931325640303967</v>
          </cell>
          <cell r="Y193">
            <v>124.22039410751866</v>
          </cell>
          <cell r="Z193">
            <v>101.30498135296034</v>
          </cell>
          <cell r="AA193">
            <v>107.84313725490198</v>
          </cell>
          <cell r="AB193">
            <v>66.575790621592162</v>
          </cell>
          <cell r="AC193">
            <v>118.12988005780363</v>
          </cell>
          <cell r="AD193">
            <v>115.2077199785432</v>
          </cell>
          <cell r="AF193">
            <v>95.668171435721845</v>
          </cell>
          <cell r="AG193">
            <v>116.66880001817341</v>
          </cell>
        </row>
        <row r="194">
          <cell r="A194">
            <v>40370</v>
          </cell>
          <cell r="B194">
            <v>9.2034230000000008</v>
          </cell>
          <cell r="C194">
            <v>49.73</v>
          </cell>
          <cell r="D194">
            <v>56.280726999999999</v>
          </cell>
          <cell r="E194">
            <v>29.575635999999999</v>
          </cell>
          <cell r="F194">
            <v>74.33</v>
          </cell>
          <cell r="G194">
            <v>1.302413</v>
          </cell>
          <cell r="H194">
            <v>21.43</v>
          </cell>
          <cell r="I194">
            <v>17.03</v>
          </cell>
          <cell r="J194">
            <v>32.465000000000003</v>
          </cell>
          <cell r="K194">
            <v>4.6192083000000004</v>
          </cell>
          <cell r="L194">
            <v>2.2000000000000002</v>
          </cell>
          <cell r="M194">
            <v>12.21</v>
          </cell>
          <cell r="N194">
            <v>9.6549759999999996</v>
          </cell>
          <cell r="O194">
            <v>12.153911000000001</v>
          </cell>
          <cell r="Q194">
            <v>66.580457750535444</v>
          </cell>
          <cell r="R194">
            <v>82.361709175223581</v>
          </cell>
          <cell r="S194">
            <v>108.02998503569856</v>
          </cell>
          <cell r="T194">
            <v>108.18639747811683</v>
          </cell>
          <cell r="U194">
            <v>99.31854623196152</v>
          </cell>
          <cell r="V194">
            <v>126.10500538148514</v>
          </cell>
          <cell r="W194">
            <v>109.56032719836402</v>
          </cell>
          <cell r="X194">
            <v>47.931325640303967</v>
          </cell>
          <cell r="Y194">
            <v>124.22039410751866</v>
          </cell>
          <cell r="Z194">
            <v>101.30498135296034</v>
          </cell>
          <cell r="AA194">
            <v>107.84313725490198</v>
          </cell>
          <cell r="AB194">
            <v>66.575790621592162</v>
          </cell>
          <cell r="AC194">
            <v>118.12988005780363</v>
          </cell>
          <cell r="AD194">
            <v>115.2077199785432</v>
          </cell>
          <cell r="AF194">
            <v>95.668171435721845</v>
          </cell>
          <cell r="AG194">
            <v>116.66880001817341</v>
          </cell>
        </row>
        <row r="195">
          <cell r="A195">
            <v>40371</v>
          </cell>
          <cell r="B195">
            <v>9.1513030000000004</v>
          </cell>
          <cell r="C195">
            <v>49.47</v>
          </cell>
          <cell r="D195">
            <v>56.594180000000001</v>
          </cell>
          <cell r="E195">
            <v>29.166899999999998</v>
          </cell>
          <cell r="F195">
            <v>74.87</v>
          </cell>
          <cell r="G195">
            <v>1.2946154000000001</v>
          </cell>
          <cell r="H195">
            <v>21.44</v>
          </cell>
          <cell r="I195">
            <v>16.93</v>
          </cell>
          <cell r="J195">
            <v>32.674999999999997</v>
          </cell>
          <cell r="K195">
            <v>4.6761670000000004</v>
          </cell>
          <cell r="L195">
            <v>2.14</v>
          </cell>
          <cell r="M195">
            <v>12.67</v>
          </cell>
          <cell r="N195">
            <v>9.5283999999999995</v>
          </cell>
          <cell r="O195">
            <v>11.456769</v>
          </cell>
          <cell r="Q195">
            <v>66.203405271478701</v>
          </cell>
          <cell r="R195">
            <v>81.931103014243121</v>
          </cell>
          <cell r="S195">
            <v>108.63165322131734</v>
          </cell>
          <cell r="T195">
            <v>106.69125886606415</v>
          </cell>
          <cell r="U195">
            <v>100.04008551576698</v>
          </cell>
          <cell r="V195">
            <v>125.35000954685923</v>
          </cell>
          <cell r="W195">
            <v>109.61145194274029</v>
          </cell>
          <cell r="X195">
            <v>47.649873346467771</v>
          </cell>
          <cell r="Y195">
            <v>125.02391429118038</v>
          </cell>
          <cell r="Z195">
            <v>102.55415646406951</v>
          </cell>
          <cell r="AA195">
            <v>104.90196078431373</v>
          </cell>
          <cell r="AB195">
            <v>69.083969465648849</v>
          </cell>
          <cell r="AC195">
            <v>116.58120632747054</v>
          </cell>
          <cell r="AD195">
            <v>108.59946521007554</v>
          </cell>
          <cell r="AF195">
            <v>95.639403477512488</v>
          </cell>
          <cell r="AG195">
            <v>112.59033576877303</v>
          </cell>
        </row>
        <row r="196">
          <cell r="A196">
            <v>40372</v>
          </cell>
          <cell r="B196">
            <v>9.2493759999999998</v>
          </cell>
          <cell r="C196">
            <v>50.51</v>
          </cell>
          <cell r="D196">
            <v>57.220706999999997</v>
          </cell>
          <cell r="E196">
            <v>29.473206000000001</v>
          </cell>
          <cell r="F196">
            <v>75.84</v>
          </cell>
          <cell r="G196">
            <v>1.2922897</v>
          </cell>
          <cell r="H196">
            <v>21.95</v>
          </cell>
          <cell r="I196">
            <v>17.3</v>
          </cell>
          <cell r="J196">
            <v>33.115000000000002</v>
          </cell>
          <cell r="K196">
            <v>4.7124430000000004</v>
          </cell>
          <cell r="L196">
            <v>2.02</v>
          </cell>
          <cell r="M196">
            <v>13.27</v>
          </cell>
          <cell r="N196">
            <v>9.5909569999999995</v>
          </cell>
          <cell r="O196">
            <v>11.703251</v>
          </cell>
          <cell r="Q196">
            <v>66.912896211204952</v>
          </cell>
          <cell r="R196">
            <v>83.653527658164947</v>
          </cell>
          <cell r="S196">
            <v>109.83426210791647</v>
          </cell>
          <cell r="T196">
            <v>107.81171296774204</v>
          </cell>
          <cell r="U196">
            <v>101.33618385889898</v>
          </cell>
          <cell r="V196">
            <v>125.12482566815429</v>
          </cell>
          <cell r="W196">
            <v>112.21881390593047</v>
          </cell>
          <cell r="X196">
            <v>48.691246833661694</v>
          </cell>
          <cell r="Y196">
            <v>126.70748039028123</v>
          </cell>
          <cell r="Z196">
            <v>103.34973424815861</v>
          </cell>
          <cell r="AA196">
            <v>99.019607843137265</v>
          </cell>
          <cell r="AB196">
            <v>72.355507088331521</v>
          </cell>
          <cell r="AC196">
            <v>117.34659931309537</v>
          </cell>
          <cell r="AD196">
            <v>110.93588426364202</v>
          </cell>
          <cell r="AF196">
            <v>96.41798323179853</v>
          </cell>
          <cell r="AG196">
            <v>114.14124178836869</v>
          </cell>
        </row>
        <row r="197">
          <cell r="A197">
            <v>40373</v>
          </cell>
          <cell r="B197">
            <v>9.1785189999999997</v>
          </cell>
          <cell r="C197">
            <v>50.6</v>
          </cell>
          <cell r="D197">
            <v>57.310805999999999</v>
          </cell>
          <cell r="E197">
            <v>29.254508999999999</v>
          </cell>
          <cell r="F197">
            <v>76.290000000000006</v>
          </cell>
          <cell r="G197">
            <v>1.3166987000000001</v>
          </cell>
          <cell r="H197">
            <v>22.04</v>
          </cell>
          <cell r="I197">
            <v>17.920000000000002</v>
          </cell>
          <cell r="J197">
            <v>33.405000000000001</v>
          </cell>
          <cell r="K197">
            <v>4.8187230000000003</v>
          </cell>
          <cell r="L197">
            <v>2.15</v>
          </cell>
          <cell r="M197">
            <v>13.07</v>
          </cell>
          <cell r="N197">
            <v>9.6034000000000006</v>
          </cell>
          <cell r="O197">
            <v>11.331445</v>
          </cell>
          <cell r="Q197">
            <v>66.400294378731346</v>
          </cell>
          <cell r="R197">
            <v>83.802583636965878</v>
          </cell>
          <cell r="S197">
            <v>110.00720574494042</v>
          </cell>
          <cell r="T197">
            <v>107.01172879937886</v>
          </cell>
          <cell r="U197">
            <v>101.93746659540352</v>
          </cell>
          <cell r="V197">
            <v>127.48820585274756</v>
          </cell>
          <cell r="W197">
            <v>112.67893660531698</v>
          </cell>
          <cell r="X197">
            <v>50.4362510554461</v>
          </cell>
          <cell r="Y197">
            <v>127.81710350105222</v>
          </cell>
          <cell r="Z197">
            <v>105.68058679234731</v>
          </cell>
          <cell r="AA197">
            <v>105.3921568627451</v>
          </cell>
          <cell r="AB197">
            <v>71.264994547437297</v>
          </cell>
          <cell r="AC197">
            <v>117.49884102737403</v>
          </cell>
          <cell r="AD197">
            <v>107.41151078959386</v>
          </cell>
          <cell r="AF197">
            <v>97.493126197709373</v>
          </cell>
          <cell r="AG197">
            <v>112.45517590848394</v>
          </cell>
        </row>
        <row r="198">
          <cell r="A198">
            <v>40374</v>
          </cell>
          <cell r="B198">
            <v>9.0914169999999999</v>
          </cell>
          <cell r="C198">
            <v>50.7</v>
          </cell>
          <cell r="D198">
            <v>56.260722999999999</v>
          </cell>
          <cell r="E198">
            <v>29.228131999999999</v>
          </cell>
          <cell r="F198">
            <v>76.58</v>
          </cell>
          <cell r="G198">
            <v>1.3019128</v>
          </cell>
          <cell r="H198">
            <v>21.35</v>
          </cell>
          <cell r="I198">
            <v>18.149999999999999</v>
          </cell>
          <cell r="J198">
            <v>33.42</v>
          </cell>
          <cell r="K198">
            <v>4.7475452000000002</v>
          </cell>
          <cell r="L198">
            <v>2.14</v>
          </cell>
          <cell r="M198">
            <v>13.08</v>
          </cell>
          <cell r="N198">
            <v>9.6139720000000004</v>
          </cell>
          <cell r="O198">
            <v>11.303905500000001</v>
          </cell>
          <cell r="Q198">
            <v>65.770171104924728</v>
          </cell>
          <cell r="R198">
            <v>83.96820139118914</v>
          </cell>
          <cell r="S198">
            <v>107.99158766708152</v>
          </cell>
          <cell r="T198">
            <v>106.91524287406247</v>
          </cell>
          <cell r="U198">
            <v>102.32495991448423</v>
          </cell>
          <cell r="V198">
            <v>126.05657395175294</v>
          </cell>
          <cell r="W198">
            <v>109.1513292433538</v>
          </cell>
          <cell r="X198">
            <v>51.083591331269339</v>
          </cell>
          <cell r="Y198">
            <v>127.87449779988521</v>
          </cell>
          <cell r="Z198">
            <v>104.11956913879297</v>
          </cell>
          <cell r="AA198">
            <v>104.90196078431373</v>
          </cell>
          <cell r="AB198">
            <v>71.319520174482008</v>
          </cell>
          <cell r="AC198">
            <v>117.62819081467242</v>
          </cell>
          <cell r="AD198">
            <v>107.15046206179349</v>
          </cell>
          <cell r="AF198">
            <v>96.789767114632681</v>
          </cell>
          <cell r="AG198">
            <v>112.38932643823296</v>
          </cell>
        </row>
        <row r="199">
          <cell r="A199">
            <v>40375</v>
          </cell>
          <cell r="B199">
            <v>8.9395199999999999</v>
          </cell>
          <cell r="C199">
            <v>49.29</v>
          </cell>
          <cell r="D199">
            <v>56.124516</v>
          </cell>
          <cell r="E199">
            <v>29.508766000000001</v>
          </cell>
          <cell r="F199">
            <v>75.03</v>
          </cell>
          <cell r="G199">
            <v>1.3092337000000001</v>
          </cell>
          <cell r="H199">
            <v>20.8</v>
          </cell>
          <cell r="I199">
            <v>17.64</v>
          </cell>
          <cell r="J199">
            <v>33.229999999999997</v>
          </cell>
          <cell r="K199">
            <v>4.7141999999999999</v>
          </cell>
          <cell r="L199">
            <v>2.09</v>
          </cell>
          <cell r="M199">
            <v>12.15</v>
          </cell>
          <cell r="N199">
            <v>9.5031909999999993</v>
          </cell>
          <cell r="O199">
            <v>11.24638</v>
          </cell>
          <cell r="Q199">
            <v>64.671300413994501</v>
          </cell>
          <cell r="R199">
            <v>81.632991056641274</v>
          </cell>
          <cell r="S199">
            <v>107.73014043716644</v>
          </cell>
          <cell r="T199">
            <v>107.94178990993599</v>
          </cell>
          <cell r="U199">
            <v>100.2538749331908</v>
          </cell>
          <cell r="V199">
            <v>126.76541372369725</v>
          </cell>
          <cell r="W199">
            <v>106.3394683026585</v>
          </cell>
          <cell r="X199">
            <v>49.648184632704755</v>
          </cell>
          <cell r="Y199">
            <v>127.14750334800075</v>
          </cell>
          <cell r="Z199">
            <v>103.38826744274026</v>
          </cell>
          <cell r="AA199">
            <v>102.45098039215685</v>
          </cell>
          <cell r="AB199">
            <v>66.248636859323881</v>
          </cell>
          <cell r="AC199">
            <v>116.27277095213897</v>
          </cell>
          <cell r="AD199">
            <v>106.60517407213929</v>
          </cell>
          <cell r="AF199">
            <v>95.351545954350925</v>
          </cell>
          <cell r="AG199">
            <v>111.43897251213913</v>
          </cell>
        </row>
        <row r="200">
          <cell r="A200">
            <v>40376</v>
          </cell>
          <cell r="B200">
            <v>8.9395199999999999</v>
          </cell>
          <cell r="C200">
            <v>49.29</v>
          </cell>
          <cell r="D200">
            <v>56.124516</v>
          </cell>
          <cell r="E200">
            <v>29.508766000000001</v>
          </cell>
          <cell r="F200">
            <v>75.03</v>
          </cell>
          <cell r="G200">
            <v>1.3092337000000001</v>
          </cell>
          <cell r="H200">
            <v>20.8</v>
          </cell>
          <cell r="I200">
            <v>17.64</v>
          </cell>
          <cell r="J200">
            <v>33.229999999999997</v>
          </cell>
          <cell r="K200">
            <v>4.7141999999999999</v>
          </cell>
          <cell r="L200">
            <v>2.09</v>
          </cell>
          <cell r="M200">
            <v>12.15</v>
          </cell>
          <cell r="N200">
            <v>9.5031909999999993</v>
          </cell>
          <cell r="O200">
            <v>11.24638</v>
          </cell>
          <cell r="Q200">
            <v>64.671300413994501</v>
          </cell>
          <cell r="R200">
            <v>81.632991056641274</v>
          </cell>
          <cell r="S200">
            <v>107.73014043716644</v>
          </cell>
          <cell r="T200">
            <v>107.94178990993599</v>
          </cell>
          <cell r="U200">
            <v>100.2538749331908</v>
          </cell>
          <cell r="V200">
            <v>126.76541372369725</v>
          </cell>
          <cell r="W200">
            <v>106.3394683026585</v>
          </cell>
          <cell r="X200">
            <v>49.648184632704755</v>
          </cell>
          <cell r="Y200">
            <v>127.14750334800075</v>
          </cell>
          <cell r="Z200">
            <v>103.38826744274026</v>
          </cell>
          <cell r="AA200">
            <v>102.45098039215685</v>
          </cell>
          <cell r="AB200">
            <v>66.248636859323881</v>
          </cell>
          <cell r="AC200">
            <v>116.27277095213897</v>
          </cell>
          <cell r="AD200">
            <v>106.60517407213929</v>
          </cell>
          <cell r="AF200">
            <v>95.351545954350925</v>
          </cell>
          <cell r="AG200">
            <v>111.43897251213913</v>
          </cell>
        </row>
        <row r="201">
          <cell r="A201">
            <v>40377</v>
          </cell>
          <cell r="B201">
            <v>8.9395199999999999</v>
          </cell>
          <cell r="C201">
            <v>49.29</v>
          </cell>
          <cell r="D201">
            <v>56.124516</v>
          </cell>
          <cell r="E201">
            <v>29.508766000000001</v>
          </cell>
          <cell r="F201">
            <v>75.03</v>
          </cell>
          <cell r="G201">
            <v>1.3092337000000001</v>
          </cell>
          <cell r="H201">
            <v>20.8</v>
          </cell>
          <cell r="I201">
            <v>17.64</v>
          </cell>
          <cell r="J201">
            <v>33.229999999999997</v>
          </cell>
          <cell r="K201">
            <v>4.7141999999999999</v>
          </cell>
          <cell r="L201">
            <v>2.09</v>
          </cell>
          <cell r="M201">
            <v>12.15</v>
          </cell>
          <cell r="N201">
            <v>9.5031909999999993</v>
          </cell>
          <cell r="O201">
            <v>11.24638</v>
          </cell>
          <cell r="Q201">
            <v>64.671300413994501</v>
          </cell>
          <cell r="R201">
            <v>81.632991056641274</v>
          </cell>
          <cell r="S201">
            <v>107.73014043716644</v>
          </cell>
          <cell r="T201">
            <v>107.94178990993599</v>
          </cell>
          <cell r="U201">
            <v>100.2538749331908</v>
          </cell>
          <cell r="V201">
            <v>126.76541372369725</v>
          </cell>
          <cell r="W201">
            <v>106.3394683026585</v>
          </cell>
          <cell r="X201">
            <v>49.648184632704755</v>
          </cell>
          <cell r="Y201">
            <v>127.14750334800075</v>
          </cell>
          <cell r="Z201">
            <v>103.38826744274026</v>
          </cell>
          <cell r="AA201">
            <v>102.45098039215685</v>
          </cell>
          <cell r="AB201">
            <v>66.248636859323881</v>
          </cell>
          <cell r="AC201">
            <v>116.27277095213897</v>
          </cell>
          <cell r="AD201">
            <v>106.60517407213929</v>
          </cell>
          <cell r="AF201">
            <v>95.351545954350925</v>
          </cell>
          <cell r="AG201">
            <v>111.43897251213913</v>
          </cell>
        </row>
        <row r="202">
          <cell r="A202">
            <v>40378</v>
          </cell>
          <cell r="B202">
            <v>8.8709439999999997</v>
          </cell>
          <cell r="C202">
            <v>49.42</v>
          </cell>
          <cell r="D202">
            <v>55.956153999999998</v>
          </cell>
          <cell r="E202">
            <v>29.420245999999999</v>
          </cell>
          <cell r="F202">
            <v>75.27</v>
          </cell>
          <cell r="G202">
            <v>1.3060039000000001</v>
          </cell>
          <cell r="H202">
            <v>20.69</v>
          </cell>
          <cell r="I202">
            <v>16.97</v>
          </cell>
          <cell r="J202">
            <v>32.354999999999997</v>
          </cell>
          <cell r="K202">
            <v>5.1508713000000004</v>
          </cell>
          <cell r="L202">
            <v>2.04</v>
          </cell>
          <cell r="M202">
            <v>12</v>
          </cell>
          <cell r="N202">
            <v>9.4408340000000006</v>
          </cell>
          <cell r="O202">
            <v>11.211340999999999</v>
          </cell>
          <cell r="Q202">
            <v>64.175200053215619</v>
          </cell>
          <cell r="R202">
            <v>81.848294137131504</v>
          </cell>
          <cell r="S202">
            <v>107.40697218206232</v>
          </cell>
          <cell r="T202">
            <v>107.61798757801782</v>
          </cell>
          <cell r="U202">
            <v>100.57455905932655</v>
          </cell>
          <cell r="V202">
            <v>126.45269114922885</v>
          </cell>
          <cell r="W202">
            <v>105.77709611451944</v>
          </cell>
          <cell r="X202">
            <v>47.762454264002244</v>
          </cell>
          <cell r="Y202">
            <v>123.79950258274344</v>
          </cell>
          <cell r="Z202">
            <v>112.96501199090731</v>
          </cell>
          <cell r="AA202">
            <v>100</v>
          </cell>
          <cell r="AB202">
            <v>65.430752453653213</v>
          </cell>
          <cell r="AC202">
            <v>115.50982499238059</v>
          </cell>
          <cell r="AD202">
            <v>106.27303709167859</v>
          </cell>
          <cell r="AF202">
            <v>95.317543463734026</v>
          </cell>
          <cell r="AG202">
            <v>110.89143104202958</v>
          </cell>
        </row>
        <row r="203">
          <cell r="A203">
            <v>40379</v>
          </cell>
          <cell r="B203">
            <v>8.7862790000000004</v>
          </cell>
          <cell r="C203">
            <v>49.95</v>
          </cell>
          <cell r="D203">
            <v>56.940936999999998</v>
          </cell>
          <cell r="E203">
            <v>30.360838000000001</v>
          </cell>
          <cell r="F203">
            <v>76.8</v>
          </cell>
          <cell r="G203">
            <v>1.3316353999999999</v>
          </cell>
          <cell r="H203">
            <v>21.29</v>
          </cell>
          <cell r="I203">
            <v>17.5</v>
          </cell>
          <cell r="J203">
            <v>32.33</v>
          </cell>
          <cell r="K203">
            <v>5.1946792999999998</v>
          </cell>
          <cell r="L203">
            <v>2</v>
          </cell>
          <cell r="M203">
            <v>12.23</v>
          </cell>
          <cell r="N203">
            <v>9.4895840000000007</v>
          </cell>
          <cell r="O203">
            <v>11.230276999999999</v>
          </cell>
          <cell r="Q203">
            <v>63.56270680418762</v>
          </cell>
          <cell r="R203">
            <v>82.726068234514742</v>
          </cell>
          <cell r="S203">
            <v>109.2972479198546</v>
          </cell>
          <cell r="T203">
            <v>111.05863243775092</v>
          </cell>
          <cell r="U203">
            <v>102.618920363442</v>
          </cell>
          <cell r="V203">
            <v>128.93443883251788</v>
          </cell>
          <cell r="W203">
            <v>108.84458077709611</v>
          </cell>
          <cell r="X203">
            <v>49.254151421334079</v>
          </cell>
          <cell r="Y203">
            <v>123.7038454180218</v>
          </cell>
          <cell r="Z203">
            <v>113.92577589997597</v>
          </cell>
          <cell r="AA203">
            <v>98.039215686274503</v>
          </cell>
          <cell r="AB203">
            <v>66.68484187568157</v>
          </cell>
          <cell r="AC203">
            <v>116.10628754731785</v>
          </cell>
          <cell r="AD203">
            <v>106.4525326783678</v>
          </cell>
          <cell r="AF203">
            <v>96.55420213922099</v>
          </cell>
          <cell r="AG203">
            <v>111.27941011284283</v>
          </cell>
        </row>
        <row r="204">
          <cell r="A204">
            <v>40380</v>
          </cell>
          <cell r="B204">
            <v>8.9704484999999998</v>
          </cell>
          <cell r="C204">
            <v>46.7</v>
          </cell>
          <cell r="D204">
            <v>56.77908</v>
          </cell>
          <cell r="E204">
            <v>30.282174999999999</v>
          </cell>
          <cell r="F204">
            <v>75.95</v>
          </cell>
          <cell r="G204">
            <v>1.3462379</v>
          </cell>
          <cell r="H204">
            <v>20.88</v>
          </cell>
          <cell r="I204">
            <v>16.98</v>
          </cell>
          <cell r="J204">
            <v>31.594999999999999</v>
          </cell>
          <cell r="K204">
            <v>5.2305564999999996</v>
          </cell>
          <cell r="L204">
            <v>2</v>
          </cell>
          <cell r="M204">
            <v>11.96</v>
          </cell>
          <cell r="N204">
            <v>9.5495649999999994</v>
          </cell>
          <cell r="O204">
            <v>11.166512000000001</v>
          </cell>
          <cell r="Q204">
            <v>64.895046914349592</v>
          </cell>
          <cell r="R204">
            <v>77.343491222259033</v>
          </cell>
          <cell r="S204">
            <v>108.98656591164382</v>
          </cell>
          <cell r="T204">
            <v>110.77088658556293</v>
          </cell>
          <cell r="U204">
            <v>101.48316408337787</v>
          </cell>
          <cell r="V204">
            <v>130.3483131881049</v>
          </cell>
          <cell r="W204">
            <v>106.74846625766872</v>
          </cell>
          <cell r="X204">
            <v>47.790599493385869</v>
          </cell>
          <cell r="Y204">
            <v>120.89152477520567</v>
          </cell>
          <cell r="Z204">
            <v>114.71260750421352</v>
          </cell>
          <cell r="AA204">
            <v>98.039215686274503</v>
          </cell>
          <cell r="AB204">
            <v>65.212649945474382</v>
          </cell>
          <cell r="AC204">
            <v>116.84016283978329</v>
          </cell>
          <cell r="AD204">
            <v>105.84810005874179</v>
          </cell>
          <cell r="AF204">
            <v>95.601877630626745</v>
          </cell>
          <cell r="AG204">
            <v>111.34413144926253</v>
          </cell>
        </row>
        <row r="205">
          <cell r="A205">
            <v>40381</v>
          </cell>
          <cell r="B205">
            <v>8.8689640000000001</v>
          </cell>
          <cell r="C205">
            <v>44.56</v>
          </cell>
          <cell r="D205">
            <v>56.279792999999998</v>
          </cell>
          <cell r="E205">
            <v>29.610061999999999</v>
          </cell>
          <cell r="F205">
            <v>72.239999999999995</v>
          </cell>
          <cell r="G205">
            <v>1.3545004</v>
          </cell>
          <cell r="H205">
            <v>20.93</v>
          </cell>
          <cell r="I205">
            <v>17.100000000000001</v>
          </cell>
          <cell r="J205">
            <v>32.145000000000003</v>
          </cell>
          <cell r="K205">
            <v>5.3178099999999997</v>
          </cell>
          <cell r="L205">
            <v>1.96</v>
          </cell>
          <cell r="M205">
            <v>12.44</v>
          </cell>
          <cell r="N205">
            <v>9.7076360000000008</v>
          </cell>
          <cell r="O205">
            <v>11.4618225</v>
          </cell>
          <cell r="Q205">
            <v>64.160876110227662</v>
          </cell>
          <cell r="R205">
            <v>73.799271281881417</v>
          </cell>
          <cell r="S205">
            <v>108.02819223714386</v>
          </cell>
          <cell r="T205">
            <v>108.31232629735106</v>
          </cell>
          <cell r="U205">
            <v>96.525921966862626</v>
          </cell>
          <cell r="V205">
            <v>131.14832256068064</v>
          </cell>
          <cell r="W205">
            <v>107.00408997955012</v>
          </cell>
          <cell r="X205">
            <v>48.128342245989309</v>
          </cell>
          <cell r="Y205">
            <v>122.9959823990817</v>
          </cell>
          <cell r="Z205">
            <v>116.62618524663327</v>
          </cell>
          <cell r="AA205">
            <v>96.078431372549005</v>
          </cell>
          <cell r="AB205">
            <v>67.829880043620491</v>
          </cell>
          <cell r="AC205">
            <v>118.77418196842922</v>
          </cell>
          <cell r="AD205">
            <v>108.64736766821528</v>
          </cell>
          <cell r="AF205">
            <v>95.053151811797591</v>
          </cell>
          <cell r="AG205">
            <v>113.71077481832225</v>
          </cell>
        </row>
        <row r="206">
          <cell r="A206">
            <v>40382</v>
          </cell>
          <cell r="B206">
            <v>9.0030819999999991</v>
          </cell>
          <cell r="C206">
            <v>44.71</v>
          </cell>
          <cell r="D206">
            <v>57.509450000000001</v>
          </cell>
          <cell r="E206">
            <v>29.76286</v>
          </cell>
          <cell r="F206">
            <v>72.959999999999994</v>
          </cell>
          <cell r="G206">
            <v>1.3332362</v>
          </cell>
          <cell r="H206">
            <v>21.03</v>
          </cell>
          <cell r="I206">
            <v>17.52</v>
          </cell>
          <cell r="J206">
            <v>32.840000000000003</v>
          </cell>
          <cell r="K206">
            <v>5.355359</v>
          </cell>
          <cell r="L206">
            <v>1.99</v>
          </cell>
          <cell r="M206">
            <v>13.16</v>
          </cell>
          <cell r="N206">
            <v>9.6208430000000007</v>
          </cell>
          <cell r="O206">
            <v>11.363379</v>
          </cell>
          <cell r="Q206">
            <v>65.13112792116651</v>
          </cell>
          <cell r="R206">
            <v>74.047697913216297</v>
          </cell>
          <cell r="S206">
            <v>110.38849983070148</v>
          </cell>
          <cell r="T206">
            <v>108.87125477354212</v>
          </cell>
          <cell r="U206">
            <v>97.487974345269905</v>
          </cell>
          <cell r="V206">
            <v>129.08943489952173</v>
          </cell>
          <cell r="W206">
            <v>107.5153374233129</v>
          </cell>
          <cell r="X206">
            <v>49.310441880101322</v>
          </cell>
          <cell r="Y206">
            <v>125.65525157834323</v>
          </cell>
          <cell r="Z206">
            <v>117.44968150351831</v>
          </cell>
          <cell r="AA206">
            <v>97.549019607843135</v>
          </cell>
          <cell r="AB206">
            <v>71.755725190839698</v>
          </cell>
          <cell r="AC206">
            <v>117.71225838831292</v>
          </cell>
          <cell r="AD206">
            <v>107.71421527128659</v>
          </cell>
          <cell r="AF206">
            <v>96.187620572281375</v>
          </cell>
          <cell r="AG206">
            <v>112.71323682979975</v>
          </cell>
        </row>
        <row r="207">
          <cell r="A207">
            <v>40383</v>
          </cell>
          <cell r="B207">
            <v>9.0030819999999991</v>
          </cell>
          <cell r="C207">
            <v>44.71</v>
          </cell>
          <cell r="D207">
            <v>57.509450000000001</v>
          </cell>
          <cell r="E207">
            <v>29.76286</v>
          </cell>
          <cell r="F207">
            <v>72.959999999999994</v>
          </cell>
          <cell r="G207">
            <v>1.3332362</v>
          </cell>
          <cell r="H207">
            <v>21.03</v>
          </cell>
          <cell r="I207">
            <v>17.52</v>
          </cell>
          <cell r="J207">
            <v>32.840000000000003</v>
          </cell>
          <cell r="K207">
            <v>5.355359</v>
          </cell>
          <cell r="L207">
            <v>1.99</v>
          </cell>
          <cell r="M207">
            <v>13.16</v>
          </cell>
          <cell r="N207">
            <v>9.6208430000000007</v>
          </cell>
          <cell r="O207">
            <v>11.363379</v>
          </cell>
          <cell r="Q207">
            <v>65.13112792116651</v>
          </cell>
          <cell r="R207">
            <v>74.047697913216297</v>
          </cell>
          <cell r="S207">
            <v>110.38849983070148</v>
          </cell>
          <cell r="T207">
            <v>108.87125477354212</v>
          </cell>
          <cell r="U207">
            <v>97.487974345269905</v>
          </cell>
          <cell r="V207">
            <v>129.08943489952173</v>
          </cell>
          <cell r="W207">
            <v>107.5153374233129</v>
          </cell>
          <cell r="X207">
            <v>49.310441880101322</v>
          </cell>
          <cell r="Y207">
            <v>125.65525157834323</v>
          </cell>
          <cell r="Z207">
            <v>117.44968150351831</v>
          </cell>
          <cell r="AA207">
            <v>97.549019607843135</v>
          </cell>
          <cell r="AB207">
            <v>71.755725190839698</v>
          </cell>
          <cell r="AC207">
            <v>117.71225838831292</v>
          </cell>
          <cell r="AD207">
            <v>107.71421527128659</v>
          </cell>
          <cell r="AF207">
            <v>96.187620572281375</v>
          </cell>
          <cell r="AG207">
            <v>112.71323682979975</v>
          </cell>
        </row>
        <row r="208">
          <cell r="A208">
            <v>40384</v>
          </cell>
          <cell r="B208">
            <v>9.0030819999999991</v>
          </cell>
          <cell r="C208">
            <v>44.71</v>
          </cell>
          <cell r="D208">
            <v>57.509450000000001</v>
          </cell>
          <cell r="E208">
            <v>29.76286</v>
          </cell>
          <cell r="F208">
            <v>72.959999999999994</v>
          </cell>
          <cell r="G208">
            <v>1.3332362</v>
          </cell>
          <cell r="H208">
            <v>21.03</v>
          </cell>
          <cell r="I208">
            <v>17.52</v>
          </cell>
          <cell r="J208">
            <v>32.840000000000003</v>
          </cell>
          <cell r="K208">
            <v>5.355359</v>
          </cell>
          <cell r="L208">
            <v>1.99</v>
          </cell>
          <cell r="M208">
            <v>13.16</v>
          </cell>
          <cell r="N208">
            <v>9.6208430000000007</v>
          </cell>
          <cell r="O208">
            <v>11.363379</v>
          </cell>
          <cell r="Q208">
            <v>65.13112792116651</v>
          </cell>
          <cell r="R208">
            <v>74.047697913216297</v>
          </cell>
          <cell r="S208">
            <v>110.38849983070148</v>
          </cell>
          <cell r="T208">
            <v>108.87125477354212</v>
          </cell>
          <cell r="U208">
            <v>97.487974345269905</v>
          </cell>
          <cell r="V208">
            <v>129.08943489952173</v>
          </cell>
          <cell r="W208">
            <v>107.5153374233129</v>
          </cell>
          <cell r="X208">
            <v>49.310441880101322</v>
          </cell>
          <cell r="Y208">
            <v>125.65525157834323</v>
          </cell>
          <cell r="Z208">
            <v>117.44968150351831</v>
          </cell>
          <cell r="AA208">
            <v>97.549019607843135</v>
          </cell>
          <cell r="AB208">
            <v>71.755725190839698</v>
          </cell>
          <cell r="AC208">
            <v>117.71225838831292</v>
          </cell>
          <cell r="AD208">
            <v>107.71421527128659</v>
          </cell>
          <cell r="AF208">
            <v>96.187620572281375</v>
          </cell>
          <cell r="AG208">
            <v>112.71323682979975</v>
          </cell>
        </row>
        <row r="209">
          <cell r="A209">
            <v>40385</v>
          </cell>
          <cell r="B209">
            <v>9.1762379999999997</v>
          </cell>
          <cell r="C209">
            <v>45.65</v>
          </cell>
          <cell r="D209">
            <v>57.657035999999998</v>
          </cell>
          <cell r="E209">
            <v>29.734065999999999</v>
          </cell>
          <cell r="F209">
            <v>74.400000000000006</v>
          </cell>
          <cell r="G209">
            <v>1.3711686999999999</v>
          </cell>
          <cell r="H209">
            <v>21.59</v>
          </cell>
          <cell r="I209">
            <v>17.899999999999999</v>
          </cell>
          <cell r="J209">
            <v>32.344999999999999</v>
          </cell>
          <cell r="K209">
            <v>5.3745250000000002</v>
          </cell>
          <cell r="L209">
            <v>2.08</v>
          </cell>
          <cell r="M209">
            <v>14.57</v>
          </cell>
          <cell r="N209">
            <v>9.4557979999999997</v>
          </cell>
          <cell r="O209">
            <v>11.31873</v>
          </cell>
          <cell r="Q209">
            <v>66.383792907036636</v>
          </cell>
          <cell r="R209">
            <v>75.60450480291486</v>
          </cell>
          <cell r="S209">
            <v>110.6717888751283</v>
          </cell>
          <cell r="T209">
            <v>108.76592756674985</v>
          </cell>
          <cell r="U209">
            <v>99.412079102084448</v>
          </cell>
          <cell r="V209">
            <v>132.7622162036343</v>
          </cell>
          <cell r="W209">
            <v>110.37832310838446</v>
          </cell>
          <cell r="X209">
            <v>50.379960596678849</v>
          </cell>
          <cell r="Y209">
            <v>123.76123971685477</v>
          </cell>
          <cell r="Z209">
            <v>117.87001571373588</v>
          </cell>
          <cell r="AA209">
            <v>101.96078431372548</v>
          </cell>
          <cell r="AB209">
            <v>79.443838604143949</v>
          </cell>
          <cell r="AC209">
            <v>115.6929114677053</v>
          </cell>
          <cell r="AD209">
            <v>107.29098447016243</v>
          </cell>
          <cell r="AF209">
            <v>98.116205959255993</v>
          </cell>
          <cell r="AG209">
            <v>111.49194796893386</v>
          </cell>
        </row>
        <row r="210">
          <cell r="A210">
            <v>40386</v>
          </cell>
          <cell r="B210">
            <v>9.2942049999999998</v>
          </cell>
          <cell r="C210">
            <v>46.17</v>
          </cell>
          <cell r="D210">
            <v>56.055087999999998</v>
          </cell>
          <cell r="E210">
            <v>29.729115</v>
          </cell>
          <cell r="F210">
            <v>74.510000000000005</v>
          </cell>
          <cell r="G210">
            <v>1.4391659999999999</v>
          </cell>
          <cell r="H210">
            <v>21.55</v>
          </cell>
          <cell r="I210">
            <v>17.86</v>
          </cell>
          <cell r="J210">
            <v>31.995000000000001</v>
          </cell>
          <cell r="K210">
            <v>5.4050760000000002</v>
          </cell>
          <cell r="L210">
            <v>2.08</v>
          </cell>
          <cell r="M210">
            <v>14.43</v>
          </cell>
          <cell r="N210">
            <v>9.5089854999999996</v>
          </cell>
          <cell r="O210">
            <v>11.399463000000001</v>
          </cell>
          <cell r="Q210">
            <v>67.237203302218674</v>
          </cell>
          <cell r="R210">
            <v>76.465717124875781</v>
          </cell>
          <cell r="S210">
            <v>107.59687446494368</v>
          </cell>
          <cell r="T210">
            <v>108.74781702285776</v>
          </cell>
          <cell r="U210">
            <v>99.559059326563343</v>
          </cell>
          <cell r="V210">
            <v>139.34599560573369</v>
          </cell>
          <cell r="W210">
            <v>110.17382413087935</v>
          </cell>
          <cell r="X210">
            <v>50.267379679144383</v>
          </cell>
          <cell r="Y210">
            <v>122.42203941075186</v>
          </cell>
          <cell r="Z210">
            <v>118.54003712959499</v>
          </cell>
          <cell r="AA210">
            <v>101.96078431372548</v>
          </cell>
          <cell r="AB210">
            <v>78.680479825517992</v>
          </cell>
          <cell r="AC210">
            <v>116.34366740905352</v>
          </cell>
          <cell r="AD210">
            <v>108.05625787532622</v>
          </cell>
          <cell r="AF210">
            <v>98.416434278067243</v>
          </cell>
          <cell r="AG210">
            <v>112.19996264218987</v>
          </cell>
        </row>
        <row r="211">
          <cell r="A211">
            <v>40387</v>
          </cell>
          <cell r="B211">
            <v>9.2877200000000002</v>
          </cell>
          <cell r="C211">
            <v>46.44</v>
          </cell>
          <cell r="D211">
            <v>57.110219999999998</v>
          </cell>
          <cell r="E211">
            <v>30.142776000000001</v>
          </cell>
          <cell r="F211">
            <v>73.63</v>
          </cell>
          <cell r="G211">
            <v>1.4276823999999999</v>
          </cell>
          <cell r="H211">
            <v>21.18</v>
          </cell>
          <cell r="I211">
            <v>17.399999999999999</v>
          </cell>
          <cell r="J211">
            <v>31.895</v>
          </cell>
          <cell r="K211">
            <v>5.3582999999999998</v>
          </cell>
          <cell r="L211">
            <v>2.04</v>
          </cell>
          <cell r="M211">
            <v>14.11</v>
          </cell>
          <cell r="N211">
            <v>9.3259249999999998</v>
          </cell>
          <cell r="O211">
            <v>11.253472</v>
          </cell>
          <cell r="Q211">
            <v>67.190288771775784</v>
          </cell>
          <cell r="R211">
            <v>76.912885061278558</v>
          </cell>
          <cell r="S211">
            <v>109.62218402021446</v>
          </cell>
          <cell r="T211">
            <v>110.26097107192692</v>
          </cell>
          <cell r="U211">
            <v>98.38321753073221</v>
          </cell>
          <cell r="V211">
            <v>138.2341060286189</v>
          </cell>
          <cell r="W211">
            <v>108.28220858895705</v>
          </cell>
          <cell r="X211">
            <v>48.972699127497883</v>
          </cell>
          <cell r="Y211">
            <v>122.0394107518653</v>
          </cell>
          <cell r="Z211">
            <v>117.51418129023696</v>
          </cell>
          <cell r="AA211">
            <v>100</v>
          </cell>
          <cell r="AB211">
            <v>76.935659760087233</v>
          </cell>
          <cell r="AC211">
            <v>114.10389851596446</v>
          </cell>
          <cell r="AD211">
            <v>106.67239960555715</v>
          </cell>
          <cell r="AF211">
            <v>97.862317666932597</v>
          </cell>
          <cell r="AG211">
            <v>110.38814906076081</v>
          </cell>
        </row>
        <row r="212">
          <cell r="A212">
            <v>40388</v>
          </cell>
          <cell r="B212">
            <v>9.3898200000000003</v>
          </cell>
          <cell r="C212">
            <v>46.31</v>
          </cell>
          <cell r="D212">
            <v>57.398690000000002</v>
          </cell>
          <cell r="E212">
            <v>29.962116000000002</v>
          </cell>
          <cell r="F212">
            <v>73.239999999999995</v>
          </cell>
          <cell r="G212">
            <v>1.4313503999999999</v>
          </cell>
          <cell r="H212">
            <v>21.04</v>
          </cell>
          <cell r="I212">
            <v>17.72</v>
          </cell>
          <cell r="J212">
            <v>32</v>
          </cell>
          <cell r="K212">
            <v>5.43004</v>
          </cell>
          <cell r="L212">
            <v>2.0299999999999998</v>
          </cell>
          <cell r="M212">
            <v>14.46</v>
          </cell>
          <cell r="N212">
            <v>9.3267190000000006</v>
          </cell>
          <cell r="O212">
            <v>11.362156000000001</v>
          </cell>
          <cell r="Q212">
            <v>67.928912296558877</v>
          </cell>
          <cell r="R212">
            <v>76.697581980788343</v>
          </cell>
          <cell r="S212">
            <v>110.17589772372168</v>
          </cell>
          <cell r="T212">
            <v>109.60012460463891</v>
          </cell>
          <cell r="U212">
            <v>97.862105825761617</v>
          </cell>
          <cell r="V212">
            <v>138.58925693677114</v>
          </cell>
          <cell r="W212">
            <v>107.56646216768917</v>
          </cell>
          <cell r="X212">
            <v>49.873346467773708</v>
          </cell>
          <cell r="Y212">
            <v>122.44117084369618</v>
          </cell>
          <cell r="Z212">
            <v>119.08752868880772</v>
          </cell>
          <cell r="AA212">
            <v>99.509803921568619</v>
          </cell>
          <cell r="AB212">
            <v>78.84405670665214</v>
          </cell>
          <cell r="AC212">
            <v>114.1136132086541</v>
          </cell>
          <cell r="AD212">
            <v>107.7026223740263</v>
          </cell>
          <cell r="AF212">
            <v>98.181354013702332</v>
          </cell>
          <cell r="AG212">
            <v>110.9081177913402</v>
          </cell>
        </row>
        <row r="213">
          <cell r="A213">
            <v>40389</v>
          </cell>
          <cell r="B213">
            <v>9.3240759999999998</v>
          </cell>
          <cell r="C213">
            <v>46.99</v>
          </cell>
          <cell r="D213">
            <v>57.350563000000001</v>
          </cell>
          <cell r="E213">
            <v>29.679205</v>
          </cell>
          <cell r="F213">
            <v>72.98</v>
          </cell>
          <cell r="G213">
            <v>1.4416534999999999</v>
          </cell>
          <cell r="H213">
            <v>20.97</v>
          </cell>
          <cell r="I213">
            <v>17.28</v>
          </cell>
          <cell r="J213">
            <v>32.844999999999999</v>
          </cell>
          <cell r="K213">
            <v>5.4314999999999998</v>
          </cell>
          <cell r="L213">
            <v>2.0499999999999998</v>
          </cell>
          <cell r="M213">
            <v>14.24</v>
          </cell>
          <cell r="N213">
            <v>9.61205</v>
          </cell>
          <cell r="O213">
            <v>11.59585</v>
          </cell>
          <cell r="Q213">
            <v>67.453299514841532</v>
          </cell>
          <cell r="R213">
            <v>77.82378270950646</v>
          </cell>
          <cell r="S213">
            <v>110.08351869155648</v>
          </cell>
          <cell r="T213">
            <v>108.56524840123514</v>
          </cell>
          <cell r="U213">
            <v>97.514698022447888</v>
          </cell>
          <cell r="V213">
            <v>139.58684562864227</v>
          </cell>
          <cell r="W213">
            <v>107.20858895705521</v>
          </cell>
          <cell r="X213">
            <v>48.634956374894458</v>
          </cell>
          <cell r="Y213">
            <v>125.67438301128753</v>
          </cell>
          <cell r="Z213">
            <v>119.11954830411177</v>
          </cell>
          <cell r="AA213">
            <v>100.49019607843137</v>
          </cell>
          <cell r="AB213">
            <v>77.644492911668479</v>
          </cell>
          <cell r="AC213">
            <v>117.60467489609621</v>
          </cell>
          <cell r="AD213">
            <v>109.91782313637069</v>
          </cell>
          <cell r="AF213">
            <v>98.316629883806556</v>
          </cell>
          <cell r="AG213">
            <v>113.76124901623345</v>
          </cell>
        </row>
        <row r="214">
          <cell r="A214">
            <v>40390</v>
          </cell>
          <cell r="B214">
            <v>9.3240759999999998</v>
          </cell>
          <cell r="C214">
            <v>46.99</v>
          </cell>
          <cell r="D214">
            <v>57.350563000000001</v>
          </cell>
          <cell r="E214">
            <v>29.679205</v>
          </cell>
          <cell r="F214">
            <v>72.98</v>
          </cell>
          <cell r="G214">
            <v>1.4416534999999999</v>
          </cell>
          <cell r="H214">
            <v>20.97</v>
          </cell>
          <cell r="I214">
            <v>17.28</v>
          </cell>
          <cell r="J214">
            <v>32.844999999999999</v>
          </cell>
          <cell r="K214">
            <v>5.4314999999999998</v>
          </cell>
          <cell r="L214">
            <v>2.0499999999999998</v>
          </cell>
          <cell r="M214">
            <v>14.24</v>
          </cell>
          <cell r="N214">
            <v>9.61205</v>
          </cell>
          <cell r="O214">
            <v>11.59585</v>
          </cell>
          <cell r="Q214">
            <v>67.453299514841532</v>
          </cell>
          <cell r="R214">
            <v>77.82378270950646</v>
          </cell>
          <cell r="S214">
            <v>110.08351869155648</v>
          </cell>
          <cell r="T214">
            <v>108.56524840123514</v>
          </cell>
          <cell r="U214">
            <v>97.514698022447888</v>
          </cell>
          <cell r="V214">
            <v>139.58684562864227</v>
          </cell>
          <cell r="W214">
            <v>107.20858895705521</v>
          </cell>
          <cell r="X214">
            <v>48.634956374894458</v>
          </cell>
          <cell r="Y214">
            <v>125.67438301128753</v>
          </cell>
          <cell r="Z214">
            <v>119.11954830411177</v>
          </cell>
          <cell r="AA214">
            <v>100.49019607843137</v>
          </cell>
          <cell r="AB214">
            <v>77.644492911668479</v>
          </cell>
          <cell r="AC214">
            <v>117.60467489609621</v>
          </cell>
          <cell r="AD214">
            <v>109.91782313637069</v>
          </cell>
          <cell r="AF214">
            <v>98.316629883806556</v>
          </cell>
          <cell r="AG214">
            <v>113.76124901623345</v>
          </cell>
        </row>
        <row r="215">
          <cell r="A215">
            <v>40391</v>
          </cell>
          <cell r="B215">
            <v>9.3240759999999998</v>
          </cell>
          <cell r="C215">
            <v>46.99</v>
          </cell>
          <cell r="D215">
            <v>57.350563000000001</v>
          </cell>
          <cell r="E215">
            <v>29.679205</v>
          </cell>
          <cell r="F215">
            <v>72.98</v>
          </cell>
          <cell r="G215">
            <v>1.4416534999999999</v>
          </cell>
          <cell r="H215">
            <v>20.97</v>
          </cell>
          <cell r="I215">
            <v>17.28</v>
          </cell>
          <cell r="J215">
            <v>32.844999999999999</v>
          </cell>
          <cell r="K215">
            <v>5.4314999999999998</v>
          </cell>
          <cell r="L215">
            <v>2.0499999999999998</v>
          </cell>
          <cell r="M215">
            <v>14.24</v>
          </cell>
          <cell r="N215">
            <v>9.61205</v>
          </cell>
          <cell r="O215">
            <v>11.59585</v>
          </cell>
          <cell r="Q215">
            <v>67.453299514841532</v>
          </cell>
          <cell r="R215">
            <v>77.82378270950646</v>
          </cell>
          <cell r="S215">
            <v>110.08351869155648</v>
          </cell>
          <cell r="T215">
            <v>108.56524840123514</v>
          </cell>
          <cell r="U215">
            <v>97.514698022447888</v>
          </cell>
          <cell r="V215">
            <v>139.58684562864227</v>
          </cell>
          <cell r="W215">
            <v>107.20858895705521</v>
          </cell>
          <cell r="X215">
            <v>48.634956374894458</v>
          </cell>
          <cell r="Y215">
            <v>125.67438301128753</v>
          </cell>
          <cell r="Z215">
            <v>119.11954830411177</v>
          </cell>
          <cell r="AA215">
            <v>100.49019607843137</v>
          </cell>
          <cell r="AB215">
            <v>77.644492911668479</v>
          </cell>
          <cell r="AC215">
            <v>117.60467489609621</v>
          </cell>
          <cell r="AD215">
            <v>109.91782313637069</v>
          </cell>
          <cell r="AF215">
            <v>98.316629883806556</v>
          </cell>
          <cell r="AG215">
            <v>113.76124901623345</v>
          </cell>
        </row>
        <row r="216">
          <cell r="A216">
            <v>40392</v>
          </cell>
          <cell r="B216">
            <v>9.6175750000000004</v>
          </cell>
          <cell r="C216">
            <v>48.12</v>
          </cell>
          <cell r="D216">
            <v>57.483226999999999</v>
          </cell>
          <cell r="E216">
            <v>29.747859999999999</v>
          </cell>
          <cell r="F216">
            <v>74.87</v>
          </cell>
          <cell r="G216">
            <v>1.480111</v>
          </cell>
          <cell r="H216">
            <v>20.94</v>
          </cell>
          <cell r="I216">
            <v>18.13</v>
          </cell>
          <cell r="J216">
            <v>33.47</v>
          </cell>
          <cell r="K216">
            <v>5.4892335000000001</v>
          </cell>
          <cell r="L216">
            <v>2.08</v>
          </cell>
          <cell r="M216">
            <v>14.75</v>
          </cell>
          <cell r="N216">
            <v>9.7012370000000008</v>
          </cell>
          <cell r="O216">
            <v>11.532738</v>
          </cell>
          <cell r="Q216">
            <v>69.576563627479246</v>
          </cell>
          <cell r="R216">
            <v>79.695263332229203</v>
          </cell>
          <cell r="S216">
            <v>110.3381651877678</v>
          </cell>
          <cell r="T216">
            <v>108.81638542222296</v>
          </cell>
          <cell r="U216">
            <v>100.04008551576698</v>
          </cell>
          <cell r="V216">
            <v>143.31045960090643</v>
          </cell>
          <cell r="W216">
            <v>107.05521472392638</v>
          </cell>
          <cell r="X216">
            <v>51.027300872502103</v>
          </cell>
          <cell r="Y216">
            <v>128.06581212932849</v>
          </cell>
          <cell r="Z216">
            <v>120.38571574257546</v>
          </cell>
          <cell r="AA216">
            <v>101.96078431372548</v>
          </cell>
          <cell r="AB216">
            <v>80.425299890948736</v>
          </cell>
          <cell r="AC216">
            <v>118.69588937583345</v>
          </cell>
          <cell r="AD216">
            <v>109.31958034659826</v>
          </cell>
          <cell r="AF216">
            <v>100.05808752994828</v>
          </cell>
          <cell r="AG216">
            <v>114.00773486121585</v>
          </cell>
        </row>
        <row r="217">
          <cell r="A217">
            <v>40393</v>
          </cell>
          <cell r="B217">
            <v>9.4709210000000006</v>
          </cell>
          <cell r="C217">
            <v>47.47</v>
          </cell>
          <cell r="D217">
            <v>59.070255000000003</v>
          </cell>
          <cell r="E217">
            <v>30.222532000000001</v>
          </cell>
          <cell r="F217">
            <v>75.040000000000006</v>
          </cell>
          <cell r="G217">
            <v>1.4661778999999999</v>
          </cell>
          <cell r="H217">
            <v>21.32</v>
          </cell>
          <cell r="I217">
            <v>17.97</v>
          </cell>
          <cell r="J217">
            <v>33.695</v>
          </cell>
          <cell r="K217">
            <v>5.4889330000000003</v>
          </cell>
          <cell r="L217">
            <v>2.0499999999999998</v>
          </cell>
          <cell r="M217">
            <v>14.55</v>
          </cell>
          <cell r="N217">
            <v>9.5373260000000002</v>
          </cell>
          <cell r="O217">
            <v>11.467499999999999</v>
          </cell>
          <cell r="Q217">
            <v>68.515622448208561</v>
          </cell>
          <cell r="R217">
            <v>78.618747929778067</v>
          </cell>
          <cell r="S217">
            <v>113.38444088870598</v>
          </cell>
          <cell r="T217">
            <v>110.55271507084767</v>
          </cell>
          <cell r="U217">
            <v>100.26723677177981</v>
          </cell>
          <cell r="V217">
            <v>141.9613993178159</v>
          </cell>
          <cell r="W217">
            <v>108.99795501022496</v>
          </cell>
          <cell r="X217">
            <v>50.576977202364191</v>
          </cell>
          <cell r="Y217">
            <v>128.92672661182323</v>
          </cell>
          <cell r="Z217">
            <v>120.37912540394609</v>
          </cell>
          <cell r="AA217">
            <v>100.49019607843137</v>
          </cell>
          <cell r="AB217">
            <v>79.334787350054526</v>
          </cell>
          <cell r="AC217">
            <v>116.69041709188839</v>
          </cell>
          <cell r="AD217">
            <v>108.70118506330546</v>
          </cell>
          <cell r="AF217">
            <v>100.16716084033169</v>
          </cell>
          <cell r="AG217">
            <v>112.69580107759693</v>
          </cell>
        </row>
        <row r="218">
          <cell r="A218">
            <v>40394</v>
          </cell>
          <cell r="B218">
            <v>9.6587040000000002</v>
          </cell>
          <cell r="C218">
            <v>48.28</v>
          </cell>
          <cell r="D218">
            <v>63.727477999999998</v>
          </cell>
          <cell r="E218">
            <v>29.685417000000001</v>
          </cell>
          <cell r="F218">
            <v>75.650000000000006</v>
          </cell>
          <cell r="G218">
            <v>1.4708055</v>
          </cell>
          <cell r="H218">
            <v>21.63</v>
          </cell>
          <cell r="I218">
            <v>18.05</v>
          </cell>
          <cell r="J218">
            <v>33.844999999999999</v>
          </cell>
          <cell r="K218">
            <v>5.4970464999999997</v>
          </cell>
          <cell r="L218">
            <v>2.09</v>
          </cell>
          <cell r="M218">
            <v>14.86</v>
          </cell>
          <cell r="N218">
            <v>9.7086830000000006</v>
          </cell>
          <cell r="O218">
            <v>11.311638</v>
          </cell>
          <cell r="Q218">
            <v>69.874103754323542</v>
          </cell>
          <cell r="R218">
            <v>79.960251738986415</v>
          </cell>
          <cell r="S218">
            <v>122.32390840834037</v>
          </cell>
          <cell r="T218">
            <v>108.58797162859479</v>
          </cell>
          <cell r="U218">
            <v>101.08230892570818</v>
          </cell>
          <cell r="V218">
            <v>142.40946266093624</v>
          </cell>
          <cell r="W218">
            <v>110.58282208588956</v>
          </cell>
          <cell r="X218">
            <v>50.802139037433157</v>
          </cell>
          <cell r="Y218">
            <v>129.50066960015303</v>
          </cell>
          <cell r="Z218">
            <v>120.55706454693889</v>
          </cell>
          <cell r="AA218">
            <v>102.45098039215685</v>
          </cell>
          <cell r="AB218">
            <v>81.025081788440573</v>
          </cell>
          <cell r="AC218">
            <v>118.78699214883986</v>
          </cell>
          <cell r="AD218">
            <v>107.22375893674459</v>
          </cell>
          <cell r="AF218">
            <v>101.59639704732513</v>
          </cell>
          <cell r="AG218">
            <v>113.00537554279222</v>
          </cell>
        </row>
        <row r="219">
          <cell r="A219">
            <v>40395</v>
          </cell>
          <cell r="B219">
            <v>9.7771760000000008</v>
          </cell>
          <cell r="C219">
            <v>48.2</v>
          </cell>
          <cell r="D219">
            <v>64.384674000000004</v>
          </cell>
          <cell r="E219">
            <v>30.201419999999999</v>
          </cell>
          <cell r="F219">
            <v>75.739999999999995</v>
          </cell>
          <cell r="G219">
            <v>1.470045</v>
          </cell>
          <cell r="H219">
            <v>21.65</v>
          </cell>
          <cell r="I219">
            <v>17.850000000000001</v>
          </cell>
          <cell r="J219">
            <v>34.015000000000001</v>
          </cell>
          <cell r="K219">
            <v>5.4814210000000001</v>
          </cell>
          <cell r="L219">
            <v>2.12</v>
          </cell>
          <cell r="M219">
            <v>14.67</v>
          </cell>
          <cell r="N219">
            <v>9.6506959999999999</v>
          </cell>
          <cell r="O219">
            <v>11.5295925</v>
          </cell>
          <cell r="Q219">
            <v>70.731167478398987</v>
          </cell>
          <cell r="R219">
            <v>79.82775753560783</v>
          </cell>
          <cell r="S219">
            <v>123.5853859661111</v>
          </cell>
          <cell r="T219">
            <v>110.47548828784433</v>
          </cell>
          <cell r="U219">
            <v>101.20256547300907</v>
          </cell>
          <cell r="V219">
            <v>142.33582791021385</v>
          </cell>
          <cell r="W219">
            <v>110.68507157464214</v>
          </cell>
          <cell r="X219">
            <v>50.239234449760772</v>
          </cell>
          <cell r="Y219">
            <v>130.15113832026017</v>
          </cell>
          <cell r="Z219">
            <v>120.21437790383369</v>
          </cell>
          <cell r="AA219">
            <v>103.92156862745099</v>
          </cell>
          <cell r="AB219">
            <v>79.989094874591061</v>
          </cell>
          <cell r="AC219">
            <v>118.07751370426247</v>
          </cell>
          <cell r="AD219">
            <v>109.28976394567245</v>
          </cell>
          <cell r="AF219">
            <v>101.94655653347701</v>
          </cell>
          <cell r="AG219">
            <v>113.68363882496746</v>
          </cell>
        </row>
        <row r="220">
          <cell r="A220">
            <v>40396</v>
          </cell>
          <cell r="B220">
            <v>9.8400130000000008</v>
          </cell>
          <cell r="C220">
            <v>48.11</v>
          </cell>
          <cell r="D220">
            <v>67.316730000000007</v>
          </cell>
          <cell r="E220">
            <v>30.509868999999998</v>
          </cell>
          <cell r="F220">
            <v>75.5</v>
          </cell>
          <cell r="G220">
            <v>1.4840648000000001</v>
          </cell>
          <cell r="H220">
            <v>21.33</v>
          </cell>
          <cell r="I220">
            <v>17.91</v>
          </cell>
          <cell r="J220">
            <v>32.49</v>
          </cell>
          <cell r="K220">
            <v>5.4921002000000003</v>
          </cell>
          <cell r="L220">
            <v>2.15</v>
          </cell>
          <cell r="M220">
            <v>14.49</v>
          </cell>
          <cell r="N220">
            <v>9.5408679999999997</v>
          </cell>
          <cell r="O220">
            <v>11.383084</v>
          </cell>
          <cell r="Q220">
            <v>71.185750107456712</v>
          </cell>
          <cell r="R220">
            <v>79.678701556806885</v>
          </cell>
          <cell r="S220">
            <v>129.21342211077268</v>
          </cell>
          <cell r="T220">
            <v>111.60378139084735</v>
          </cell>
          <cell r="U220">
            <v>100.88188134687333</v>
          </cell>
          <cell r="V220">
            <v>143.69328284535911</v>
          </cell>
          <cell r="W220">
            <v>109.04907975460122</v>
          </cell>
          <cell r="X220">
            <v>50.408105826062474</v>
          </cell>
          <cell r="Y220">
            <v>124.31605127224029</v>
          </cell>
          <cell r="Z220">
            <v>120.44858603791255</v>
          </cell>
          <cell r="AA220">
            <v>105.3921568627451</v>
          </cell>
          <cell r="AB220">
            <v>79.007633587786259</v>
          </cell>
          <cell r="AC220">
            <v>116.73375391998249</v>
          </cell>
          <cell r="AD220">
            <v>107.90100025944203</v>
          </cell>
          <cell r="AF220">
            <v>102.07320272495535</v>
          </cell>
          <cell r="AG220">
            <v>112.31737708971227</v>
          </cell>
        </row>
        <row r="221">
          <cell r="A221">
            <v>40397</v>
          </cell>
          <cell r="B221">
            <v>9.8400130000000008</v>
          </cell>
          <cell r="C221">
            <v>48.11</v>
          </cell>
          <cell r="D221">
            <v>67.316730000000007</v>
          </cell>
          <cell r="E221">
            <v>30.509868999999998</v>
          </cell>
          <cell r="F221">
            <v>75.5</v>
          </cell>
          <cell r="G221">
            <v>1.4840648000000001</v>
          </cell>
          <cell r="H221">
            <v>21.33</v>
          </cell>
          <cell r="I221">
            <v>17.91</v>
          </cell>
          <cell r="J221">
            <v>32.49</v>
          </cell>
          <cell r="K221">
            <v>5.4921002000000003</v>
          </cell>
          <cell r="L221">
            <v>2.15</v>
          </cell>
          <cell r="M221">
            <v>14.49</v>
          </cell>
          <cell r="N221">
            <v>9.5408679999999997</v>
          </cell>
          <cell r="O221">
            <v>11.383084</v>
          </cell>
          <cell r="Q221">
            <v>71.185750107456712</v>
          </cell>
          <cell r="R221">
            <v>79.678701556806885</v>
          </cell>
          <cell r="S221">
            <v>129.21342211077268</v>
          </cell>
          <cell r="T221">
            <v>111.60378139084735</v>
          </cell>
          <cell r="U221">
            <v>100.88188134687333</v>
          </cell>
          <cell r="V221">
            <v>143.69328284535911</v>
          </cell>
          <cell r="W221">
            <v>109.04907975460122</v>
          </cell>
          <cell r="X221">
            <v>50.408105826062474</v>
          </cell>
          <cell r="Y221">
            <v>124.31605127224029</v>
          </cell>
          <cell r="Z221">
            <v>120.44858603791255</v>
          </cell>
          <cell r="AA221">
            <v>105.3921568627451</v>
          </cell>
          <cell r="AB221">
            <v>79.007633587786259</v>
          </cell>
          <cell r="AC221">
            <v>116.73375391998249</v>
          </cell>
          <cell r="AD221">
            <v>107.90100025944203</v>
          </cell>
          <cell r="AF221">
            <v>102.07320272495535</v>
          </cell>
          <cell r="AG221">
            <v>112.31737708971227</v>
          </cell>
        </row>
        <row r="222">
          <cell r="A222">
            <v>40398</v>
          </cell>
          <cell r="B222">
            <v>9.8400130000000008</v>
          </cell>
          <cell r="C222">
            <v>48.11</v>
          </cell>
          <cell r="D222">
            <v>67.316730000000007</v>
          </cell>
          <cell r="E222">
            <v>30.509868999999998</v>
          </cell>
          <cell r="F222">
            <v>75.5</v>
          </cell>
          <cell r="G222">
            <v>1.4840648000000001</v>
          </cell>
          <cell r="H222">
            <v>21.33</v>
          </cell>
          <cell r="I222">
            <v>17.91</v>
          </cell>
          <cell r="J222">
            <v>32.49</v>
          </cell>
          <cell r="K222">
            <v>5.4921002000000003</v>
          </cell>
          <cell r="L222">
            <v>2.15</v>
          </cell>
          <cell r="M222">
            <v>14.49</v>
          </cell>
          <cell r="N222">
            <v>9.5408679999999997</v>
          </cell>
          <cell r="O222">
            <v>11.383084</v>
          </cell>
          <cell r="Q222">
            <v>71.185750107456712</v>
          </cell>
          <cell r="R222">
            <v>79.678701556806885</v>
          </cell>
          <cell r="S222">
            <v>129.21342211077268</v>
          </cell>
          <cell r="T222">
            <v>111.60378139084735</v>
          </cell>
          <cell r="U222">
            <v>100.88188134687333</v>
          </cell>
          <cell r="V222">
            <v>143.69328284535911</v>
          </cell>
          <cell r="W222">
            <v>109.04907975460122</v>
          </cell>
          <cell r="X222">
            <v>50.408105826062474</v>
          </cell>
          <cell r="Y222">
            <v>124.31605127224029</v>
          </cell>
          <cell r="Z222">
            <v>120.44858603791255</v>
          </cell>
          <cell r="AA222">
            <v>105.3921568627451</v>
          </cell>
          <cell r="AB222">
            <v>79.007633587786259</v>
          </cell>
          <cell r="AC222">
            <v>116.73375391998249</v>
          </cell>
          <cell r="AD222">
            <v>107.90100025944203</v>
          </cell>
          <cell r="AF222">
            <v>102.07320272495535</v>
          </cell>
          <cell r="AG222">
            <v>112.31737708971227</v>
          </cell>
        </row>
        <row r="223">
          <cell r="A223">
            <v>40399</v>
          </cell>
          <cell r="B223">
            <v>10.006962</v>
          </cell>
          <cell r="C223">
            <v>48.38</v>
          </cell>
          <cell r="D223">
            <v>64.828316000000001</v>
          </cell>
          <cell r="E223">
            <v>30.525274</v>
          </cell>
          <cell r="F223">
            <v>75.41</v>
          </cell>
          <cell r="G223">
            <v>1.4837346</v>
          </cell>
          <cell r="H223">
            <v>21.47</v>
          </cell>
          <cell r="I223">
            <v>18.16</v>
          </cell>
          <cell r="J223">
            <v>32.755000000000003</v>
          </cell>
          <cell r="K223">
            <v>5.5024556999999996</v>
          </cell>
          <cell r="L223">
            <v>2.21</v>
          </cell>
          <cell r="M223">
            <v>14.54</v>
          </cell>
          <cell r="N223">
            <v>9.4157879999999992</v>
          </cell>
          <cell r="O223">
            <v>11.627243</v>
          </cell>
          <cell r="Q223">
            <v>72.393511702353962</v>
          </cell>
          <cell r="R223">
            <v>80.125869493209677</v>
          </cell>
          <cell r="S223">
            <v>124.43694992371968</v>
          </cell>
          <cell r="T223">
            <v>111.66013221465212</v>
          </cell>
          <cell r="U223">
            <v>100.7616247995724</v>
          </cell>
          <cell r="V223">
            <v>143.66131151769503</v>
          </cell>
          <cell r="W223">
            <v>109.76482617586912</v>
          </cell>
          <cell r="X223">
            <v>51.111736560652965</v>
          </cell>
          <cell r="Y223">
            <v>125.33001721828964</v>
          </cell>
          <cell r="Z223">
            <v>120.67569502851609</v>
          </cell>
          <cell r="AA223">
            <v>108.33333333333333</v>
          </cell>
          <cell r="AB223">
            <v>79.280261723009815</v>
          </cell>
          <cell r="AC223">
            <v>115.20338394313012</v>
          </cell>
          <cell r="AD223">
            <v>110.21539944355989</v>
          </cell>
          <cell r="AF223">
            <v>102.29460580757281</v>
          </cell>
          <cell r="AG223">
            <v>112.709391693345</v>
          </cell>
        </row>
        <row r="224">
          <cell r="A224">
            <v>40400</v>
          </cell>
          <cell r="B224">
            <v>9.6519860000000008</v>
          </cell>
          <cell r="C224">
            <v>48.8</v>
          </cell>
          <cell r="D224">
            <v>64.076430000000002</v>
          </cell>
          <cell r="E224">
            <v>32.609076999999999</v>
          </cell>
          <cell r="F224">
            <v>76.540000000000006</v>
          </cell>
          <cell r="G224">
            <v>1.4373640999999999</v>
          </cell>
          <cell r="H224">
            <v>20.93</v>
          </cell>
          <cell r="I224">
            <v>17.93</v>
          </cell>
          <cell r="J224">
            <v>32.130000000000003</v>
          </cell>
          <cell r="K224">
            <v>5.4621881999999999</v>
          </cell>
          <cell r="L224">
            <v>2.15</v>
          </cell>
          <cell r="M224">
            <v>14.58</v>
          </cell>
          <cell r="N224">
            <v>9.3675490000000003</v>
          </cell>
          <cell r="O224">
            <v>11.479506000000001</v>
          </cell>
          <cell r="Q224">
            <v>69.825503628569464</v>
          </cell>
          <cell r="R224">
            <v>80.821464060947321</v>
          </cell>
          <cell r="S224">
            <v>122.99371637542966</v>
          </cell>
          <cell r="T224">
            <v>119.28259347378084</v>
          </cell>
          <cell r="U224">
            <v>102.27151256012827</v>
          </cell>
          <cell r="V224">
            <v>139.17152820622456</v>
          </cell>
          <cell r="W224">
            <v>107.00408997955012</v>
          </cell>
          <cell r="X224">
            <v>50.464396284829718</v>
          </cell>
          <cell r="Y224">
            <v>122.93858810024871</v>
          </cell>
          <cell r="Z224">
            <v>119.79257868655976</v>
          </cell>
          <cell r="AA224">
            <v>105.3921568627451</v>
          </cell>
          <cell r="AB224">
            <v>79.49836423118866</v>
          </cell>
          <cell r="AC224">
            <v>114.61317353928155</v>
          </cell>
          <cell r="AD224">
            <v>108.81499072520826</v>
          </cell>
          <cell r="AF224">
            <v>101.62137437085018</v>
          </cell>
          <cell r="AG224">
            <v>111.7140821322449</v>
          </cell>
        </row>
        <row r="225">
          <cell r="A225">
            <v>40401</v>
          </cell>
          <cell r="B225">
            <v>9.2715449999999997</v>
          </cell>
          <cell r="C225">
            <v>47.34</v>
          </cell>
          <cell r="D225">
            <v>63.203564</v>
          </cell>
          <cell r="E225">
            <v>33.337242000000003</v>
          </cell>
          <cell r="F225">
            <v>74.94</v>
          </cell>
          <cell r="G225">
            <v>1.4297236</v>
          </cell>
          <cell r="H225">
            <v>19.329999999999998</v>
          </cell>
          <cell r="I225">
            <v>17.18</v>
          </cell>
          <cell r="J225">
            <v>31.664999999999999</v>
          </cell>
          <cell r="K225">
            <v>5.4369063000000004</v>
          </cell>
          <cell r="L225">
            <v>2.06</v>
          </cell>
          <cell r="M225">
            <v>14.18</v>
          </cell>
          <cell r="N225">
            <v>9.0288360000000001</v>
          </cell>
          <cell r="O225">
            <v>11.359405000000001</v>
          </cell>
          <cell r="Q225">
            <v>67.073273732467598</v>
          </cell>
          <cell r="R225">
            <v>78.403444849287851</v>
          </cell>
          <cell r="S225">
            <v>121.31826358822295</v>
          </cell>
          <cell r="T225">
            <v>121.94618955400219</v>
          </cell>
          <cell r="U225">
            <v>100.1336183858899</v>
          </cell>
          <cell r="V225">
            <v>138.43174344239216</v>
          </cell>
          <cell r="W225">
            <v>98.824130879345603</v>
          </cell>
          <cell r="X225">
            <v>48.353504081058254</v>
          </cell>
          <cell r="Y225">
            <v>121.15936483642625</v>
          </cell>
          <cell r="Z225">
            <v>119.23811518508325</v>
          </cell>
          <cell r="AA225">
            <v>100.98039215686273</v>
          </cell>
          <cell r="AB225">
            <v>77.317339149400226</v>
          </cell>
          <cell r="AC225">
            <v>110.46897617783613</v>
          </cell>
          <cell r="AD225">
            <v>107.67654546448988</v>
          </cell>
          <cell r="AF225">
            <v>99.431614986703252</v>
          </cell>
          <cell r="AG225">
            <v>109.072760821163</v>
          </cell>
        </row>
        <row r="226">
          <cell r="A226">
            <v>40402</v>
          </cell>
          <cell r="B226">
            <v>9.1057100000000002</v>
          </cell>
          <cell r="C226">
            <v>47.41</v>
          </cell>
          <cell r="D226">
            <v>62.947234999999999</v>
          </cell>
          <cell r="E226">
            <v>32.718597000000003</v>
          </cell>
          <cell r="F226">
            <v>75.42</v>
          </cell>
          <cell r="G226">
            <v>1.4023496</v>
          </cell>
          <cell r="H226">
            <v>19.64</v>
          </cell>
          <cell r="I226">
            <v>17.739999999999998</v>
          </cell>
          <cell r="J226">
            <v>31.045000000000002</v>
          </cell>
          <cell r="K226">
            <v>5.3631463000000004</v>
          </cell>
          <cell r="L226">
            <v>2.0099</v>
          </cell>
          <cell r="M226">
            <v>14.25</v>
          </cell>
          <cell r="N226">
            <v>9.2355520000000002</v>
          </cell>
          <cell r="O226">
            <v>11.524656</v>
          </cell>
          <cell r="Q226">
            <v>65.873571164079721</v>
          </cell>
          <cell r="R226">
            <v>78.519377277244104</v>
          </cell>
          <cell r="S226">
            <v>120.82624403712128</v>
          </cell>
          <cell r="T226">
            <v>119.68321289754584</v>
          </cell>
          <cell r="U226">
            <v>100.77498663816141</v>
          </cell>
          <cell r="V226">
            <v>135.78127971290485</v>
          </cell>
          <cell r="W226">
            <v>100.40899795501024</v>
          </cell>
          <cell r="X226">
            <v>49.929636926540944</v>
          </cell>
          <cell r="Y226">
            <v>118.78706715132962</v>
          </cell>
          <cell r="Z226">
            <v>117.62046667492744</v>
          </cell>
          <cell r="AA226">
            <v>98.524509803921561</v>
          </cell>
          <cell r="AB226">
            <v>77.69901853871319</v>
          </cell>
          <cell r="AC226">
            <v>112.99817317283942</v>
          </cell>
          <cell r="AD226">
            <v>109.24297053821093</v>
          </cell>
          <cell r="AF226">
            <v>98.702364064791709</v>
          </cell>
          <cell r="AG226">
            <v>111.12057185552517</v>
          </cell>
        </row>
        <row r="227">
          <cell r="A227">
            <v>40403</v>
          </cell>
          <cell r="B227">
            <v>9.2080819999999992</v>
          </cell>
          <cell r="C227">
            <v>47.36</v>
          </cell>
          <cell r="D227">
            <v>63.115229999999997</v>
          </cell>
          <cell r="E227">
            <v>32.171399999999998</v>
          </cell>
          <cell r="F227">
            <v>75.010000000000005</v>
          </cell>
          <cell r="G227">
            <v>1.4381098999999999</v>
          </cell>
          <cell r="H227">
            <v>19.43</v>
          </cell>
          <cell r="I227">
            <v>17.21</v>
          </cell>
          <cell r="J227">
            <v>31.375</v>
          </cell>
          <cell r="K227">
            <v>5.3975315000000004</v>
          </cell>
          <cell r="L227">
            <v>2.0099999999999998</v>
          </cell>
          <cell r="M227">
            <v>13.74</v>
          </cell>
          <cell r="N227">
            <v>8.9215140000000002</v>
          </cell>
          <cell r="O227">
            <v>11.547148999999999</v>
          </cell>
          <cell r="Q227">
            <v>66.614162422444977</v>
          </cell>
          <cell r="R227">
            <v>78.436568400132487</v>
          </cell>
          <cell r="S227">
            <v>121.14870784140142</v>
          </cell>
          <cell r="T227">
            <v>117.68158993529295</v>
          </cell>
          <cell r="U227">
            <v>100.22715125601283</v>
          </cell>
          <cell r="V227">
            <v>139.24373964223869</v>
          </cell>
          <cell r="W227">
            <v>99.335378323108387</v>
          </cell>
          <cell r="X227">
            <v>48.437939769209123</v>
          </cell>
          <cell r="Y227">
            <v>120.04974172565524</v>
          </cell>
          <cell r="Z227">
            <v>118.37457686407345</v>
          </cell>
          <cell r="AA227">
            <v>98.52941176470587</v>
          </cell>
          <cell r="AB227">
            <v>74.918211559432933</v>
          </cell>
          <cell r="AC227">
            <v>109.15587762766225</v>
          </cell>
          <cell r="AD227">
            <v>109.45618316133094</v>
          </cell>
          <cell r="AF227">
            <v>98.583098291975702</v>
          </cell>
          <cell r="AG227">
            <v>109.30603039449659</v>
          </cell>
        </row>
        <row r="228">
          <cell r="A228">
            <v>40404</v>
          </cell>
          <cell r="B228">
            <v>9.2080819999999992</v>
          </cell>
          <cell r="C228">
            <v>47.36</v>
          </cell>
          <cell r="D228">
            <v>63.115229999999997</v>
          </cell>
          <cell r="E228">
            <v>32.171399999999998</v>
          </cell>
          <cell r="F228">
            <v>75.010000000000005</v>
          </cell>
          <cell r="G228">
            <v>1.4381098999999999</v>
          </cell>
          <cell r="H228">
            <v>19.43</v>
          </cell>
          <cell r="I228">
            <v>17.21</v>
          </cell>
          <cell r="J228">
            <v>31.375</v>
          </cell>
          <cell r="K228">
            <v>5.3975315000000004</v>
          </cell>
          <cell r="L228">
            <v>2.0099999999999998</v>
          </cell>
          <cell r="M228">
            <v>13.74</v>
          </cell>
          <cell r="N228">
            <v>8.9215140000000002</v>
          </cell>
          <cell r="O228">
            <v>11.547148999999999</v>
          </cell>
          <cell r="Q228">
            <v>66.614162422444977</v>
          </cell>
          <cell r="R228">
            <v>78.436568400132487</v>
          </cell>
          <cell r="S228">
            <v>121.14870784140142</v>
          </cell>
          <cell r="T228">
            <v>117.68158993529295</v>
          </cell>
          <cell r="U228">
            <v>100.22715125601283</v>
          </cell>
          <cell r="V228">
            <v>139.24373964223869</v>
          </cell>
          <cell r="W228">
            <v>99.335378323108387</v>
          </cell>
          <cell r="X228">
            <v>48.437939769209123</v>
          </cell>
          <cell r="Y228">
            <v>120.04974172565524</v>
          </cell>
          <cell r="Z228">
            <v>118.37457686407345</v>
          </cell>
          <cell r="AA228">
            <v>98.52941176470587</v>
          </cell>
          <cell r="AB228">
            <v>74.918211559432933</v>
          </cell>
          <cell r="AC228">
            <v>109.15587762766225</v>
          </cell>
          <cell r="AD228">
            <v>109.45618316133094</v>
          </cell>
          <cell r="AF228">
            <v>98.583098291975702</v>
          </cell>
          <cell r="AG228">
            <v>109.30603039449659</v>
          </cell>
        </row>
        <row r="229">
          <cell r="A229">
            <v>40405</v>
          </cell>
          <cell r="B229">
            <v>9.2080819999999992</v>
          </cell>
          <cell r="C229">
            <v>47.36</v>
          </cell>
          <cell r="D229">
            <v>63.115229999999997</v>
          </cell>
          <cell r="E229">
            <v>32.171399999999998</v>
          </cell>
          <cell r="F229">
            <v>75.010000000000005</v>
          </cell>
          <cell r="G229">
            <v>1.4381098999999999</v>
          </cell>
          <cell r="H229">
            <v>19.43</v>
          </cell>
          <cell r="I229">
            <v>17.21</v>
          </cell>
          <cell r="J229">
            <v>31.375</v>
          </cell>
          <cell r="K229">
            <v>5.3975315000000004</v>
          </cell>
          <cell r="L229">
            <v>2.0099999999999998</v>
          </cell>
          <cell r="M229">
            <v>13.74</v>
          </cell>
          <cell r="N229">
            <v>8.9215140000000002</v>
          </cell>
          <cell r="O229">
            <v>11.547148999999999</v>
          </cell>
          <cell r="Q229">
            <v>66.614162422444977</v>
          </cell>
          <cell r="R229">
            <v>78.436568400132487</v>
          </cell>
          <cell r="S229">
            <v>121.14870784140142</v>
          </cell>
          <cell r="T229">
            <v>117.68158993529295</v>
          </cell>
          <cell r="U229">
            <v>100.22715125601283</v>
          </cell>
          <cell r="V229">
            <v>139.24373964223869</v>
          </cell>
          <cell r="W229">
            <v>99.335378323108387</v>
          </cell>
          <cell r="X229">
            <v>48.437939769209123</v>
          </cell>
          <cell r="Y229">
            <v>120.04974172565524</v>
          </cell>
          <cell r="Z229">
            <v>118.37457686407345</v>
          </cell>
          <cell r="AA229">
            <v>98.52941176470587</v>
          </cell>
          <cell r="AB229">
            <v>74.918211559432933</v>
          </cell>
          <cell r="AC229">
            <v>109.15587762766225</v>
          </cell>
          <cell r="AD229">
            <v>109.45618316133094</v>
          </cell>
          <cell r="AF229">
            <v>98.583098291975702</v>
          </cell>
          <cell r="AG229">
            <v>109.30603039449659</v>
          </cell>
        </row>
        <row r="230">
          <cell r="A230">
            <v>40406</v>
          </cell>
          <cell r="B230">
            <v>9.1187349999999991</v>
          </cell>
          <cell r="C230">
            <v>47.08</v>
          </cell>
          <cell r="D230">
            <v>62.917400000000001</v>
          </cell>
          <cell r="E230">
            <v>33.591095000000003</v>
          </cell>
          <cell r="F230">
            <v>74.86</v>
          </cell>
          <cell r="G230">
            <v>1.4175542999999999</v>
          </cell>
          <cell r="H230">
            <v>19.57</v>
          </cell>
          <cell r="I230">
            <v>17</v>
          </cell>
          <cell r="J230">
            <v>31.405000000000001</v>
          </cell>
          <cell r="K230">
            <v>5.4013723999999996</v>
          </cell>
          <cell r="L230">
            <v>2</v>
          </cell>
          <cell r="M230">
            <v>13.85</v>
          </cell>
          <cell r="N230">
            <v>8.9442199999999996</v>
          </cell>
          <cell r="O230">
            <v>11.405723999999999</v>
          </cell>
          <cell r="Q230">
            <v>65.9677981122707</v>
          </cell>
          <cell r="R230">
            <v>77.972838688307377</v>
          </cell>
          <cell r="S230">
            <v>120.76897621605103</v>
          </cell>
          <cell r="T230">
            <v>122.87477285003045</v>
          </cell>
          <cell r="U230">
            <v>100.02672367717797</v>
          </cell>
          <cell r="V230">
            <v>137.25346155946491</v>
          </cell>
          <cell r="W230">
            <v>100.0511247443763</v>
          </cell>
          <cell r="X230">
            <v>47.846889952153113</v>
          </cell>
          <cell r="Y230">
            <v>120.16453032332122</v>
          </cell>
          <cell r="Z230">
            <v>118.4588125766908</v>
          </cell>
          <cell r="AA230">
            <v>98.039215686274503</v>
          </cell>
          <cell r="AB230">
            <v>75.517993456924742</v>
          </cell>
          <cell r="AC230">
            <v>109.43368847427568</v>
          </cell>
          <cell r="AD230">
            <v>108.11560630520904</v>
          </cell>
          <cell r="AF230">
            <v>98.745261486920256</v>
          </cell>
          <cell r="AG230">
            <v>108.77464738974237</v>
          </cell>
        </row>
        <row r="231">
          <cell r="A231">
            <v>40407</v>
          </cell>
          <cell r="B231">
            <v>9.2915770000000002</v>
          </cell>
          <cell r="C231">
            <v>47.7</v>
          </cell>
          <cell r="D231">
            <v>63.573684999999998</v>
          </cell>
          <cell r="E231">
            <v>33.329436999999999</v>
          </cell>
          <cell r="F231">
            <v>76.069999999999993</v>
          </cell>
          <cell r="G231">
            <v>1.4321041999999999</v>
          </cell>
          <cell r="H231">
            <v>19.46</v>
          </cell>
          <cell r="I231">
            <v>17.48</v>
          </cell>
          <cell r="J231">
            <v>32.094999999999999</v>
          </cell>
          <cell r="K231">
            <v>5.4682919999999999</v>
          </cell>
          <cell r="L231">
            <v>2.0099999999999998</v>
          </cell>
          <cell r="M231">
            <v>14.07</v>
          </cell>
          <cell r="N231">
            <v>9.3108269999999997</v>
          </cell>
          <cell r="O231">
            <v>11.624254000000001</v>
          </cell>
          <cell r="Q231">
            <v>67.218191523343734</v>
          </cell>
          <cell r="R231">
            <v>78.99966876449156</v>
          </cell>
          <cell r="S231">
            <v>122.02870512341133</v>
          </cell>
          <cell r="T231">
            <v>121.91763920153242</v>
          </cell>
          <cell r="U231">
            <v>101.64350614644573</v>
          </cell>
          <cell r="V231">
            <v>138.66224296582379</v>
          </cell>
          <cell r="W231">
            <v>99.48875255623723</v>
          </cell>
          <cell r="X231">
            <v>49.19786096256685</v>
          </cell>
          <cell r="Y231">
            <v>122.80466806963841</v>
          </cell>
          <cell r="Z231">
            <v>119.9264426097741</v>
          </cell>
          <cell r="AA231">
            <v>98.52941176470587</v>
          </cell>
          <cell r="AB231">
            <v>76.717557251908403</v>
          </cell>
          <cell r="AC231">
            <v>113.91917253330921</v>
          </cell>
          <cell r="AD231">
            <v>110.18706651640453</v>
          </cell>
          <cell r="AF231">
            <v>99.761220578323289</v>
          </cell>
          <cell r="AG231">
            <v>112.05311952485687</v>
          </cell>
        </row>
        <row r="232">
          <cell r="A232">
            <v>40408</v>
          </cell>
          <cell r="B232">
            <v>9.3110490000000006</v>
          </cell>
          <cell r="C232">
            <v>47.62</v>
          </cell>
          <cell r="D232">
            <v>63.620387999999998</v>
          </cell>
          <cell r="E232">
            <v>32.817810000000001</v>
          </cell>
          <cell r="F232">
            <v>76</v>
          </cell>
          <cell r="G232">
            <v>1.4504014999999999</v>
          </cell>
          <cell r="H232">
            <v>19.5</v>
          </cell>
          <cell r="I232">
            <v>17.170000000000002</v>
          </cell>
          <cell r="J232">
            <v>31.79</v>
          </cell>
          <cell r="K232">
            <v>5.4284499999999998</v>
          </cell>
          <cell r="L232">
            <v>2.09</v>
          </cell>
          <cell r="M232">
            <v>14.12</v>
          </cell>
          <cell r="N232">
            <v>9.5819310000000009</v>
          </cell>
          <cell r="O232">
            <v>12.023042999999999</v>
          </cell>
          <cell r="Q232">
            <v>67.359058098021279</v>
          </cell>
          <cell r="R232">
            <v>78.867174561112947</v>
          </cell>
          <cell r="S232">
            <v>122.11835080960019</v>
          </cell>
          <cell r="T232">
            <v>120.04612976104106</v>
          </cell>
          <cell r="U232">
            <v>101.54997327632283</v>
          </cell>
          <cell r="V232">
            <v>140.43386311624201</v>
          </cell>
          <cell r="W232">
            <v>99.693251533742327</v>
          </cell>
          <cell r="X232">
            <v>48.325358851674643</v>
          </cell>
          <cell r="Y232">
            <v>121.63765066003442</v>
          </cell>
          <cell r="Z232">
            <v>119.052658011867</v>
          </cell>
          <cell r="AA232">
            <v>102.45098039215685</v>
          </cell>
          <cell r="AB232">
            <v>76.990185387131945</v>
          </cell>
          <cell r="AC232">
            <v>117.23616503574432</v>
          </cell>
          <cell r="AD232">
            <v>113.96721361823235</v>
          </cell>
          <cell r="AF232">
            <v>99.877052871578954</v>
          </cell>
          <cell r="AG232">
            <v>115.60168932698834</v>
          </cell>
        </row>
        <row r="233">
          <cell r="A233">
            <v>40409</v>
          </cell>
          <cell r="B233">
            <v>9.2415599999999998</v>
          </cell>
          <cell r="C233">
            <v>46.26</v>
          </cell>
          <cell r="D233">
            <v>64.667839999999998</v>
          </cell>
          <cell r="E233">
            <v>32.992355000000003</v>
          </cell>
          <cell r="F233">
            <v>74.95</v>
          </cell>
          <cell r="G233">
            <v>1.4484186999999999</v>
          </cell>
          <cell r="H233">
            <v>19.12</v>
          </cell>
          <cell r="I233">
            <v>17.170000000000002</v>
          </cell>
          <cell r="J233">
            <v>31.715</v>
          </cell>
          <cell r="K233">
            <v>5.4894150000000002</v>
          </cell>
          <cell r="L233">
            <v>2.0598999999999998</v>
          </cell>
          <cell r="M233">
            <v>13.66</v>
          </cell>
          <cell r="N233">
            <v>10.151709</v>
          </cell>
          <cell r="O233">
            <v>13.140508000000001</v>
          </cell>
          <cell r="Q233">
            <v>66.856352807975711</v>
          </cell>
          <cell r="R233">
            <v>76.614773103676697</v>
          </cell>
          <cell r="S233">
            <v>124.12891872365026</v>
          </cell>
          <cell r="T233">
            <v>120.68460782277464</v>
          </cell>
          <cell r="U233">
            <v>100.14698022447888</v>
          </cell>
          <cell r="V233">
            <v>140.24188023164979</v>
          </cell>
          <cell r="W233">
            <v>97.750511247443768</v>
          </cell>
          <cell r="X233">
            <v>48.325358851674643</v>
          </cell>
          <cell r="Y233">
            <v>121.35067916586952</v>
          </cell>
          <cell r="Z233">
            <v>120.3896962632451</v>
          </cell>
          <cell r="AA233">
            <v>100.97549019607843</v>
          </cell>
          <cell r="AB233">
            <v>74.482006543075258</v>
          </cell>
          <cell r="AC233">
            <v>124.20747255629902</v>
          </cell>
          <cell r="AD233">
            <v>124.55973768771275</v>
          </cell>
          <cell r="AF233">
            <v>99.328937931799388</v>
          </cell>
          <cell r="AG233">
            <v>124.38360512200589</v>
          </cell>
        </row>
        <row r="234">
          <cell r="A234">
            <v>40410</v>
          </cell>
          <cell r="B234">
            <v>9.0378039999999995</v>
          </cell>
          <cell r="C234">
            <v>46.38</v>
          </cell>
          <cell r="D234">
            <v>63.214370000000002</v>
          </cell>
          <cell r="E234">
            <v>32.645206000000002</v>
          </cell>
          <cell r="F234">
            <v>75.760000000000005</v>
          </cell>
          <cell r="G234">
            <v>1.4355652000000001</v>
          </cell>
          <cell r="H234">
            <v>19.100000000000001</v>
          </cell>
          <cell r="I234">
            <v>17.28</v>
          </cell>
          <cell r="J234">
            <v>31.385000000000002</v>
          </cell>
          <cell r="K234">
            <v>5.4333359999999997</v>
          </cell>
          <cell r="L234">
            <v>1.96</v>
          </cell>
          <cell r="M234">
            <v>13.36</v>
          </cell>
          <cell r="N234">
            <v>10.402494000000001</v>
          </cell>
          <cell r="O234">
            <v>12.641723000000001</v>
          </cell>
          <cell r="Q234">
            <v>65.382317794109895</v>
          </cell>
          <cell r="R234">
            <v>76.813514408744624</v>
          </cell>
          <cell r="S234">
            <v>121.33900553809679</v>
          </cell>
          <cell r="T234">
            <v>119.41475179336818</v>
          </cell>
          <cell r="U234">
            <v>101.22928915018707</v>
          </cell>
          <cell r="V234">
            <v>138.99735127910486</v>
          </cell>
          <cell r="W234">
            <v>97.64826175869122</v>
          </cell>
          <cell r="X234">
            <v>48.634956374894458</v>
          </cell>
          <cell r="Y234">
            <v>120.08800459154389</v>
          </cell>
          <cell r="Z234">
            <v>119.1598140669188</v>
          </cell>
          <cell r="AA234">
            <v>96.078431372549005</v>
          </cell>
          <cell r="AB234">
            <v>72.846237731733908</v>
          </cell>
          <cell r="AC234">
            <v>127.27585946583628</v>
          </cell>
          <cell r="AD234">
            <v>119.8317219395723</v>
          </cell>
          <cell r="AF234">
            <v>98.13599465499523</v>
          </cell>
          <cell r="AG234">
            <v>123.55379070270429</v>
          </cell>
        </row>
        <row r="235">
          <cell r="A235">
            <v>40411</v>
          </cell>
          <cell r="B235">
            <v>9.0378039999999995</v>
          </cell>
          <cell r="C235">
            <v>46.38</v>
          </cell>
          <cell r="D235">
            <v>63.214370000000002</v>
          </cell>
          <cell r="E235">
            <v>32.645206000000002</v>
          </cell>
          <cell r="F235">
            <v>75.760000000000005</v>
          </cell>
          <cell r="G235">
            <v>1.4355652000000001</v>
          </cell>
          <cell r="H235">
            <v>19.100000000000001</v>
          </cell>
          <cell r="I235">
            <v>17.28</v>
          </cell>
          <cell r="J235">
            <v>31.385000000000002</v>
          </cell>
          <cell r="K235">
            <v>5.4333359999999997</v>
          </cell>
          <cell r="L235">
            <v>1.96</v>
          </cell>
          <cell r="M235">
            <v>13.36</v>
          </cell>
          <cell r="N235">
            <v>10.402494000000001</v>
          </cell>
          <cell r="O235">
            <v>12.641723000000001</v>
          </cell>
          <cell r="Q235">
            <v>65.382317794109895</v>
          </cell>
          <cell r="R235">
            <v>76.813514408744624</v>
          </cell>
          <cell r="S235">
            <v>121.33900553809679</v>
          </cell>
          <cell r="T235">
            <v>119.41475179336818</v>
          </cell>
          <cell r="U235">
            <v>101.22928915018707</v>
          </cell>
          <cell r="V235">
            <v>138.99735127910486</v>
          </cell>
          <cell r="W235">
            <v>97.64826175869122</v>
          </cell>
          <cell r="X235">
            <v>48.634956374894458</v>
          </cell>
          <cell r="Y235">
            <v>120.08800459154389</v>
          </cell>
          <cell r="Z235">
            <v>119.1598140669188</v>
          </cell>
          <cell r="AA235">
            <v>96.078431372549005</v>
          </cell>
          <cell r="AB235">
            <v>72.846237731733908</v>
          </cell>
          <cell r="AC235">
            <v>127.27585946583628</v>
          </cell>
          <cell r="AD235">
            <v>119.8317219395723</v>
          </cell>
          <cell r="AF235">
            <v>98.13599465499523</v>
          </cell>
          <cell r="AG235">
            <v>123.55379070270429</v>
          </cell>
        </row>
        <row r="236">
          <cell r="A236">
            <v>40412</v>
          </cell>
          <cell r="B236">
            <v>9.0378039999999995</v>
          </cell>
          <cell r="C236">
            <v>46.38</v>
          </cell>
          <cell r="D236">
            <v>63.214370000000002</v>
          </cell>
          <cell r="E236">
            <v>32.645206000000002</v>
          </cell>
          <cell r="F236">
            <v>75.760000000000005</v>
          </cell>
          <cell r="G236">
            <v>1.4355652000000001</v>
          </cell>
          <cell r="H236">
            <v>19.100000000000001</v>
          </cell>
          <cell r="I236">
            <v>17.28</v>
          </cell>
          <cell r="J236">
            <v>31.385000000000002</v>
          </cell>
          <cell r="K236">
            <v>5.4333359999999997</v>
          </cell>
          <cell r="L236">
            <v>1.96</v>
          </cell>
          <cell r="M236">
            <v>13.36</v>
          </cell>
          <cell r="N236">
            <v>10.402494000000001</v>
          </cell>
          <cell r="O236">
            <v>12.641723000000001</v>
          </cell>
          <cell r="Q236">
            <v>65.382317794109895</v>
          </cell>
          <cell r="R236">
            <v>76.813514408744624</v>
          </cell>
          <cell r="S236">
            <v>121.33900553809679</v>
          </cell>
          <cell r="T236">
            <v>119.41475179336818</v>
          </cell>
          <cell r="U236">
            <v>101.22928915018707</v>
          </cell>
          <cell r="V236">
            <v>138.99735127910486</v>
          </cell>
          <cell r="W236">
            <v>97.64826175869122</v>
          </cell>
          <cell r="X236">
            <v>48.634956374894458</v>
          </cell>
          <cell r="Y236">
            <v>120.08800459154389</v>
          </cell>
          <cell r="Z236">
            <v>119.1598140669188</v>
          </cell>
          <cell r="AA236">
            <v>96.078431372549005</v>
          </cell>
          <cell r="AB236">
            <v>72.846237731733908</v>
          </cell>
          <cell r="AC236">
            <v>127.27585946583628</v>
          </cell>
          <cell r="AD236">
            <v>119.8317219395723</v>
          </cell>
          <cell r="AF236">
            <v>98.13599465499523</v>
          </cell>
          <cell r="AG236">
            <v>123.55379070270429</v>
          </cell>
        </row>
        <row r="237">
          <cell r="A237">
            <v>40413</v>
          </cell>
          <cell r="B237">
            <v>9.3134689999999996</v>
          </cell>
          <cell r="C237">
            <v>46.19</v>
          </cell>
          <cell r="D237">
            <v>62.918182000000002</v>
          </cell>
          <cell r="E237">
            <v>32.914659999999998</v>
          </cell>
          <cell r="F237">
            <v>75.61</v>
          </cell>
          <cell r="G237">
            <v>1.4660921</v>
          </cell>
          <cell r="H237">
            <v>18.77</v>
          </cell>
          <cell r="I237">
            <v>17.18</v>
          </cell>
          <cell r="J237">
            <v>31.355</v>
          </cell>
          <cell r="K237">
            <v>5.4559245000000001</v>
          </cell>
          <cell r="L237">
            <v>1.94</v>
          </cell>
          <cell r="M237">
            <v>13.04</v>
          </cell>
          <cell r="N237">
            <v>10.440901</v>
          </cell>
          <cell r="O237">
            <v>12.370196999999999</v>
          </cell>
          <cell r="Q237">
            <v>67.376565139450989</v>
          </cell>
          <cell r="R237">
            <v>76.49884067572043</v>
          </cell>
          <cell r="S237">
            <v>120.77047725295658</v>
          </cell>
          <cell r="T237">
            <v>120.40040287272514</v>
          </cell>
          <cell r="U237">
            <v>101.02886157135219</v>
          </cell>
          <cell r="V237">
            <v>141.95309180747802</v>
          </cell>
          <cell r="W237">
            <v>95.961145194274039</v>
          </cell>
          <cell r="X237">
            <v>48.353504081058254</v>
          </cell>
          <cell r="Y237">
            <v>119.97321599387793</v>
          </cell>
          <cell r="Z237">
            <v>119.65520795753233</v>
          </cell>
          <cell r="AA237">
            <v>95.098039215686271</v>
          </cell>
          <cell r="AB237">
            <v>71.101417666303163</v>
          </cell>
          <cell r="AC237">
            <v>127.74577407809218</v>
          </cell>
          <cell r="AD237">
            <v>117.25790916647448</v>
          </cell>
          <cell r="AF237">
            <v>98.180897452367944</v>
          </cell>
          <cell r="AG237">
            <v>122.50184162228334</v>
          </cell>
        </row>
        <row r="238">
          <cell r="A238">
            <v>40414</v>
          </cell>
          <cell r="B238">
            <v>9.5612399999999997</v>
          </cell>
          <cell r="C238">
            <v>45.12</v>
          </cell>
          <cell r="D238">
            <v>63.218043999999999</v>
          </cell>
          <cell r="E238">
            <v>33.728194999999999</v>
          </cell>
          <cell r="F238">
            <v>75.53</v>
          </cell>
          <cell r="G238">
            <v>1.506799</v>
          </cell>
          <cell r="H238">
            <v>18.510000000000002</v>
          </cell>
          <cell r="I238">
            <v>17.34</v>
          </cell>
          <cell r="J238">
            <v>30.43</v>
          </cell>
          <cell r="K238">
            <v>5.4091829999999996</v>
          </cell>
          <cell r="L238">
            <v>1.9</v>
          </cell>
          <cell r="M238">
            <v>12.92</v>
          </cell>
          <cell r="N238">
            <v>10.322399000000001</v>
          </cell>
          <cell r="O238">
            <v>11.736425000000001</v>
          </cell>
          <cell r="Q238">
            <v>69.16901851221327</v>
          </cell>
          <cell r="R238">
            <v>74.726730705531637</v>
          </cell>
          <cell r="S238">
            <v>121.34605772427449</v>
          </cell>
          <cell r="T238">
            <v>123.3762787210876</v>
          </cell>
          <cell r="U238">
            <v>100.9219668626403</v>
          </cell>
          <cell r="V238">
            <v>145.8945019773424</v>
          </cell>
          <cell r="W238">
            <v>94.631901840490812</v>
          </cell>
          <cell r="X238">
            <v>48.803827751196174</v>
          </cell>
          <cell r="Y238">
            <v>116.43390089917733</v>
          </cell>
          <cell r="Z238">
            <v>118.63010874607018</v>
          </cell>
          <cell r="AA238">
            <v>93.137254901960773</v>
          </cell>
          <cell r="AB238">
            <v>70.447110141766629</v>
          </cell>
          <cell r="AC238">
            <v>126.29588678198603</v>
          </cell>
          <cell r="AD238">
            <v>111.2503427867107</v>
          </cell>
          <cell r="AF238">
            <v>98.126554898645963</v>
          </cell>
          <cell r="AG238">
            <v>118.77311478434837</v>
          </cell>
        </row>
        <row r="239">
          <cell r="A239">
            <v>40415</v>
          </cell>
          <cell r="B239">
            <v>9.6629500000000004</v>
          </cell>
          <cell r="C239">
            <v>45.38</v>
          </cell>
          <cell r="D239">
            <v>62.876730000000002</v>
          </cell>
          <cell r="E239">
            <v>33.849426000000001</v>
          </cell>
          <cell r="F239">
            <v>76.12</v>
          </cell>
          <cell r="G239">
            <v>1.5056921999999999</v>
          </cell>
          <cell r="H239">
            <v>19.190000000000001</v>
          </cell>
          <cell r="I239">
            <v>17.79</v>
          </cell>
          <cell r="J239">
            <v>30.335000000000001</v>
          </cell>
          <cell r="K239">
            <v>5.3761140000000003</v>
          </cell>
          <cell r="L239">
            <v>1.91</v>
          </cell>
          <cell r="M239">
            <v>13.15</v>
          </cell>
          <cell r="N239">
            <v>10.421373000000001</v>
          </cell>
          <cell r="O239">
            <v>12.200632000000001</v>
          </cell>
          <cell r="Q239">
            <v>69.90482065428661</v>
          </cell>
          <cell r="R239">
            <v>75.157336866512097</v>
          </cell>
          <cell r="S239">
            <v>120.69091078005548</v>
          </cell>
          <cell r="T239">
            <v>123.81973647640585</v>
          </cell>
          <cell r="U239">
            <v>101.7103153393907</v>
          </cell>
          <cell r="V239">
            <v>145.78733703046592</v>
          </cell>
          <cell r="W239">
            <v>98.108384458077722</v>
          </cell>
          <cell r="X239">
            <v>50.070363073459049</v>
          </cell>
          <cell r="Y239">
            <v>116.07040367323511</v>
          </cell>
          <cell r="Z239">
            <v>117.90486445943323</v>
          </cell>
          <cell r="AA239">
            <v>93.62745098039214</v>
          </cell>
          <cell r="AB239">
            <v>71.701199563794987</v>
          </cell>
          <cell r="AC239">
            <v>127.50684647249599</v>
          </cell>
          <cell r="AD239">
            <v>115.65059140364393</v>
          </cell>
          <cell r="AF239">
            <v>98.712760279625741</v>
          </cell>
          <cell r="AG239">
            <v>121.57871893806995</v>
          </cell>
        </row>
        <row r="240">
          <cell r="A240">
            <v>40416</v>
          </cell>
          <cell r="B240">
            <v>9.6717770000000005</v>
          </cell>
          <cell r="C240">
            <v>44.74</v>
          </cell>
          <cell r="D240">
            <v>62.389225000000003</v>
          </cell>
          <cell r="E240">
            <v>34.621291999999997</v>
          </cell>
          <cell r="F240">
            <v>75.08</v>
          </cell>
          <cell r="G240">
            <v>1.497547</v>
          </cell>
          <cell r="H240">
            <v>19.12</v>
          </cell>
          <cell r="I240">
            <v>17.47</v>
          </cell>
          <cell r="J240">
            <v>29.875</v>
          </cell>
          <cell r="K240">
            <v>5.4403743999999996</v>
          </cell>
          <cell r="L240">
            <v>1.86</v>
          </cell>
          <cell r="M240">
            <v>12.88</v>
          </cell>
          <cell r="N240">
            <v>10.359540000000001</v>
          </cell>
          <cell r="O240">
            <v>12.344977</v>
          </cell>
          <cell r="Q240">
            <v>69.968677949617273</v>
          </cell>
          <cell r="R240">
            <v>74.097383239483278</v>
          </cell>
          <cell r="S240">
            <v>119.75515247233446</v>
          </cell>
          <cell r="T240">
            <v>126.64318892476044</v>
          </cell>
          <cell r="U240">
            <v>100.32068412613575</v>
          </cell>
          <cell r="V240">
            <v>144.99868512831716</v>
          </cell>
          <cell r="W240">
            <v>97.750511247443768</v>
          </cell>
          <cell r="X240">
            <v>49.169715733183224</v>
          </cell>
          <cell r="Y240">
            <v>114.31031184235698</v>
          </cell>
          <cell r="Z240">
            <v>119.31417493017639</v>
          </cell>
          <cell r="AA240">
            <v>91.17647058823529</v>
          </cell>
          <cell r="AB240">
            <v>70.229007633587798</v>
          </cell>
          <cell r="AC240">
            <v>126.75031172050757</v>
          </cell>
          <cell r="AD240">
            <v>117.01884713139303</v>
          </cell>
          <cell r="AF240">
            <v>98.144496984635978</v>
          </cell>
          <cell r="AG240">
            <v>121.88457942595031</v>
          </cell>
        </row>
        <row r="241">
          <cell r="A241">
            <v>40417</v>
          </cell>
          <cell r="B241">
            <v>9.7074960000000008</v>
          </cell>
          <cell r="C241">
            <v>44.65</v>
          </cell>
          <cell r="D241">
            <v>64.132739999999998</v>
          </cell>
          <cell r="E241">
            <v>34.278652000000001</v>
          </cell>
          <cell r="F241">
            <v>75.22</v>
          </cell>
          <cell r="G241">
            <v>1.5125803</v>
          </cell>
          <cell r="H241">
            <v>19.690000000000001</v>
          </cell>
          <cell r="I241">
            <v>17.68</v>
          </cell>
          <cell r="J241">
            <v>30.594999999999999</v>
          </cell>
          <cell r="K241">
            <v>5.5024050000000004</v>
          </cell>
          <cell r="L241">
            <v>1.93</v>
          </cell>
          <cell r="M241">
            <v>13.09</v>
          </cell>
          <cell r="N241">
            <v>10.270163</v>
          </cell>
          <cell r="O241">
            <v>12.381251000000001</v>
          </cell>
          <cell r="Q241">
            <v>70.227080434257104</v>
          </cell>
          <cell r="R241">
            <v>73.948327260682348</v>
          </cell>
          <cell r="S241">
            <v>123.10180254953613</v>
          </cell>
          <cell r="T241">
            <v>125.38982662236053</v>
          </cell>
          <cell r="U241">
            <v>100.5077498663816</v>
          </cell>
          <cell r="V241">
            <v>146.45427131902738</v>
          </cell>
          <cell r="W241">
            <v>100.66462167689163</v>
          </cell>
          <cell r="X241">
            <v>49.760765550239235</v>
          </cell>
          <cell r="Y241">
            <v>117.06523818634014</v>
          </cell>
          <cell r="Z241">
            <v>120.67458311447781</v>
          </cell>
          <cell r="AA241">
            <v>94.607843137254903</v>
          </cell>
          <cell r="AB241">
            <v>71.374045801526719</v>
          </cell>
          <cell r="AC241">
            <v>125.65677256619725</v>
          </cell>
          <cell r="AD241">
            <v>117.36269075790156</v>
          </cell>
          <cell r="AF241">
            <v>99.481346293247967</v>
          </cell>
          <cell r="AG241">
            <v>121.5097316620494</v>
          </cell>
        </row>
        <row r="242">
          <cell r="A242">
            <v>40418</v>
          </cell>
          <cell r="B242">
            <v>9.7074960000000008</v>
          </cell>
          <cell r="C242">
            <v>44.65</v>
          </cell>
          <cell r="D242">
            <v>64.132739999999998</v>
          </cell>
          <cell r="E242">
            <v>34.278652000000001</v>
          </cell>
          <cell r="F242">
            <v>75.22</v>
          </cell>
          <cell r="G242">
            <v>1.5125803</v>
          </cell>
          <cell r="H242">
            <v>19.690000000000001</v>
          </cell>
          <cell r="I242">
            <v>17.68</v>
          </cell>
          <cell r="J242">
            <v>30.594999999999999</v>
          </cell>
          <cell r="K242">
            <v>5.5024050000000004</v>
          </cell>
          <cell r="L242">
            <v>1.93</v>
          </cell>
          <cell r="M242">
            <v>13.09</v>
          </cell>
          <cell r="N242">
            <v>10.270163</v>
          </cell>
          <cell r="O242">
            <v>12.381251000000001</v>
          </cell>
          <cell r="Q242">
            <v>70.227080434257104</v>
          </cell>
          <cell r="R242">
            <v>73.948327260682348</v>
          </cell>
          <cell r="S242">
            <v>123.10180254953613</v>
          </cell>
          <cell r="T242">
            <v>125.38982662236053</v>
          </cell>
          <cell r="U242">
            <v>100.5077498663816</v>
          </cell>
          <cell r="V242">
            <v>146.45427131902738</v>
          </cell>
          <cell r="W242">
            <v>100.66462167689163</v>
          </cell>
          <cell r="X242">
            <v>49.760765550239235</v>
          </cell>
          <cell r="Y242">
            <v>117.06523818634014</v>
          </cell>
          <cell r="Z242">
            <v>120.67458311447781</v>
          </cell>
          <cell r="AA242">
            <v>94.607843137254903</v>
          </cell>
          <cell r="AB242">
            <v>71.374045801526719</v>
          </cell>
          <cell r="AC242">
            <v>125.65677256619725</v>
          </cell>
          <cell r="AD242">
            <v>117.36269075790156</v>
          </cell>
          <cell r="AF242">
            <v>99.481346293247967</v>
          </cell>
          <cell r="AG242">
            <v>121.5097316620494</v>
          </cell>
        </row>
        <row r="243">
          <cell r="A243">
            <v>40419</v>
          </cell>
          <cell r="B243">
            <v>9.7074960000000008</v>
          </cell>
          <cell r="C243">
            <v>44.65</v>
          </cell>
          <cell r="D243">
            <v>64.132739999999998</v>
          </cell>
          <cell r="E243">
            <v>34.278652000000001</v>
          </cell>
          <cell r="F243">
            <v>75.22</v>
          </cell>
          <cell r="G243">
            <v>1.5125803</v>
          </cell>
          <cell r="H243">
            <v>19.690000000000001</v>
          </cell>
          <cell r="I243">
            <v>17.68</v>
          </cell>
          <cell r="J243">
            <v>30.594999999999999</v>
          </cell>
          <cell r="K243">
            <v>5.5024050000000004</v>
          </cell>
          <cell r="L243">
            <v>1.93</v>
          </cell>
          <cell r="M243">
            <v>13.09</v>
          </cell>
          <cell r="N243">
            <v>10.270163</v>
          </cell>
          <cell r="O243">
            <v>12.381251000000001</v>
          </cell>
          <cell r="Q243">
            <v>70.227080434257104</v>
          </cell>
          <cell r="R243">
            <v>73.948327260682348</v>
          </cell>
          <cell r="S243">
            <v>123.10180254953613</v>
          </cell>
          <cell r="T243">
            <v>125.38982662236053</v>
          </cell>
          <cell r="U243">
            <v>100.5077498663816</v>
          </cell>
          <cell r="V243">
            <v>146.45427131902738</v>
          </cell>
          <cell r="W243">
            <v>100.66462167689163</v>
          </cell>
          <cell r="X243">
            <v>49.760765550239235</v>
          </cell>
          <cell r="Y243">
            <v>117.06523818634014</v>
          </cell>
          <cell r="Z243">
            <v>120.67458311447781</v>
          </cell>
          <cell r="AA243">
            <v>94.607843137254903</v>
          </cell>
          <cell r="AB243">
            <v>71.374045801526719</v>
          </cell>
          <cell r="AC243">
            <v>125.65677256619725</v>
          </cell>
          <cell r="AD243">
            <v>117.36269075790156</v>
          </cell>
          <cell r="AF243">
            <v>99.481346293247967</v>
          </cell>
          <cell r="AG243">
            <v>121.5097316620494</v>
          </cell>
        </row>
        <row r="244">
          <cell r="A244">
            <v>40420</v>
          </cell>
          <cell r="B244">
            <v>9.9249100000000006</v>
          </cell>
          <cell r="C244">
            <v>44.33</v>
          </cell>
          <cell r="D244">
            <v>64.451400000000007</v>
          </cell>
          <cell r="E244">
            <v>34.409492</v>
          </cell>
          <cell r="F244">
            <v>73.97</v>
          </cell>
          <cell r="G244">
            <v>1.5362457</v>
          </cell>
          <cell r="H244">
            <v>19.89</v>
          </cell>
          <cell r="I244">
            <v>17.489999999999998</v>
          </cell>
          <cell r="J244">
            <v>30.19</v>
          </cell>
          <cell r="K244">
            <v>5.5357346999999999</v>
          </cell>
          <cell r="L244">
            <v>1.86</v>
          </cell>
          <cell r="M244">
            <v>12.57</v>
          </cell>
          <cell r="N244">
            <v>10.936432</v>
          </cell>
          <cell r="O244">
            <v>12.018682999999999</v>
          </cell>
          <cell r="Q244">
            <v>71.799921717481283</v>
          </cell>
          <cell r="R244">
            <v>73.418350447167938</v>
          </cell>
          <cell r="S244">
            <v>123.71346549112316</v>
          </cell>
          <cell r="T244">
            <v>125.86843368413383</v>
          </cell>
          <cell r="U244">
            <v>98.837520042757873</v>
          </cell>
          <cell r="V244">
            <v>148.74565308069208</v>
          </cell>
          <cell r="W244">
            <v>101.68711656441718</v>
          </cell>
          <cell r="X244">
            <v>49.226006191950461</v>
          </cell>
          <cell r="Y244">
            <v>115.51559211784964</v>
          </cell>
          <cell r="Z244">
            <v>121.40554487625843</v>
          </cell>
          <cell r="AA244">
            <v>91.17647058823529</v>
          </cell>
          <cell r="AB244">
            <v>68.538713195201751</v>
          </cell>
          <cell r="AC244">
            <v>133.80865995113044</v>
          </cell>
          <cell r="AD244">
            <v>113.92588489210407</v>
          </cell>
          <cell r="AF244">
            <v>99.161065666439114</v>
          </cell>
          <cell r="AG244">
            <v>123.86727242161726</v>
          </cell>
        </row>
        <row r="245">
          <cell r="A245">
            <v>40421</v>
          </cell>
          <cell r="B245">
            <v>9.8350524999999998</v>
          </cell>
          <cell r="C245">
            <v>43.5</v>
          </cell>
          <cell r="D245">
            <v>63.236865999999999</v>
          </cell>
          <cell r="E245">
            <v>33.511966999999999</v>
          </cell>
          <cell r="F245">
            <v>72.62</v>
          </cell>
          <cell r="G245">
            <v>1.5132501</v>
          </cell>
          <cell r="H245">
            <v>19.82</v>
          </cell>
          <cell r="I245">
            <v>17.18</v>
          </cell>
          <cell r="J245">
            <v>30.14</v>
          </cell>
          <cell r="K245">
            <v>5.4738072999999998</v>
          </cell>
          <cell r="L245">
            <v>1.84</v>
          </cell>
          <cell r="M245">
            <v>12.5</v>
          </cell>
          <cell r="N245">
            <v>10.490606</v>
          </cell>
          <cell r="O245">
            <v>12.315061</v>
          </cell>
          <cell r="Q245">
            <v>71.14986428968308</v>
          </cell>
          <cell r="R245">
            <v>72.043723087114927</v>
          </cell>
          <cell r="S245">
            <v>121.38218626217241</v>
          </cell>
          <cell r="T245">
            <v>122.58532604795155</v>
          </cell>
          <cell r="U245">
            <v>97.033671833244256</v>
          </cell>
          <cell r="V245">
            <v>146.51912412117579</v>
          </cell>
          <cell r="W245">
            <v>101.32924335378324</v>
          </cell>
          <cell r="X245">
            <v>48.353504081058254</v>
          </cell>
          <cell r="Y245">
            <v>115.32427778840635</v>
          </cell>
          <cell r="Z245">
            <v>120.04739999627168</v>
          </cell>
          <cell r="AA245">
            <v>90.196078431372555</v>
          </cell>
          <cell r="AB245">
            <v>68.157033805888773</v>
          </cell>
          <cell r="AC245">
            <v>128.35392118154155</v>
          </cell>
          <cell r="AD245">
            <v>116.73527140413304</v>
          </cell>
          <cell r="AF245">
            <v>97.843452758176909</v>
          </cell>
          <cell r="AG245">
            <v>122.5445962928373</v>
          </cell>
        </row>
        <row r="246">
          <cell r="A246">
            <v>40422</v>
          </cell>
          <cell r="B246">
            <v>10.427858000000001</v>
          </cell>
          <cell r="C246">
            <v>44.92</v>
          </cell>
          <cell r="D246">
            <v>62.208027000000001</v>
          </cell>
          <cell r="E246">
            <v>33.232807000000001</v>
          </cell>
          <cell r="F246">
            <v>74</v>
          </cell>
          <cell r="G246">
            <v>1.5228614</v>
          </cell>
          <cell r="H246">
            <v>19.989999999999998</v>
          </cell>
          <cell r="I246">
            <v>17.7</v>
          </cell>
          <cell r="J246">
            <v>30.83</v>
          </cell>
          <cell r="K246">
            <v>5.5863529999999999</v>
          </cell>
          <cell r="L246">
            <v>1.86</v>
          </cell>
          <cell r="M246">
            <v>13.36</v>
          </cell>
          <cell r="N246">
            <v>10.344530000000001</v>
          </cell>
          <cell r="O246">
            <v>12.442171</v>
          </cell>
          <cell r="Q246">
            <v>75.438405797232505</v>
          </cell>
          <cell r="R246">
            <v>74.395495197085125</v>
          </cell>
          <cell r="S246">
            <v>119.40734571375265</v>
          </cell>
          <cell r="T246">
            <v>121.56417084033437</v>
          </cell>
          <cell r="U246">
            <v>98.877605558524849</v>
          </cell>
          <cell r="V246">
            <v>147.44972988004267</v>
          </cell>
          <cell r="W246">
            <v>102.19836400817996</v>
          </cell>
          <cell r="X246">
            <v>49.817056009006471</v>
          </cell>
          <cell r="Y246">
            <v>117.96441553472354</v>
          </cell>
          <cell r="Z246">
            <v>122.51566713197455</v>
          </cell>
          <cell r="AA246">
            <v>91.17647058823529</v>
          </cell>
          <cell r="AB246">
            <v>72.846237731733908</v>
          </cell>
          <cell r="AC246">
            <v>126.56666242923353</v>
          </cell>
          <cell r="AD246">
            <v>117.94015543582232</v>
          </cell>
          <cell r="AF246">
            <v>99.470913665902174</v>
          </cell>
          <cell r="AG246">
            <v>122.25340893252792</v>
          </cell>
        </row>
        <row r="247">
          <cell r="A247">
            <v>40423</v>
          </cell>
          <cell r="B247">
            <v>10.4765</v>
          </cell>
          <cell r="C247">
            <v>45</v>
          </cell>
          <cell r="D247">
            <v>64.045550000000006</v>
          </cell>
          <cell r="E247">
            <v>33.896698000000001</v>
          </cell>
          <cell r="F247">
            <v>74.56</v>
          </cell>
          <cell r="G247">
            <v>1.5149827</v>
          </cell>
          <cell r="H247">
            <v>20.27</v>
          </cell>
          <cell r="I247">
            <v>17.95</v>
          </cell>
          <cell r="J247">
            <v>31.49</v>
          </cell>
          <cell r="K247">
            <v>5.6026496999999997</v>
          </cell>
          <cell r="L247">
            <v>1.87</v>
          </cell>
          <cell r="M247">
            <v>13.66</v>
          </cell>
          <cell r="N247">
            <v>10.596026</v>
          </cell>
          <cell r="O247">
            <v>12.669162</v>
          </cell>
          <cell r="Q247">
            <v>75.790297329970002</v>
          </cell>
          <cell r="R247">
            <v>74.527989400463724</v>
          </cell>
          <cell r="S247">
            <v>122.93444269302145</v>
          </cell>
          <cell r="T247">
            <v>123.99265540810983</v>
          </cell>
          <cell r="U247">
            <v>99.625868519508288</v>
          </cell>
          <cell r="V247">
            <v>146.68688160848893</v>
          </cell>
          <cell r="W247">
            <v>103.62985685071575</v>
          </cell>
          <cell r="X247">
            <v>50.520686743596954</v>
          </cell>
          <cell r="Y247">
            <v>120.48976468337477</v>
          </cell>
          <cell r="Z247">
            <v>122.87307402562226</v>
          </cell>
          <cell r="AA247">
            <v>91.666666666666671</v>
          </cell>
          <cell r="AB247">
            <v>74.482006543075258</v>
          </cell>
          <cell r="AC247">
            <v>129.64374851572586</v>
          </cell>
          <cell r="AD247">
            <v>120.09181802127729</v>
          </cell>
          <cell r="AF247">
            <v>100.6016825393845</v>
          </cell>
          <cell r="AG247">
            <v>124.86778326850157</v>
          </cell>
        </row>
        <row r="248">
          <cell r="A248">
            <v>40424</v>
          </cell>
          <cell r="B248">
            <v>10.642452</v>
          </cell>
          <cell r="C248">
            <v>45.93</v>
          </cell>
          <cell r="D248">
            <v>64.852683999999996</v>
          </cell>
          <cell r="E248">
            <v>33.268124</v>
          </cell>
          <cell r="F248">
            <v>75.05</v>
          </cell>
          <cell r="G248">
            <v>1.4946461</v>
          </cell>
          <cell r="H248">
            <v>20.27</v>
          </cell>
          <cell r="I248">
            <v>17.91</v>
          </cell>
          <cell r="J248">
            <v>32.229999999999997</v>
          </cell>
          <cell r="K248">
            <v>5.6138015000000001</v>
          </cell>
          <cell r="L248">
            <v>1.86</v>
          </cell>
          <cell r="M248">
            <v>13.57</v>
          </cell>
          <cell r="N248">
            <v>11.128822</v>
          </cell>
          <cell r="O248">
            <v>12.403999000000001</v>
          </cell>
          <cell r="Q248">
            <v>76.990846313170806</v>
          </cell>
          <cell r="R248">
            <v>76.06823451473997</v>
          </cell>
          <cell r="S248">
            <v>124.48372392284286</v>
          </cell>
          <cell r="T248">
            <v>121.69335889903697</v>
          </cell>
          <cell r="U248">
            <v>100.28059861036877</v>
          </cell>
          <cell r="V248">
            <v>144.71780801014407</v>
          </cell>
          <cell r="W248">
            <v>103.62985685071575</v>
          </cell>
          <cell r="X248">
            <v>50.408105826062474</v>
          </cell>
          <cell r="Y248">
            <v>123.32121675913524</v>
          </cell>
          <cell r="Z248">
            <v>123.11764686531257</v>
          </cell>
          <cell r="AA248">
            <v>91.17647058823529</v>
          </cell>
          <cell r="AB248">
            <v>73.991275899672843</v>
          </cell>
          <cell r="AC248">
            <v>136.16257648332285</v>
          </cell>
          <cell r="AD248">
            <v>117.57832054275615</v>
          </cell>
          <cell r="AF248">
            <v>100.82326192161982</v>
          </cell>
          <cell r="AG248">
            <v>126.87044851303949</v>
          </cell>
        </row>
        <row r="249">
          <cell r="A249">
            <v>40425</v>
          </cell>
          <cell r="B249">
            <v>10.642452</v>
          </cell>
          <cell r="C249">
            <v>45.93</v>
          </cell>
          <cell r="D249">
            <v>64.852683999999996</v>
          </cell>
          <cell r="E249">
            <v>33.268124</v>
          </cell>
          <cell r="F249">
            <v>75.05</v>
          </cell>
          <cell r="G249">
            <v>1.4946461</v>
          </cell>
          <cell r="H249">
            <v>20.27</v>
          </cell>
          <cell r="I249">
            <v>17.91</v>
          </cell>
          <cell r="J249">
            <v>32.229999999999997</v>
          </cell>
          <cell r="K249">
            <v>5.6138015000000001</v>
          </cell>
          <cell r="L249">
            <v>1.86</v>
          </cell>
          <cell r="M249">
            <v>13.57</v>
          </cell>
          <cell r="N249">
            <v>11.128822</v>
          </cell>
          <cell r="O249">
            <v>12.403999000000001</v>
          </cell>
          <cell r="Q249">
            <v>76.990846313170806</v>
          </cell>
          <cell r="R249">
            <v>76.06823451473997</v>
          </cell>
          <cell r="S249">
            <v>124.48372392284286</v>
          </cell>
          <cell r="T249">
            <v>121.69335889903697</v>
          </cell>
          <cell r="U249">
            <v>100.28059861036877</v>
          </cell>
          <cell r="V249">
            <v>144.71780801014407</v>
          </cell>
          <cell r="W249">
            <v>103.62985685071575</v>
          </cell>
          <cell r="X249">
            <v>50.408105826062474</v>
          </cell>
          <cell r="Y249">
            <v>123.32121675913524</v>
          </cell>
          <cell r="Z249">
            <v>123.11764686531257</v>
          </cell>
          <cell r="AA249">
            <v>91.17647058823529</v>
          </cell>
          <cell r="AB249">
            <v>73.991275899672843</v>
          </cell>
          <cell r="AC249">
            <v>136.16257648332285</v>
          </cell>
          <cell r="AD249">
            <v>117.57832054275615</v>
          </cell>
          <cell r="AF249">
            <v>100.82326192161982</v>
          </cell>
          <cell r="AG249">
            <v>126.87044851303949</v>
          </cell>
        </row>
        <row r="250">
          <cell r="A250">
            <v>40426</v>
          </cell>
          <cell r="B250">
            <v>10.642452</v>
          </cell>
          <cell r="C250">
            <v>45.93</v>
          </cell>
          <cell r="D250">
            <v>64.852683999999996</v>
          </cell>
          <cell r="E250">
            <v>33.268124</v>
          </cell>
          <cell r="F250">
            <v>75.05</v>
          </cell>
          <cell r="G250">
            <v>1.4946461</v>
          </cell>
          <cell r="H250">
            <v>20.27</v>
          </cell>
          <cell r="I250">
            <v>17.91</v>
          </cell>
          <cell r="J250">
            <v>32.229999999999997</v>
          </cell>
          <cell r="K250">
            <v>5.6138015000000001</v>
          </cell>
          <cell r="L250">
            <v>1.86</v>
          </cell>
          <cell r="M250">
            <v>13.57</v>
          </cell>
          <cell r="N250">
            <v>11.128822</v>
          </cell>
          <cell r="O250">
            <v>12.403999000000001</v>
          </cell>
          <cell r="Q250">
            <v>76.990846313170806</v>
          </cell>
          <cell r="R250">
            <v>76.06823451473997</v>
          </cell>
          <cell r="S250">
            <v>124.48372392284286</v>
          </cell>
          <cell r="T250">
            <v>121.69335889903697</v>
          </cell>
          <cell r="U250">
            <v>100.28059861036877</v>
          </cell>
          <cell r="V250">
            <v>144.71780801014407</v>
          </cell>
          <cell r="W250">
            <v>103.62985685071575</v>
          </cell>
          <cell r="X250">
            <v>50.408105826062474</v>
          </cell>
          <cell r="Y250">
            <v>123.32121675913524</v>
          </cell>
          <cell r="Z250">
            <v>123.11764686531257</v>
          </cell>
          <cell r="AA250">
            <v>91.17647058823529</v>
          </cell>
          <cell r="AB250">
            <v>73.991275899672843</v>
          </cell>
          <cell r="AC250">
            <v>136.16257648332285</v>
          </cell>
          <cell r="AD250">
            <v>117.57832054275615</v>
          </cell>
          <cell r="AF250">
            <v>100.82326192161982</v>
          </cell>
          <cell r="AG250">
            <v>126.87044851303949</v>
          </cell>
        </row>
        <row r="251">
          <cell r="A251">
            <v>40427</v>
          </cell>
          <cell r="B251">
            <v>10.642452</v>
          </cell>
          <cell r="C251">
            <v>45.93</v>
          </cell>
          <cell r="D251">
            <v>64.852683999999996</v>
          </cell>
          <cell r="E251">
            <v>33.268124</v>
          </cell>
          <cell r="F251">
            <v>75.05</v>
          </cell>
          <cell r="G251">
            <v>1.4946461</v>
          </cell>
          <cell r="H251">
            <v>20.27</v>
          </cell>
          <cell r="I251">
            <v>17.91</v>
          </cell>
          <cell r="J251">
            <v>32.229999999999997</v>
          </cell>
          <cell r="K251">
            <v>5.6138015000000001</v>
          </cell>
          <cell r="L251">
            <v>1.86</v>
          </cell>
          <cell r="M251">
            <v>13.57</v>
          </cell>
          <cell r="N251">
            <v>11.128822</v>
          </cell>
          <cell r="O251">
            <v>12.403999000000001</v>
          </cell>
          <cell r="Q251">
            <v>76.990846313170806</v>
          </cell>
          <cell r="R251">
            <v>76.06823451473997</v>
          </cell>
          <cell r="S251">
            <v>124.48372392284286</v>
          </cell>
          <cell r="T251">
            <v>121.69335889903697</v>
          </cell>
          <cell r="U251">
            <v>100.28059861036877</v>
          </cell>
          <cell r="V251">
            <v>144.71780801014407</v>
          </cell>
          <cell r="W251">
            <v>103.62985685071575</v>
          </cell>
          <cell r="X251">
            <v>50.408105826062474</v>
          </cell>
          <cell r="Y251">
            <v>123.32121675913524</v>
          </cell>
          <cell r="Z251">
            <v>123.11764686531257</v>
          </cell>
          <cell r="AA251">
            <v>91.17647058823529</v>
          </cell>
          <cell r="AB251">
            <v>73.991275899672843</v>
          </cell>
          <cell r="AC251">
            <v>136.16257648332285</v>
          </cell>
          <cell r="AD251">
            <v>117.57832054275615</v>
          </cell>
          <cell r="AF251">
            <v>100.82326192161982</v>
          </cell>
          <cell r="AG251">
            <v>126.87044851303949</v>
          </cell>
        </row>
        <row r="252">
          <cell r="A252">
            <v>40428</v>
          </cell>
          <cell r="B252">
            <v>10.570930000000001</v>
          </cell>
          <cell r="C252">
            <v>45.54</v>
          </cell>
          <cell r="D252">
            <v>65.209599999999995</v>
          </cell>
          <cell r="E252">
            <v>33.787170000000003</v>
          </cell>
          <cell r="F252">
            <v>74.599999999999994</v>
          </cell>
          <cell r="G252">
            <v>1.54234</v>
          </cell>
          <cell r="H252">
            <v>19.600000000000001</v>
          </cell>
          <cell r="I252">
            <v>17.77</v>
          </cell>
          <cell r="J252">
            <v>32.049999999999997</v>
          </cell>
          <cell r="K252">
            <v>5.6280837000000004</v>
          </cell>
          <cell r="L252">
            <v>1.83</v>
          </cell>
          <cell r="M252">
            <v>13.26</v>
          </cell>
          <cell r="N252">
            <v>11.1178665</v>
          </cell>
          <cell r="O252">
            <v>12.681316000000001</v>
          </cell>
          <cell r="Q252">
            <v>76.473433661461357</v>
          </cell>
          <cell r="R252">
            <v>75.42232527326928</v>
          </cell>
          <cell r="S252">
            <v>125.16881866476047</v>
          </cell>
          <cell r="T252">
            <v>123.59200672069079</v>
          </cell>
          <cell r="U252">
            <v>99.679315873864226</v>
          </cell>
          <cell r="V252">
            <v>149.33572837500839</v>
          </cell>
          <cell r="W252">
            <v>100.20449897750512</v>
          </cell>
          <cell r="X252">
            <v>50.014072614691806</v>
          </cell>
          <cell r="Y252">
            <v>122.63248517313944</v>
          </cell>
          <cell r="Z252">
            <v>123.43087326921369</v>
          </cell>
          <cell r="AA252">
            <v>89.705882352941174</v>
          </cell>
          <cell r="AB252">
            <v>72.30098146128681</v>
          </cell>
          <cell r="AC252">
            <v>136.0285345239256</v>
          </cell>
          <cell r="AD252">
            <v>120.20702658489269</v>
          </cell>
          <cell r="AF252">
            <v>100.66336853481938</v>
          </cell>
          <cell r="AG252">
            <v>128.11778055440914</v>
          </cell>
        </row>
        <row r="253">
          <cell r="A253">
            <v>40429</v>
          </cell>
          <cell r="B253">
            <v>10.114336</v>
          </cell>
          <cell r="C253">
            <v>45.45</v>
          </cell>
          <cell r="D253">
            <v>64.827510000000004</v>
          </cell>
          <cell r="E253">
            <v>33.796104</v>
          </cell>
          <cell r="F253">
            <v>74.31</v>
          </cell>
          <cell r="G253">
            <v>1.5570870000000001</v>
          </cell>
          <cell r="H253">
            <v>19.61</v>
          </cell>
          <cell r="I253">
            <v>17.95</v>
          </cell>
          <cell r="J253">
            <v>31.69</v>
          </cell>
          <cell r="K253">
            <v>5.6496972999999997</v>
          </cell>
          <cell r="L253">
            <v>1.9</v>
          </cell>
          <cell r="M253">
            <v>13.6</v>
          </cell>
          <cell r="N253">
            <v>11.485782</v>
          </cell>
          <cell r="O253">
            <v>12.681369999999999</v>
          </cell>
          <cell r="Q253">
            <v>73.170289002550419</v>
          </cell>
          <cell r="R253">
            <v>75.273269294468363</v>
          </cell>
          <cell r="S253">
            <v>124.43540281918533</v>
          </cell>
          <cell r="T253">
            <v>123.62468690633648</v>
          </cell>
          <cell r="U253">
            <v>99.291822554783536</v>
          </cell>
          <cell r="V253">
            <v>150.7635938173533</v>
          </cell>
          <cell r="W253">
            <v>100.25562372188139</v>
          </cell>
          <cell r="X253">
            <v>50.520686743596954</v>
          </cell>
          <cell r="Y253">
            <v>121.25502200114788</v>
          </cell>
          <cell r="Z253">
            <v>123.90488639067658</v>
          </cell>
          <cell r="AA253">
            <v>93.137254901960773</v>
          </cell>
          <cell r="AB253">
            <v>74.154852780806976</v>
          </cell>
          <cell r="AC253">
            <v>140.53002824969013</v>
          </cell>
          <cell r="AD253">
            <v>120.20753845443646</v>
          </cell>
          <cell r="AF253">
            <v>100.81561591122899</v>
          </cell>
          <cell r="AG253">
            <v>130.3687833520633</v>
          </cell>
        </row>
        <row r="254">
          <cell r="A254">
            <v>40430</v>
          </cell>
          <cell r="B254">
            <v>10.462104999999999</v>
          </cell>
          <cell r="C254">
            <v>46.61</v>
          </cell>
          <cell r="D254">
            <v>64.466064000000003</v>
          </cell>
          <cell r="E254">
            <v>34.226703999999998</v>
          </cell>
          <cell r="F254">
            <v>75.790000000000006</v>
          </cell>
          <cell r="G254">
            <v>1.6032214</v>
          </cell>
          <cell r="H254">
            <v>19.739999999999998</v>
          </cell>
          <cell r="I254">
            <v>18.18</v>
          </cell>
          <cell r="J254">
            <v>32.369999999999997</v>
          </cell>
          <cell r="K254">
            <v>5.6939773999999996</v>
          </cell>
          <cell r="L254">
            <v>2.14</v>
          </cell>
          <cell r="M254">
            <v>13.1</v>
          </cell>
          <cell r="N254">
            <v>11.701509</v>
          </cell>
          <cell r="O254">
            <v>12.659697</v>
          </cell>
          <cell r="Q254">
            <v>75.686159370721697</v>
          </cell>
          <cell r="R254">
            <v>77.194435243458088</v>
          </cell>
          <cell r="S254">
            <v>123.74161281232891</v>
          </cell>
          <cell r="T254">
            <v>125.19980308487197</v>
          </cell>
          <cell r="U254">
            <v>101.26937466595405</v>
          </cell>
          <cell r="V254">
            <v>155.230516951775</v>
          </cell>
          <cell r="W254">
            <v>100.92024539877301</v>
          </cell>
          <cell r="X254">
            <v>51.168027019420201</v>
          </cell>
          <cell r="Y254">
            <v>123.85689688157642</v>
          </cell>
          <cell r="Z254">
            <v>124.87600403973502</v>
          </cell>
          <cell r="AA254">
            <v>104.90196078431373</v>
          </cell>
          <cell r="AB254">
            <v>71.428571428571431</v>
          </cell>
          <cell r="AC254">
            <v>143.16947599510448</v>
          </cell>
          <cell r="AD254">
            <v>120.00209866512954</v>
          </cell>
          <cell r="AF254">
            <v>102.95613397345829</v>
          </cell>
          <cell r="AG254">
            <v>131.585787330117</v>
          </cell>
        </row>
        <row r="255">
          <cell r="A255">
            <v>40431</v>
          </cell>
          <cell r="B255">
            <v>10.182235</v>
          </cell>
          <cell r="C255">
            <v>47.74</v>
          </cell>
          <cell r="D255">
            <v>65.756675999999999</v>
          </cell>
          <cell r="E255">
            <v>33.946587000000001</v>
          </cell>
          <cell r="F255">
            <v>76.650000000000006</v>
          </cell>
          <cell r="G255">
            <v>1.6041783999999999</v>
          </cell>
          <cell r="H255">
            <v>19.64</v>
          </cell>
          <cell r="I255">
            <v>18</v>
          </cell>
          <cell r="J255">
            <v>32.31</v>
          </cell>
          <cell r="K255">
            <v>5.6887100000000004</v>
          </cell>
          <cell r="L255">
            <v>2.39</v>
          </cell>
          <cell r="M255">
            <v>13.2</v>
          </cell>
          <cell r="N255">
            <v>11.820193</v>
          </cell>
          <cell r="O255">
            <v>12.687785</v>
          </cell>
          <cell r="Q255">
            <v>73.661491732317771</v>
          </cell>
          <cell r="R255">
            <v>79.065915866180859</v>
          </cell>
          <cell r="S255">
            <v>126.21892258565315</v>
          </cell>
          <cell r="T255">
            <v>124.17514721264062</v>
          </cell>
          <cell r="U255">
            <v>102.41849278460717</v>
          </cell>
          <cell r="V255">
            <v>155.32317764400557</v>
          </cell>
          <cell r="W255">
            <v>100.40899795501024</v>
          </cell>
          <cell r="X255">
            <v>50.661412890515059</v>
          </cell>
          <cell r="Y255">
            <v>123.62731968624449</v>
          </cell>
          <cell r="Z255">
            <v>124.76048340846613</v>
          </cell>
          <cell r="AA255">
            <v>117.15686274509804</v>
          </cell>
          <cell r="AB255">
            <v>71.973827699018528</v>
          </cell>
          <cell r="AC255">
            <v>144.62159008474907</v>
          </cell>
          <cell r="AD255">
            <v>120.26834666042565</v>
          </cell>
          <cell r="AF255">
            <v>104.12100435081315</v>
          </cell>
          <cell r="AG255">
            <v>132.44496837258737</v>
          </cell>
        </row>
        <row r="256">
          <cell r="A256">
            <v>40432</v>
          </cell>
          <cell r="B256">
            <v>10.182235</v>
          </cell>
          <cell r="C256">
            <v>47.74</v>
          </cell>
          <cell r="D256">
            <v>65.756675999999999</v>
          </cell>
          <cell r="E256">
            <v>33.946587000000001</v>
          </cell>
          <cell r="F256">
            <v>76.650000000000006</v>
          </cell>
          <cell r="G256">
            <v>1.6041783999999999</v>
          </cell>
          <cell r="H256">
            <v>19.64</v>
          </cell>
          <cell r="I256">
            <v>18</v>
          </cell>
          <cell r="J256">
            <v>32.31</v>
          </cell>
          <cell r="K256">
            <v>5.6887100000000004</v>
          </cell>
          <cell r="L256">
            <v>2.39</v>
          </cell>
          <cell r="M256">
            <v>13.2</v>
          </cell>
          <cell r="N256">
            <v>11.820193</v>
          </cell>
          <cell r="O256">
            <v>12.687785</v>
          </cell>
          <cell r="Q256">
            <v>73.661491732317771</v>
          </cell>
          <cell r="R256">
            <v>79.065915866180859</v>
          </cell>
          <cell r="S256">
            <v>126.21892258565315</v>
          </cell>
          <cell r="T256">
            <v>124.17514721264062</v>
          </cell>
          <cell r="U256">
            <v>102.41849278460717</v>
          </cell>
          <cell r="V256">
            <v>155.32317764400557</v>
          </cell>
          <cell r="W256">
            <v>100.40899795501024</v>
          </cell>
          <cell r="X256">
            <v>50.661412890515059</v>
          </cell>
          <cell r="Y256">
            <v>123.62731968624449</v>
          </cell>
          <cell r="Z256">
            <v>124.76048340846613</v>
          </cell>
          <cell r="AA256">
            <v>117.15686274509804</v>
          </cell>
          <cell r="AB256">
            <v>71.973827699018528</v>
          </cell>
          <cell r="AC256">
            <v>144.62159008474907</v>
          </cell>
          <cell r="AD256">
            <v>120.26834666042565</v>
          </cell>
          <cell r="AF256">
            <v>104.12100435081315</v>
          </cell>
          <cell r="AG256">
            <v>132.44496837258737</v>
          </cell>
        </row>
        <row r="257">
          <cell r="A257">
            <v>40433</v>
          </cell>
          <cell r="B257">
            <v>10.182235</v>
          </cell>
          <cell r="C257">
            <v>47.74</v>
          </cell>
          <cell r="D257">
            <v>65.756675999999999</v>
          </cell>
          <cell r="E257">
            <v>33.946587000000001</v>
          </cell>
          <cell r="F257">
            <v>76.650000000000006</v>
          </cell>
          <cell r="G257">
            <v>1.6041783999999999</v>
          </cell>
          <cell r="H257">
            <v>19.64</v>
          </cell>
          <cell r="I257">
            <v>18</v>
          </cell>
          <cell r="J257">
            <v>32.31</v>
          </cell>
          <cell r="K257">
            <v>5.6887100000000004</v>
          </cell>
          <cell r="L257">
            <v>2.39</v>
          </cell>
          <cell r="M257">
            <v>13.2</v>
          </cell>
          <cell r="N257">
            <v>11.820193</v>
          </cell>
          <cell r="O257">
            <v>12.687785</v>
          </cell>
          <cell r="Q257">
            <v>73.661491732317771</v>
          </cell>
          <cell r="R257">
            <v>79.065915866180859</v>
          </cell>
          <cell r="S257">
            <v>126.21892258565315</v>
          </cell>
          <cell r="T257">
            <v>124.17514721264062</v>
          </cell>
          <cell r="U257">
            <v>102.41849278460717</v>
          </cell>
          <cell r="V257">
            <v>155.32317764400557</v>
          </cell>
          <cell r="W257">
            <v>100.40899795501024</v>
          </cell>
          <cell r="X257">
            <v>50.661412890515059</v>
          </cell>
          <cell r="Y257">
            <v>123.62731968624449</v>
          </cell>
          <cell r="Z257">
            <v>124.76048340846613</v>
          </cell>
          <cell r="AA257">
            <v>117.15686274509804</v>
          </cell>
          <cell r="AB257">
            <v>71.973827699018528</v>
          </cell>
          <cell r="AC257">
            <v>144.62159008474907</v>
          </cell>
          <cell r="AD257">
            <v>120.26834666042565</v>
          </cell>
          <cell r="AF257">
            <v>104.12100435081315</v>
          </cell>
          <cell r="AG257">
            <v>132.44496837258737</v>
          </cell>
        </row>
        <row r="258">
          <cell r="A258">
            <v>40434</v>
          </cell>
          <cell r="B258">
            <v>10.390155999999999</v>
          </cell>
          <cell r="C258">
            <v>47.02</v>
          </cell>
          <cell r="D258">
            <v>65.759636</v>
          </cell>
          <cell r="E258">
            <v>34.073276999999997</v>
          </cell>
          <cell r="F258">
            <v>73.05</v>
          </cell>
          <cell r="G258">
            <v>1.5940728</v>
          </cell>
          <cell r="H258">
            <v>19.72</v>
          </cell>
          <cell r="I258">
            <v>18.170000000000002</v>
          </cell>
          <cell r="J258">
            <v>33.06</v>
          </cell>
          <cell r="K258">
            <v>5.7473473999999998</v>
          </cell>
          <cell r="L258">
            <v>2.58</v>
          </cell>
          <cell r="M258">
            <v>13.26</v>
          </cell>
          <cell r="N258">
            <v>11.940299</v>
          </cell>
          <cell r="O258">
            <v>12.721549</v>
          </cell>
          <cell r="Q258">
            <v>75.165657666660792</v>
          </cell>
          <cell r="R258">
            <v>77.873468035773442</v>
          </cell>
          <cell r="S258">
            <v>126.22460425987363</v>
          </cell>
          <cell r="T258">
            <v>124.63857375388227</v>
          </cell>
          <cell r="U258">
            <v>97.608230892570816</v>
          </cell>
          <cell r="V258">
            <v>154.34471171777238</v>
          </cell>
          <cell r="W258">
            <v>100.81799591002046</v>
          </cell>
          <cell r="X258">
            <v>51.13988179003659</v>
          </cell>
          <cell r="Y258">
            <v>126.49703462789364</v>
          </cell>
          <cell r="Z258">
            <v>126.04647449780192</v>
          </cell>
          <cell r="AA258">
            <v>126.47058823529412</v>
          </cell>
          <cell r="AB258">
            <v>72.30098146128681</v>
          </cell>
          <cell r="AC258">
            <v>146.09110252830382</v>
          </cell>
          <cell r="AD258">
            <v>120.58839783221353</v>
          </cell>
          <cell r="AF258">
            <v>104.92735023740558</v>
          </cell>
          <cell r="AG258">
            <v>133.33975018025868</v>
          </cell>
        </row>
        <row r="259">
          <cell r="A259">
            <v>40435</v>
          </cell>
          <cell r="B259">
            <v>10.319553000000001</v>
          </cell>
          <cell r="C259">
            <v>47.48</v>
          </cell>
          <cell r="D259">
            <v>68.396649999999994</v>
          </cell>
          <cell r="E259">
            <v>35.137577</v>
          </cell>
          <cell r="F259">
            <v>74.819999999999993</v>
          </cell>
          <cell r="G259">
            <v>1.6058231999999999</v>
          </cell>
          <cell r="H259">
            <v>20</v>
          </cell>
          <cell r="I259">
            <v>17.329999999999998</v>
          </cell>
          <cell r="J259">
            <v>33.1</v>
          </cell>
          <cell r="K259">
            <v>5.7988749999999998</v>
          </cell>
          <cell r="L259">
            <v>2.52</v>
          </cell>
          <cell r="M259">
            <v>13.3</v>
          </cell>
          <cell r="N259">
            <v>11.89395</v>
          </cell>
          <cell r="O259">
            <v>12.778672</v>
          </cell>
          <cell r="Q259">
            <v>74.654893350105851</v>
          </cell>
          <cell r="R259">
            <v>78.635309705200385</v>
          </cell>
          <cell r="S259">
            <v>131.28631184867089</v>
          </cell>
          <cell r="T259">
            <v>128.53173712781481</v>
          </cell>
          <cell r="U259">
            <v>99.973276322822002</v>
          </cell>
          <cell r="V259">
            <v>155.48243397272114</v>
          </cell>
          <cell r="W259">
            <v>102.24948875255623</v>
          </cell>
          <cell r="X259">
            <v>48.775682521812548</v>
          </cell>
          <cell r="Y259">
            <v>126.65008609144826</v>
          </cell>
          <cell r="Z259">
            <v>127.17653883310433</v>
          </cell>
          <cell r="AA259">
            <v>123.52941176470588</v>
          </cell>
          <cell r="AB259">
            <v>72.519083969465655</v>
          </cell>
          <cell r="AC259">
            <v>145.52401651889281</v>
          </cell>
          <cell r="AD259">
            <v>121.12987049795333</v>
          </cell>
          <cell r="AF259">
            <v>105.78868785503566</v>
          </cell>
          <cell r="AG259">
            <v>133.32694350842308</v>
          </cell>
        </row>
        <row r="260">
          <cell r="A260">
            <v>40436</v>
          </cell>
          <cell r="B260">
            <v>10.399706999999999</v>
          </cell>
          <cell r="C260">
            <v>48.43</v>
          </cell>
          <cell r="D260">
            <v>67.141525000000001</v>
          </cell>
          <cell r="E260">
            <v>33.734237999999998</v>
          </cell>
          <cell r="F260">
            <v>75.45</v>
          </cell>
          <cell r="G260">
            <v>1.6376280999999999</v>
          </cell>
          <cell r="H260">
            <v>20.41</v>
          </cell>
          <cell r="I260">
            <v>16.88</v>
          </cell>
          <cell r="J260">
            <v>33.43</v>
          </cell>
          <cell r="K260">
            <v>5.8257184000000004</v>
          </cell>
          <cell r="L260">
            <v>2.46</v>
          </cell>
          <cell r="M260">
            <v>13.42</v>
          </cell>
          <cell r="N260">
            <v>11.977097499999999</v>
          </cell>
          <cell r="O260">
            <v>12.824259</v>
          </cell>
          <cell r="Q260">
            <v>75.234752605791087</v>
          </cell>
          <cell r="R260">
            <v>80.208678370321294</v>
          </cell>
          <cell r="S260">
            <v>128.8771188230028</v>
          </cell>
          <cell r="T260">
            <v>123.39838375375571</v>
          </cell>
          <cell r="U260">
            <v>100.81507215392837</v>
          </cell>
          <cell r="V260">
            <v>158.56191573899468</v>
          </cell>
          <cell r="W260">
            <v>104.34560327198366</v>
          </cell>
          <cell r="X260">
            <v>47.509147199549673</v>
          </cell>
          <cell r="Y260">
            <v>127.91276066577386</v>
          </cell>
          <cell r="Z260">
            <v>127.76524797108586</v>
          </cell>
          <cell r="AA260">
            <v>120.58823529411764</v>
          </cell>
          <cell r="AB260">
            <v>73.173391494002189</v>
          </cell>
          <cell r="AC260">
            <v>146.54133693502914</v>
          </cell>
          <cell r="AD260">
            <v>121.56199266263448</v>
          </cell>
          <cell r="AF260">
            <v>105.69919227852556</v>
          </cell>
          <cell r="AG260">
            <v>134.05166479883181</v>
          </cell>
        </row>
        <row r="261">
          <cell r="A261">
            <v>40437</v>
          </cell>
          <cell r="B261">
            <v>10.092879999999999</v>
          </cell>
          <cell r="C261">
            <v>47.8</v>
          </cell>
          <cell r="D261">
            <v>66.651110000000003</v>
          </cell>
          <cell r="E261">
            <v>33.652389999999997</v>
          </cell>
          <cell r="F261">
            <v>74.52</v>
          </cell>
          <cell r="G261">
            <v>1.6982756000000001</v>
          </cell>
          <cell r="H261">
            <v>20.34</v>
          </cell>
          <cell r="I261">
            <v>16.64</v>
          </cell>
          <cell r="J261">
            <v>33.270000000000003</v>
          </cell>
          <cell r="K261">
            <v>5.8343596</v>
          </cell>
          <cell r="L261">
            <v>2.4900000000000002</v>
          </cell>
          <cell r="M261">
            <v>13.29</v>
          </cell>
          <cell r="N261">
            <v>12.054859</v>
          </cell>
          <cell r="O261">
            <v>12.811927000000001</v>
          </cell>
          <cell r="Q261">
            <v>73.015069547626368</v>
          </cell>
          <cell r="R261">
            <v>79.165286518714794</v>
          </cell>
          <cell r="S261">
            <v>127.935774815288</v>
          </cell>
          <cell r="T261">
            <v>123.09898730930431</v>
          </cell>
          <cell r="U261">
            <v>99.572421165152321</v>
          </cell>
          <cell r="V261">
            <v>164.43405715179819</v>
          </cell>
          <cell r="W261">
            <v>103.98773006134969</v>
          </cell>
          <cell r="X261">
            <v>46.833661694342808</v>
          </cell>
          <cell r="Y261">
            <v>127.3005548115554</v>
          </cell>
          <cell r="Z261">
            <v>127.95476023119916</v>
          </cell>
          <cell r="AA261">
            <v>122.05882352941177</v>
          </cell>
          <cell r="AB261">
            <v>72.464558342420943</v>
          </cell>
          <cell r="AC261">
            <v>147.49275894458307</v>
          </cell>
          <cell r="AD261">
            <v>121.4450968253377</v>
          </cell>
          <cell r="AF261">
            <v>105.65180709818031</v>
          </cell>
          <cell r="AG261">
            <v>134.46892788496038</v>
          </cell>
        </row>
        <row r="262">
          <cell r="A262">
            <v>40438</v>
          </cell>
          <cell r="B262">
            <v>10.336213000000001</v>
          </cell>
          <cell r="C262">
            <v>48.27</v>
          </cell>
          <cell r="D262">
            <v>67.206339999999997</v>
          </cell>
          <cell r="E262">
            <v>32.96255</v>
          </cell>
          <cell r="F262">
            <v>74.959999999999994</v>
          </cell>
          <cell r="G262">
            <v>1.6913636000000001</v>
          </cell>
          <cell r="H262">
            <v>20.21</v>
          </cell>
          <cell r="I262">
            <v>16.190000000000001</v>
          </cell>
          <cell r="J262">
            <v>33.06</v>
          </cell>
          <cell r="K262">
            <v>5.838133</v>
          </cell>
          <cell r="L262">
            <v>2.4900000000000002</v>
          </cell>
          <cell r="M262">
            <v>12.72</v>
          </cell>
          <cell r="N262">
            <v>12.215164</v>
          </cell>
          <cell r="O262">
            <v>13.054375</v>
          </cell>
          <cell r="Q262">
            <v>74.77541703201463</v>
          </cell>
          <cell r="R262">
            <v>79.943689963564097</v>
          </cell>
          <cell r="S262">
            <v>129.00153021307042</v>
          </cell>
          <cell r="T262">
            <v>120.57558242170346</v>
          </cell>
          <cell r="U262">
            <v>100.16034206306787</v>
          </cell>
          <cell r="V262">
            <v>163.76480876653417</v>
          </cell>
          <cell r="W262">
            <v>103.32310838445808</v>
          </cell>
          <cell r="X262">
            <v>45.567126372079933</v>
          </cell>
          <cell r="Y262">
            <v>126.49703462789364</v>
          </cell>
          <cell r="Z262">
            <v>128.0375155848898</v>
          </cell>
          <cell r="AA262">
            <v>122.05882352941177</v>
          </cell>
          <cell r="AB262">
            <v>69.356597600872419</v>
          </cell>
          <cell r="AC262">
            <v>149.45411135215673</v>
          </cell>
          <cell r="AD262">
            <v>123.74327732816992</v>
          </cell>
          <cell r="AF262">
            <v>105.25513137996336</v>
          </cell>
          <cell r="AG262">
            <v>136.59869434016332</v>
          </cell>
        </row>
        <row r="263">
          <cell r="A263">
            <v>40439</v>
          </cell>
          <cell r="B263">
            <v>10.336213000000001</v>
          </cell>
          <cell r="C263">
            <v>48.27</v>
          </cell>
          <cell r="D263">
            <v>67.206339999999997</v>
          </cell>
          <cell r="E263">
            <v>32.96255</v>
          </cell>
          <cell r="F263">
            <v>74.959999999999994</v>
          </cell>
          <cell r="G263">
            <v>1.6913636000000001</v>
          </cell>
          <cell r="H263">
            <v>20.21</v>
          </cell>
          <cell r="I263">
            <v>16.190000000000001</v>
          </cell>
          <cell r="J263">
            <v>33.06</v>
          </cell>
          <cell r="K263">
            <v>5.838133</v>
          </cell>
          <cell r="L263">
            <v>2.4900000000000002</v>
          </cell>
          <cell r="M263">
            <v>12.72</v>
          </cell>
          <cell r="N263">
            <v>12.215164</v>
          </cell>
          <cell r="O263">
            <v>13.054375</v>
          </cell>
          <cell r="Q263">
            <v>74.77541703201463</v>
          </cell>
          <cell r="R263">
            <v>79.943689963564097</v>
          </cell>
          <cell r="S263">
            <v>129.00153021307042</v>
          </cell>
          <cell r="T263">
            <v>120.57558242170346</v>
          </cell>
          <cell r="U263">
            <v>100.16034206306787</v>
          </cell>
          <cell r="V263">
            <v>163.76480876653417</v>
          </cell>
          <cell r="W263">
            <v>103.32310838445808</v>
          </cell>
          <cell r="X263">
            <v>45.567126372079933</v>
          </cell>
          <cell r="Y263">
            <v>126.49703462789364</v>
          </cell>
          <cell r="Z263">
            <v>128.0375155848898</v>
          </cell>
          <cell r="AA263">
            <v>122.05882352941177</v>
          </cell>
          <cell r="AB263">
            <v>69.356597600872419</v>
          </cell>
          <cell r="AC263">
            <v>149.45411135215673</v>
          </cell>
          <cell r="AD263">
            <v>123.74327732816992</v>
          </cell>
          <cell r="AF263">
            <v>105.25513137996336</v>
          </cell>
          <cell r="AG263">
            <v>136.59869434016332</v>
          </cell>
        </row>
        <row r="264">
          <cell r="A264">
            <v>40440</v>
          </cell>
          <cell r="B264">
            <v>10.336213000000001</v>
          </cell>
          <cell r="C264">
            <v>48.27</v>
          </cell>
          <cell r="D264">
            <v>67.206339999999997</v>
          </cell>
          <cell r="E264">
            <v>32.96255</v>
          </cell>
          <cell r="F264">
            <v>74.959999999999994</v>
          </cell>
          <cell r="G264">
            <v>1.6913636000000001</v>
          </cell>
          <cell r="H264">
            <v>20.21</v>
          </cell>
          <cell r="I264">
            <v>16.190000000000001</v>
          </cell>
          <cell r="J264">
            <v>33.06</v>
          </cell>
          <cell r="K264">
            <v>5.838133</v>
          </cell>
          <cell r="L264">
            <v>2.4900000000000002</v>
          </cell>
          <cell r="M264">
            <v>12.72</v>
          </cell>
          <cell r="N264">
            <v>12.215164</v>
          </cell>
          <cell r="O264">
            <v>13.054375</v>
          </cell>
          <cell r="Q264">
            <v>74.77541703201463</v>
          </cell>
          <cell r="R264">
            <v>79.943689963564097</v>
          </cell>
          <cell r="S264">
            <v>129.00153021307042</v>
          </cell>
          <cell r="T264">
            <v>120.57558242170346</v>
          </cell>
          <cell r="U264">
            <v>100.16034206306787</v>
          </cell>
          <cell r="V264">
            <v>163.76480876653417</v>
          </cell>
          <cell r="W264">
            <v>103.32310838445808</v>
          </cell>
          <cell r="X264">
            <v>45.567126372079933</v>
          </cell>
          <cell r="Y264">
            <v>126.49703462789364</v>
          </cell>
          <cell r="Z264">
            <v>128.0375155848898</v>
          </cell>
          <cell r="AA264">
            <v>122.05882352941177</v>
          </cell>
          <cell r="AB264">
            <v>69.356597600872419</v>
          </cell>
          <cell r="AC264">
            <v>149.45411135215673</v>
          </cell>
          <cell r="AD264">
            <v>123.74327732816992</v>
          </cell>
          <cell r="AF264">
            <v>105.25513137996336</v>
          </cell>
          <cell r="AG264">
            <v>136.59869434016332</v>
          </cell>
        </row>
        <row r="265">
          <cell r="A265">
            <v>40441</v>
          </cell>
          <cell r="B265">
            <v>10.434049999999999</v>
          </cell>
          <cell r="C265">
            <v>49.71</v>
          </cell>
          <cell r="D265">
            <v>67.288634999999999</v>
          </cell>
          <cell r="E265">
            <v>33.002920000000003</v>
          </cell>
          <cell r="F265">
            <v>76.510000000000005</v>
          </cell>
          <cell r="G265">
            <v>1.6867832</v>
          </cell>
          <cell r="H265">
            <v>20.47</v>
          </cell>
          <cell r="I265">
            <v>16.39</v>
          </cell>
          <cell r="J265">
            <v>33.159999999999997</v>
          </cell>
          <cell r="K265">
            <v>5.8999804999999999</v>
          </cell>
          <cell r="L265">
            <v>2.4700000000000002</v>
          </cell>
          <cell r="M265">
            <v>13.2</v>
          </cell>
          <cell r="N265">
            <v>12.152799</v>
          </cell>
          <cell r="O265">
            <v>13.212600999999999</v>
          </cell>
          <cell r="Q265">
            <v>75.483200673485754</v>
          </cell>
          <cell r="R265">
            <v>82.328585624378931</v>
          </cell>
          <cell r="S265">
            <v>129.1594941927915</v>
          </cell>
          <cell r="T265">
            <v>120.72325413588712</v>
          </cell>
          <cell r="U265">
            <v>102.2314270443613</v>
          </cell>
          <cell r="V265">
            <v>163.32131552234102</v>
          </cell>
          <cell r="W265">
            <v>104.65235173824129</v>
          </cell>
          <cell r="X265">
            <v>46.130030959752318</v>
          </cell>
          <cell r="Y265">
            <v>126.87966328678016</v>
          </cell>
          <cell r="Z265">
            <v>129.39390815853218</v>
          </cell>
          <cell r="AA265">
            <v>121.07843137254903</v>
          </cell>
          <cell r="AB265">
            <v>71.973827699018528</v>
          </cell>
          <cell r="AC265">
            <v>148.69106751136368</v>
          </cell>
          <cell r="AD265">
            <v>125.24311196587006</v>
          </cell>
          <cell r="AF265">
            <v>106.11295753400992</v>
          </cell>
          <cell r="AG265">
            <v>136.96708973861686</v>
          </cell>
        </row>
        <row r="266">
          <cell r="A266">
            <v>40442</v>
          </cell>
          <cell r="B266">
            <v>10.309343999999999</v>
          </cell>
          <cell r="C266">
            <v>49.06</v>
          </cell>
          <cell r="D266">
            <v>68.088589999999996</v>
          </cell>
          <cell r="E266">
            <v>33.821632000000001</v>
          </cell>
          <cell r="F266">
            <v>76.38</v>
          </cell>
          <cell r="G266">
            <v>1.6818078999999999</v>
          </cell>
          <cell r="H266">
            <v>20.7</v>
          </cell>
          <cell r="I266">
            <v>14.65</v>
          </cell>
          <cell r="J266">
            <v>32.42</v>
          </cell>
          <cell r="K266">
            <v>5.8937606999999996</v>
          </cell>
          <cell r="L266">
            <v>2.4700000000000002</v>
          </cell>
          <cell r="M266">
            <v>12.81</v>
          </cell>
          <cell r="N266">
            <v>11.676975000000001</v>
          </cell>
          <cell r="O266">
            <v>12.746401000000001</v>
          </cell>
          <cell r="Q266">
            <v>74.581038231942173</v>
          </cell>
          <cell r="R266">
            <v>81.252070221927781</v>
          </cell>
          <cell r="S266">
            <v>130.69499544314368</v>
          </cell>
          <cell r="T266">
            <v>123.71806722636821</v>
          </cell>
          <cell r="U266">
            <v>102.05772314270443</v>
          </cell>
          <cell r="V266">
            <v>162.83958642928488</v>
          </cell>
          <cell r="W266">
            <v>105.82822085889572</v>
          </cell>
          <cell r="X266">
            <v>41.232761047002533</v>
          </cell>
          <cell r="Y266">
            <v>124.04821121101971</v>
          </cell>
          <cell r="Z266">
            <v>129.25750021108823</v>
          </cell>
          <cell r="AA266">
            <v>121.07843137254903</v>
          </cell>
          <cell r="AB266">
            <v>69.847328244274806</v>
          </cell>
          <cell r="AC266">
            <v>142.86929933207207</v>
          </cell>
          <cell r="AD266">
            <v>120.82397157114471</v>
          </cell>
          <cell r="AF266">
            <v>105.5363278033501</v>
          </cell>
          <cell r="AG266">
            <v>131.84663545160839</v>
          </cell>
        </row>
        <row r="267">
          <cell r="A267">
            <v>40443</v>
          </cell>
          <cell r="B267">
            <v>10.275494999999999</v>
          </cell>
          <cell r="C267">
            <v>48.93</v>
          </cell>
          <cell r="D267">
            <v>68.536934000000002</v>
          </cell>
          <cell r="E267">
            <v>34.552554999999998</v>
          </cell>
          <cell r="F267">
            <v>76.25</v>
          </cell>
          <cell r="G267">
            <v>1.6970246</v>
          </cell>
          <cell r="H267">
            <v>20.83</v>
          </cell>
          <cell r="I267">
            <v>13.99</v>
          </cell>
          <cell r="J267">
            <v>32.61</v>
          </cell>
          <cell r="K267">
            <v>5.9605519999999999</v>
          </cell>
          <cell r="L267">
            <v>2.4</v>
          </cell>
          <cell r="M267">
            <v>12.41</v>
          </cell>
          <cell r="N267">
            <v>11.460152000000001</v>
          </cell>
          <cell r="O267">
            <v>12.681791</v>
          </cell>
          <cell r="Q267">
            <v>74.336163915679862</v>
          </cell>
          <cell r="R267">
            <v>81.036767141437565</v>
          </cell>
          <cell r="S267">
            <v>131.55558481703088</v>
          </cell>
          <cell r="T267">
            <v>126.39175195131872</v>
          </cell>
          <cell r="U267">
            <v>101.88401924104757</v>
          </cell>
          <cell r="V267">
            <v>164.31293016540275</v>
          </cell>
          <cell r="W267">
            <v>106.49284253578732</v>
          </cell>
          <cell r="X267">
            <v>39.375175907683648</v>
          </cell>
          <cell r="Y267">
            <v>124.77520566290414</v>
          </cell>
          <cell r="Z267">
            <v>130.72231646564853</v>
          </cell>
          <cell r="AA267">
            <v>117.64705882352942</v>
          </cell>
          <cell r="AB267">
            <v>67.666303162486372</v>
          </cell>
          <cell r="AC267">
            <v>140.21644188490976</v>
          </cell>
          <cell r="AD267">
            <v>120.2115291410649</v>
          </cell>
          <cell r="AF267">
            <v>105.51634331582973</v>
          </cell>
          <cell r="AG267">
            <v>130.21398551298734</v>
          </cell>
        </row>
        <row r="268">
          <cell r="A268">
            <v>40444</v>
          </cell>
          <cell r="B268">
            <v>10.422756</v>
          </cell>
          <cell r="C268">
            <v>48.78</v>
          </cell>
          <cell r="D268">
            <v>68.687349999999995</v>
          </cell>
          <cell r="E268">
            <v>34.628390000000003</v>
          </cell>
          <cell r="F268">
            <v>75.900000000000006</v>
          </cell>
          <cell r="G268">
            <v>1.6512102</v>
          </cell>
          <cell r="H268">
            <v>20.5</v>
          </cell>
          <cell r="I268">
            <v>13.66</v>
          </cell>
          <cell r="J268">
            <v>32.35</v>
          </cell>
          <cell r="K268">
            <v>5.9300249999999997</v>
          </cell>
          <cell r="L268">
            <v>2.37</v>
          </cell>
          <cell r="M268">
            <v>12.26</v>
          </cell>
          <cell r="N268">
            <v>11.446168</v>
          </cell>
          <cell r="O268">
            <v>12.648887999999999</v>
          </cell>
          <cell r="Q268">
            <v>75.40149632393728</v>
          </cell>
          <cell r="R268">
            <v>80.788340510102685</v>
          </cell>
          <cell r="S268">
            <v>131.8443060026888</v>
          </cell>
          <cell r="T268">
            <v>126.66915310180468</v>
          </cell>
          <cell r="U268">
            <v>101.41635489043293</v>
          </cell>
          <cell r="V268">
            <v>159.87699075252101</v>
          </cell>
          <cell r="W268">
            <v>104.80572597137015</v>
          </cell>
          <cell r="X268">
            <v>38.446383338024205</v>
          </cell>
          <cell r="Y268">
            <v>123.78037114979912</v>
          </cell>
          <cell r="Z268">
            <v>130.05282139963001</v>
          </cell>
          <cell r="AA268">
            <v>116.1764705882353</v>
          </cell>
          <cell r="AB268">
            <v>66.848418756815704</v>
          </cell>
          <cell r="AC268">
            <v>140.04534583633043</v>
          </cell>
          <cell r="AD268">
            <v>119.89963944478079</v>
          </cell>
          <cell r="AF268">
            <v>104.67556939878015</v>
          </cell>
          <cell r="AG268">
            <v>129.9724926405556</v>
          </cell>
        </row>
        <row r="269">
          <cell r="A269">
            <v>40445</v>
          </cell>
          <cell r="B269">
            <v>10.548999999999999</v>
          </cell>
          <cell r="C269">
            <v>49.14</v>
          </cell>
          <cell r="D269">
            <v>67.204939999999993</v>
          </cell>
          <cell r="E269">
            <v>34.065544000000003</v>
          </cell>
          <cell r="F269">
            <v>76.83</v>
          </cell>
          <cell r="G269">
            <v>1.6560173</v>
          </cell>
          <cell r="H269">
            <v>20.83</v>
          </cell>
          <cell r="I269">
            <v>13.92</v>
          </cell>
          <cell r="J269">
            <v>32.83</v>
          </cell>
          <cell r="K269">
            <v>5.9745699999999999</v>
          </cell>
          <cell r="L269">
            <v>2.4500000000000002</v>
          </cell>
          <cell r="M269">
            <v>12.27</v>
          </cell>
          <cell r="N269">
            <v>11.386862000000001</v>
          </cell>
          <cell r="O269">
            <v>12.379562999999999</v>
          </cell>
          <cell r="Q269">
            <v>76.314785141397749</v>
          </cell>
          <cell r="R269">
            <v>81.384564425306394</v>
          </cell>
          <cell r="S269">
            <v>128.99884293472292</v>
          </cell>
          <cell r="T269">
            <v>124.61028677429888</v>
          </cell>
          <cell r="U269">
            <v>102.65900587920898</v>
          </cell>
          <cell r="V269">
            <v>160.34243402694267</v>
          </cell>
          <cell r="W269">
            <v>106.49284253578732</v>
          </cell>
          <cell r="X269">
            <v>39.178159301998313</v>
          </cell>
          <cell r="Y269">
            <v>125.61698871245454</v>
          </cell>
          <cell r="Z269">
            <v>131.02974863505423</v>
          </cell>
          <cell r="AA269">
            <v>120.0980392156863</v>
          </cell>
          <cell r="AB269">
            <v>66.902944383860401</v>
          </cell>
          <cell r="AC269">
            <v>139.31972925616409</v>
          </cell>
          <cell r="AD269">
            <v>117.34669009512527</v>
          </cell>
          <cell r="AF269">
            <v>105.30238683055988</v>
          </cell>
          <cell r="AG269">
            <v>128.3332096756447</v>
          </cell>
        </row>
        <row r="270">
          <cell r="A270">
            <v>40446</v>
          </cell>
          <cell r="B270">
            <v>10.548999999999999</v>
          </cell>
          <cell r="C270">
            <v>49.14</v>
          </cell>
          <cell r="D270">
            <v>67.204939999999993</v>
          </cell>
          <cell r="E270">
            <v>34.065544000000003</v>
          </cell>
          <cell r="F270">
            <v>76.83</v>
          </cell>
          <cell r="G270">
            <v>1.6560173</v>
          </cell>
          <cell r="H270">
            <v>20.83</v>
          </cell>
          <cell r="I270">
            <v>13.92</v>
          </cell>
          <cell r="J270">
            <v>32.83</v>
          </cell>
          <cell r="K270">
            <v>5.9745699999999999</v>
          </cell>
          <cell r="L270">
            <v>2.4500000000000002</v>
          </cell>
          <cell r="M270">
            <v>12.27</v>
          </cell>
          <cell r="N270">
            <v>11.386862000000001</v>
          </cell>
          <cell r="O270">
            <v>12.379562999999999</v>
          </cell>
          <cell r="Q270">
            <v>76.314785141397749</v>
          </cell>
          <cell r="R270">
            <v>81.384564425306394</v>
          </cell>
          <cell r="S270">
            <v>128.99884293472292</v>
          </cell>
          <cell r="T270">
            <v>124.61028677429888</v>
          </cell>
          <cell r="U270">
            <v>102.65900587920898</v>
          </cell>
          <cell r="V270">
            <v>160.34243402694267</v>
          </cell>
          <cell r="W270">
            <v>106.49284253578732</v>
          </cell>
          <cell r="X270">
            <v>39.178159301998313</v>
          </cell>
          <cell r="Y270">
            <v>125.61698871245454</v>
          </cell>
          <cell r="Z270">
            <v>131.02974863505423</v>
          </cell>
          <cell r="AA270">
            <v>120.0980392156863</v>
          </cell>
          <cell r="AB270">
            <v>66.902944383860401</v>
          </cell>
          <cell r="AC270">
            <v>139.31972925616409</v>
          </cell>
          <cell r="AD270">
            <v>117.34669009512527</v>
          </cell>
          <cell r="AF270">
            <v>105.30238683055988</v>
          </cell>
          <cell r="AG270">
            <v>128.3332096756447</v>
          </cell>
        </row>
        <row r="271">
          <cell r="A271">
            <v>40447</v>
          </cell>
          <cell r="B271">
            <v>10.548999999999999</v>
          </cell>
          <cell r="C271">
            <v>49.14</v>
          </cell>
          <cell r="D271">
            <v>67.204939999999993</v>
          </cell>
          <cell r="E271">
            <v>34.065544000000003</v>
          </cell>
          <cell r="F271">
            <v>76.83</v>
          </cell>
          <cell r="G271">
            <v>1.6560173</v>
          </cell>
          <cell r="H271">
            <v>20.83</v>
          </cell>
          <cell r="I271">
            <v>13.92</v>
          </cell>
          <cell r="J271">
            <v>32.83</v>
          </cell>
          <cell r="K271">
            <v>5.9745699999999999</v>
          </cell>
          <cell r="L271">
            <v>2.4500000000000002</v>
          </cell>
          <cell r="M271">
            <v>12.27</v>
          </cell>
          <cell r="N271">
            <v>11.386862000000001</v>
          </cell>
          <cell r="O271">
            <v>12.379562999999999</v>
          </cell>
          <cell r="Q271">
            <v>76.314785141397749</v>
          </cell>
          <cell r="R271">
            <v>81.384564425306394</v>
          </cell>
          <cell r="S271">
            <v>128.99884293472292</v>
          </cell>
          <cell r="T271">
            <v>124.61028677429888</v>
          </cell>
          <cell r="U271">
            <v>102.65900587920898</v>
          </cell>
          <cell r="V271">
            <v>160.34243402694267</v>
          </cell>
          <cell r="W271">
            <v>106.49284253578732</v>
          </cell>
          <cell r="X271">
            <v>39.178159301998313</v>
          </cell>
          <cell r="Y271">
            <v>125.61698871245454</v>
          </cell>
          <cell r="Z271">
            <v>131.02974863505423</v>
          </cell>
          <cell r="AA271">
            <v>120.0980392156863</v>
          </cell>
          <cell r="AB271">
            <v>66.902944383860401</v>
          </cell>
          <cell r="AC271">
            <v>139.31972925616409</v>
          </cell>
          <cell r="AD271">
            <v>117.34669009512527</v>
          </cell>
          <cell r="AF271">
            <v>105.30238683055988</v>
          </cell>
          <cell r="AG271">
            <v>128.3332096756447</v>
          </cell>
        </row>
        <row r="272">
          <cell r="A272">
            <v>40448</v>
          </cell>
          <cell r="B272">
            <v>10.610309000000001</v>
          </cell>
          <cell r="C272">
            <v>48.63</v>
          </cell>
          <cell r="D272">
            <v>69.456810000000004</v>
          </cell>
          <cell r="E272">
            <v>34.479073</v>
          </cell>
          <cell r="F272">
            <v>76.3</v>
          </cell>
          <cell r="G272">
            <v>1.664712</v>
          </cell>
          <cell r="H272">
            <v>21.03</v>
          </cell>
          <cell r="I272">
            <v>13.76</v>
          </cell>
          <cell r="J272">
            <v>32.86</v>
          </cell>
          <cell r="K272">
            <v>5.7909389999999998</v>
          </cell>
          <cell r="L272">
            <v>2.4</v>
          </cell>
          <cell r="M272">
            <v>12.1</v>
          </cell>
          <cell r="N272">
            <v>11.853367</v>
          </cell>
          <cell r="O272">
            <v>12.472616</v>
          </cell>
          <cell r="Q272">
            <v>76.758313737684986</v>
          </cell>
          <cell r="R272">
            <v>80.539913878767805</v>
          </cell>
          <cell r="S272">
            <v>133.32127257217837</v>
          </cell>
          <cell r="T272">
            <v>126.12295797307642</v>
          </cell>
          <cell r="U272">
            <v>101.9508284339925</v>
          </cell>
          <cell r="V272">
            <v>161.1842907884234</v>
          </cell>
          <cell r="W272">
            <v>107.5153374233129</v>
          </cell>
          <cell r="X272">
            <v>38.727835631860394</v>
          </cell>
          <cell r="Y272">
            <v>125.73177731012053</v>
          </cell>
          <cell r="Z272">
            <v>127.00249248580772</v>
          </cell>
          <cell r="AA272">
            <v>117.64705882352942</v>
          </cell>
          <cell r="AB272">
            <v>65.976008724100325</v>
          </cell>
          <cell r="AC272">
            <v>145.02747826521036</v>
          </cell>
          <cell r="AD272">
            <v>118.22874558879835</v>
          </cell>
          <cell r="AF272">
            <v>105.2065073152379</v>
          </cell>
          <cell r="AG272">
            <v>131.62811192700434</v>
          </cell>
        </row>
        <row r="273">
          <cell r="A273">
            <v>40449</v>
          </cell>
          <cell r="B273">
            <v>10.739894</v>
          </cell>
          <cell r="C273">
            <v>49.81</v>
          </cell>
          <cell r="D273">
            <v>68.747765000000001</v>
          </cell>
          <cell r="E273">
            <v>34.838560000000001</v>
          </cell>
          <cell r="F273">
            <v>78.13</v>
          </cell>
          <cell r="G273">
            <v>1.6592165999999999</v>
          </cell>
          <cell r="H273">
            <v>20.94</v>
          </cell>
          <cell r="I273">
            <v>13.59</v>
          </cell>
          <cell r="J273">
            <v>32.93</v>
          </cell>
          <cell r="K273">
            <v>5.808999</v>
          </cell>
          <cell r="L273">
            <v>2.39</v>
          </cell>
          <cell r="M273">
            <v>12.37</v>
          </cell>
          <cell r="N273">
            <v>11.879682000000001</v>
          </cell>
          <cell r="O273">
            <v>12.371255</v>
          </cell>
          <cell r="Q273">
            <v>77.695772400358976</v>
          </cell>
          <cell r="R273">
            <v>82.49420337860218</v>
          </cell>
          <cell r="S273">
            <v>131.96027166080711</v>
          </cell>
          <cell r="T273">
            <v>127.43794587292128</v>
          </cell>
          <cell r="U273">
            <v>104.39604489577765</v>
          </cell>
          <cell r="V273">
            <v>160.65220346545181</v>
          </cell>
          <cell r="W273">
            <v>107.05521472392638</v>
          </cell>
          <cell r="X273">
            <v>38.249366732338871</v>
          </cell>
          <cell r="Y273">
            <v>125.99961737134112</v>
          </cell>
          <cell r="Z273">
            <v>127.39857074087028</v>
          </cell>
          <cell r="AA273">
            <v>117.15686274509804</v>
          </cell>
          <cell r="AB273">
            <v>67.448200654307527</v>
          </cell>
          <cell r="AC273">
            <v>145.34944569358316</v>
          </cell>
          <cell r="AD273">
            <v>117.26793801790653</v>
          </cell>
          <cell r="AF273">
            <v>105.66202288681677</v>
          </cell>
          <cell r="AG273">
            <v>131.30869185574485</v>
          </cell>
        </row>
        <row r="274">
          <cell r="A274">
            <v>40450</v>
          </cell>
          <cell r="B274">
            <v>10.685312</v>
          </cell>
          <cell r="C274">
            <v>49.62</v>
          </cell>
          <cell r="D274">
            <v>70.181730000000002</v>
          </cell>
          <cell r="E274">
            <v>35.533237</v>
          </cell>
          <cell r="F274">
            <v>78.150000000000006</v>
          </cell>
          <cell r="G274">
            <v>1.6710341</v>
          </cell>
          <cell r="H274">
            <v>21.03</v>
          </cell>
          <cell r="I274">
            <v>13.75</v>
          </cell>
          <cell r="J274">
            <v>32.22</v>
          </cell>
          <cell r="K274">
            <v>5.8318750000000001</v>
          </cell>
          <cell r="L274">
            <v>2.33</v>
          </cell>
          <cell r="M274">
            <v>12.08</v>
          </cell>
          <cell r="N274">
            <v>11.94904</v>
          </cell>
          <cell r="O274">
            <v>12.476203999999999</v>
          </cell>
          <cell r="Q274">
            <v>77.300909038657608</v>
          </cell>
          <cell r="R274">
            <v>82.179529645578</v>
          </cell>
          <cell r="S274">
            <v>134.71274530052602</v>
          </cell>
          <cell r="T274">
            <v>129.97904429734419</v>
          </cell>
          <cell r="U274">
            <v>104.42276857295565</v>
          </cell>
          <cell r="V274">
            <v>161.79642261951099</v>
          </cell>
          <cell r="W274">
            <v>107.5153374233129</v>
          </cell>
          <cell r="X274">
            <v>38.699690402476776</v>
          </cell>
          <cell r="Y274">
            <v>123.2829538932466</v>
          </cell>
          <cell r="Z274">
            <v>127.90026986394953</v>
          </cell>
          <cell r="AA274">
            <v>114.21568627450979</v>
          </cell>
          <cell r="AB274">
            <v>65.866957470010902</v>
          </cell>
          <cell r="AC274">
            <v>146.19804979379524</v>
          </cell>
          <cell r="AD274">
            <v>118.26275647626352</v>
          </cell>
          <cell r="AF274">
            <v>105.65602623350658</v>
          </cell>
          <cell r="AG274">
            <v>132.23040313502938</v>
          </cell>
        </row>
        <row r="275">
          <cell r="A275">
            <v>40451</v>
          </cell>
          <cell r="B275">
            <v>10.65075</v>
          </cell>
          <cell r="C275">
            <v>50.47</v>
          </cell>
          <cell r="D275">
            <v>69.308109999999999</v>
          </cell>
          <cell r="E275">
            <v>35.372275999999999</v>
          </cell>
          <cell r="F275">
            <v>78.430000000000007</v>
          </cell>
          <cell r="G275">
            <v>1.6801611000000001</v>
          </cell>
          <cell r="H275">
            <v>20.86</v>
          </cell>
          <cell r="I275">
            <v>14.2</v>
          </cell>
          <cell r="J275">
            <v>32.81</v>
          </cell>
          <cell r="K275">
            <v>5.8288650000000004</v>
          </cell>
          <cell r="L275">
            <v>2.4</v>
          </cell>
          <cell r="M275">
            <v>11.64</v>
          </cell>
          <cell r="N275">
            <v>12.041079999999999</v>
          </cell>
          <cell r="O275">
            <v>12.39523</v>
          </cell>
          <cell r="Q275">
            <v>77.050876656056715</v>
          </cell>
          <cell r="R275">
            <v>83.587280556475648</v>
          </cell>
          <cell r="S275">
            <v>133.03584522198071</v>
          </cell>
          <cell r="T275">
            <v>129.39025592016523</v>
          </cell>
          <cell r="U275">
            <v>104.79690005344735</v>
          </cell>
          <cell r="V275">
            <v>162.68013645230968</v>
          </cell>
          <cell r="W275">
            <v>106.64621676891616</v>
          </cell>
          <cell r="X275">
            <v>39.966225724739651</v>
          </cell>
          <cell r="Y275">
            <v>125.54046298067725</v>
          </cell>
          <cell r="Z275">
            <v>127.83425682143911</v>
          </cell>
          <cell r="AA275">
            <v>117.64705882352942</v>
          </cell>
          <cell r="AB275">
            <v>63.467829880043624</v>
          </cell>
          <cell r="AC275">
            <v>147.3241710975168</v>
          </cell>
          <cell r="AD275">
            <v>117.49519861628393</v>
          </cell>
          <cell r="AF275">
            <v>105.97027882164838</v>
          </cell>
          <cell r="AG275">
            <v>132.40968485690036</v>
          </cell>
        </row>
        <row r="276">
          <cell r="A276">
            <v>40452</v>
          </cell>
          <cell r="B276">
            <v>10.632296</v>
          </cell>
          <cell r="C276">
            <v>50.13</v>
          </cell>
          <cell r="D276">
            <v>70.360810000000001</v>
          </cell>
          <cell r="E276">
            <v>35.996876</v>
          </cell>
          <cell r="F276">
            <v>78.03</v>
          </cell>
          <cell r="G276">
            <v>1.7224953000000001</v>
          </cell>
          <cell r="H276">
            <v>20.41</v>
          </cell>
          <cell r="I276">
            <v>14.53</v>
          </cell>
          <cell r="J276">
            <v>32.83</v>
          </cell>
          <cell r="K276">
            <v>5.8400020000000001</v>
          </cell>
          <cell r="L276">
            <v>2.42</v>
          </cell>
          <cell r="M276">
            <v>11.35</v>
          </cell>
          <cell r="N276">
            <v>12.222618000000001</v>
          </cell>
          <cell r="O276">
            <v>12.54895</v>
          </cell>
          <cell r="Q276">
            <v>76.91737461368308</v>
          </cell>
          <cell r="R276">
            <v>83.024180192116589</v>
          </cell>
          <cell r="S276">
            <v>135.05648659086492</v>
          </cell>
          <cell r="T276">
            <v>131.67501570909531</v>
          </cell>
          <cell r="U276">
            <v>104.26242650988775</v>
          </cell>
          <cell r="V276">
            <v>166.77910852861794</v>
          </cell>
          <cell r="W276">
            <v>104.34560327198366</v>
          </cell>
          <cell r="X276">
            <v>40.895018294399094</v>
          </cell>
          <cell r="Y276">
            <v>125.61698871245454</v>
          </cell>
          <cell r="Z276">
            <v>128.07850507872769</v>
          </cell>
          <cell r="AA276">
            <v>118.62745098039215</v>
          </cell>
          <cell r="AB276">
            <v>61.886586695747006</v>
          </cell>
          <cell r="AC276">
            <v>149.54531200619783</v>
          </cell>
          <cell r="AD276">
            <v>118.95232058427445</v>
          </cell>
          <cell r="AF276">
            <v>106.43039543149747</v>
          </cell>
          <cell r="AG276">
            <v>134.24881629523614</v>
          </cell>
        </row>
        <row r="277">
          <cell r="A277">
            <v>40453</v>
          </cell>
          <cell r="B277">
            <v>10.632296</v>
          </cell>
          <cell r="C277">
            <v>50.13</v>
          </cell>
          <cell r="D277">
            <v>70.360810000000001</v>
          </cell>
          <cell r="E277">
            <v>35.996876</v>
          </cell>
          <cell r="F277">
            <v>78.03</v>
          </cell>
          <cell r="G277">
            <v>1.7224953000000001</v>
          </cell>
          <cell r="H277">
            <v>20.41</v>
          </cell>
          <cell r="I277">
            <v>14.53</v>
          </cell>
          <cell r="J277">
            <v>32.83</v>
          </cell>
          <cell r="K277">
            <v>5.8400020000000001</v>
          </cell>
          <cell r="L277">
            <v>2.42</v>
          </cell>
          <cell r="M277">
            <v>11.35</v>
          </cell>
          <cell r="N277">
            <v>12.222618000000001</v>
          </cell>
          <cell r="O277">
            <v>12.54895</v>
          </cell>
          <cell r="Q277">
            <v>76.91737461368308</v>
          </cell>
          <cell r="R277">
            <v>83.024180192116589</v>
          </cell>
          <cell r="S277">
            <v>135.05648659086492</v>
          </cell>
          <cell r="T277">
            <v>131.67501570909531</v>
          </cell>
          <cell r="U277">
            <v>104.26242650988775</v>
          </cell>
          <cell r="V277">
            <v>166.77910852861794</v>
          </cell>
          <cell r="W277">
            <v>104.34560327198366</v>
          </cell>
          <cell r="X277">
            <v>40.895018294399094</v>
          </cell>
          <cell r="Y277">
            <v>125.61698871245454</v>
          </cell>
          <cell r="Z277">
            <v>128.07850507872769</v>
          </cell>
          <cell r="AA277">
            <v>118.62745098039215</v>
          </cell>
          <cell r="AB277">
            <v>61.886586695747006</v>
          </cell>
          <cell r="AC277">
            <v>149.54531200619783</v>
          </cell>
          <cell r="AD277">
            <v>118.95232058427445</v>
          </cell>
          <cell r="AF277">
            <v>106.43039543149747</v>
          </cell>
          <cell r="AG277">
            <v>134.24881629523614</v>
          </cell>
        </row>
        <row r="278">
          <cell r="A278">
            <v>40454</v>
          </cell>
          <cell r="B278">
            <v>10.632296</v>
          </cell>
          <cell r="C278">
            <v>50.13</v>
          </cell>
          <cell r="D278">
            <v>70.360810000000001</v>
          </cell>
          <cell r="E278">
            <v>35.996876</v>
          </cell>
          <cell r="F278">
            <v>78.03</v>
          </cell>
          <cell r="G278">
            <v>1.7224953000000001</v>
          </cell>
          <cell r="H278">
            <v>20.41</v>
          </cell>
          <cell r="I278">
            <v>14.53</v>
          </cell>
          <cell r="J278">
            <v>32.83</v>
          </cell>
          <cell r="K278">
            <v>5.8400020000000001</v>
          </cell>
          <cell r="L278">
            <v>2.42</v>
          </cell>
          <cell r="M278">
            <v>11.35</v>
          </cell>
          <cell r="N278">
            <v>12.222618000000001</v>
          </cell>
          <cell r="O278">
            <v>12.54895</v>
          </cell>
          <cell r="Q278">
            <v>76.91737461368308</v>
          </cell>
          <cell r="R278">
            <v>83.024180192116589</v>
          </cell>
          <cell r="S278">
            <v>135.05648659086492</v>
          </cell>
          <cell r="T278">
            <v>131.67501570909531</v>
          </cell>
          <cell r="U278">
            <v>104.26242650988775</v>
          </cell>
          <cell r="V278">
            <v>166.77910852861794</v>
          </cell>
          <cell r="W278">
            <v>104.34560327198366</v>
          </cell>
          <cell r="X278">
            <v>40.895018294399094</v>
          </cell>
          <cell r="Y278">
            <v>125.61698871245454</v>
          </cell>
          <cell r="Z278">
            <v>128.07850507872769</v>
          </cell>
          <cell r="AA278">
            <v>118.62745098039215</v>
          </cell>
          <cell r="AB278">
            <v>61.886586695747006</v>
          </cell>
          <cell r="AC278">
            <v>149.54531200619783</v>
          </cell>
          <cell r="AD278">
            <v>118.95232058427445</v>
          </cell>
          <cell r="AF278">
            <v>106.43039543149747</v>
          </cell>
          <cell r="AG278">
            <v>134.24881629523614</v>
          </cell>
        </row>
        <row r="279">
          <cell r="A279">
            <v>40455</v>
          </cell>
          <cell r="B279">
            <v>10.56237</v>
          </cell>
          <cell r="C279">
            <v>49.48</v>
          </cell>
          <cell r="D279">
            <v>70.503590000000003</v>
          </cell>
          <cell r="E279">
            <v>35.587530000000001</v>
          </cell>
          <cell r="F279">
            <v>77.92</v>
          </cell>
          <cell r="G279">
            <v>1.7737514999999999</v>
          </cell>
          <cell r="H279">
            <v>20.239999999999998</v>
          </cell>
          <cell r="I279">
            <v>14.38</v>
          </cell>
          <cell r="J279">
            <v>32.43</v>
          </cell>
          <cell r="K279">
            <v>5.822845</v>
          </cell>
          <cell r="L279">
            <v>2.39</v>
          </cell>
          <cell r="M279">
            <v>11.24</v>
          </cell>
          <cell r="N279">
            <v>11.947558000000001</v>
          </cell>
          <cell r="O279">
            <v>12.5170555</v>
          </cell>
          <cell r="Q279">
            <v>76.41150792813967</v>
          </cell>
          <cell r="R279">
            <v>81.947664789665438</v>
          </cell>
          <cell r="S279">
            <v>135.33055059262165</v>
          </cell>
          <cell r="T279">
            <v>130.17764574342229</v>
          </cell>
          <cell r="U279">
            <v>104.11544628540888</v>
          </cell>
          <cell r="V279">
            <v>171.74194549111328</v>
          </cell>
          <cell r="W279">
            <v>103.47648261758691</v>
          </cell>
          <cell r="X279">
            <v>40.472839853644807</v>
          </cell>
          <cell r="Y279">
            <v>124.08647407690836</v>
          </cell>
          <cell r="Z279">
            <v>127.70223073641824</v>
          </cell>
          <cell r="AA279">
            <v>117.15686274509804</v>
          </cell>
          <cell r="AB279">
            <v>61.286804798255176</v>
          </cell>
          <cell r="AC279">
            <v>146.17991733212517</v>
          </cell>
          <cell r="AD279">
            <v>118.64999052567391</v>
          </cell>
          <cell r="AF279">
            <v>106.1588713048569</v>
          </cell>
          <cell r="AG279">
            <v>132.41495392889954</v>
          </cell>
        </row>
        <row r="280">
          <cell r="A280">
            <v>40456</v>
          </cell>
          <cell r="B280">
            <v>10.635776999999999</v>
          </cell>
          <cell r="C280">
            <v>50.66</v>
          </cell>
          <cell r="D280">
            <v>70.431015000000002</v>
          </cell>
          <cell r="E280">
            <v>35.179389999999998</v>
          </cell>
          <cell r="F280">
            <v>79.349999999999994</v>
          </cell>
          <cell r="G280">
            <v>1.7699115000000001</v>
          </cell>
          <cell r="H280">
            <v>21.13</v>
          </cell>
          <cell r="I280">
            <v>14.89</v>
          </cell>
          <cell r="J280">
            <v>33.130000000000003</v>
          </cell>
          <cell r="K280">
            <v>5.8312730000000004</v>
          </cell>
          <cell r="L280">
            <v>2.31</v>
          </cell>
          <cell r="M280">
            <v>11.67</v>
          </cell>
          <cell r="N280">
            <v>11.770999</v>
          </cell>
          <cell r="O280">
            <v>12.484394</v>
          </cell>
          <cell r="Q280">
            <v>76.942557262946238</v>
          </cell>
          <cell r="R280">
            <v>83.901954289499827</v>
          </cell>
          <cell r="S280">
            <v>135.19124400257056</v>
          </cell>
          <cell r="T280">
            <v>128.68468727359533</v>
          </cell>
          <cell r="U280">
            <v>106.0261892036344</v>
          </cell>
          <cell r="V280">
            <v>171.3701408326333</v>
          </cell>
          <cell r="W280">
            <v>108.02658486707566</v>
          </cell>
          <cell r="X280">
            <v>41.908246552209398</v>
          </cell>
          <cell r="Y280">
            <v>126.76487468911421</v>
          </cell>
          <cell r="Z280">
            <v>127.88706725544745</v>
          </cell>
          <cell r="AA280">
            <v>113.23529411764706</v>
          </cell>
          <cell r="AB280">
            <v>63.631406761177757</v>
          </cell>
          <cell r="AC280">
            <v>144.01969513238836</v>
          </cell>
          <cell r="AD280">
            <v>118.34039002373844</v>
          </cell>
          <cell r="AF280">
            <v>106.96418725896261</v>
          </cell>
          <cell r="AG280">
            <v>131.18004257806339</v>
          </cell>
        </row>
        <row r="281">
          <cell r="A281">
            <v>40457</v>
          </cell>
          <cell r="B281">
            <v>10.692028000000001</v>
          </cell>
          <cell r="C281">
            <v>50.62</v>
          </cell>
          <cell r="D281">
            <v>70.23048</v>
          </cell>
          <cell r="E281">
            <v>35.416916000000001</v>
          </cell>
          <cell r="F281">
            <v>79.14</v>
          </cell>
          <cell r="G281">
            <v>1.7881020999999999</v>
          </cell>
          <cell r="H281">
            <v>20.92</v>
          </cell>
          <cell r="I281">
            <v>14.92</v>
          </cell>
          <cell r="J281">
            <v>33.24</v>
          </cell>
          <cell r="K281">
            <v>5.8728109999999996</v>
          </cell>
          <cell r="L281">
            <v>2.36</v>
          </cell>
          <cell r="M281">
            <v>11.71</v>
          </cell>
          <cell r="N281">
            <v>11.650601</v>
          </cell>
          <cell r="O281">
            <v>12.495538</v>
          </cell>
          <cell r="Q281">
            <v>77.349494695782425</v>
          </cell>
          <cell r="R281">
            <v>83.835707187810527</v>
          </cell>
          <cell r="S281">
            <v>134.80632017155585</v>
          </cell>
          <cell r="T281">
            <v>129.5535471096911</v>
          </cell>
          <cell r="U281">
            <v>105.74559059326563</v>
          </cell>
          <cell r="V281">
            <v>173.13142984840053</v>
          </cell>
          <cell r="W281">
            <v>106.95296523517383</v>
          </cell>
          <cell r="X281">
            <v>41.99268224036026</v>
          </cell>
          <cell r="Y281">
            <v>127.18576621388942</v>
          </cell>
          <cell r="Z281">
            <v>128.79804724209129</v>
          </cell>
          <cell r="AA281">
            <v>115.68627450980391</v>
          </cell>
          <cell r="AB281">
            <v>63.849509269356609</v>
          </cell>
          <cell r="AC281">
            <v>142.54661003106867</v>
          </cell>
          <cell r="AD281">
            <v>118.4460247310718</v>
          </cell>
          <cell r="AF281">
            <v>107.40727785976513</v>
          </cell>
          <cell r="AG281">
            <v>130.49631738107024</v>
          </cell>
        </row>
        <row r="282">
          <cell r="A282">
            <v>40458</v>
          </cell>
          <cell r="B282">
            <v>10.781317</v>
          </cell>
          <cell r="C282">
            <v>50.23</v>
          </cell>
          <cell r="D282">
            <v>71.202910000000003</v>
          </cell>
          <cell r="E282">
            <v>36.25759</v>
          </cell>
          <cell r="F282">
            <v>78.599999999999994</v>
          </cell>
          <cell r="G282">
            <v>1.7756007</v>
          </cell>
          <cell r="H282">
            <v>20.69</v>
          </cell>
          <cell r="I282">
            <v>15.59</v>
          </cell>
          <cell r="J282">
            <v>32.71</v>
          </cell>
          <cell r="K282">
            <v>5.9164560000000002</v>
          </cell>
          <cell r="L282">
            <v>2.4</v>
          </cell>
          <cell r="M282">
            <v>11.8</v>
          </cell>
          <cell r="N282">
            <v>11.773122000000001</v>
          </cell>
          <cell r="O282">
            <v>12.518255999999999</v>
          </cell>
          <cell r="Q282">
            <v>77.995439415707551</v>
          </cell>
          <cell r="R282">
            <v>83.189797946339837</v>
          </cell>
          <cell r="S282">
            <v>136.6728845169003</v>
          </cell>
          <cell r="T282">
            <v>132.62869624641695</v>
          </cell>
          <cell r="U282">
            <v>105.02405130946018</v>
          </cell>
          <cell r="V282">
            <v>171.92099267196258</v>
          </cell>
          <cell r="W282">
            <v>105.77709611451944</v>
          </cell>
          <cell r="X282">
            <v>43.878412609062764</v>
          </cell>
          <cell r="Y282">
            <v>125.1578343217907</v>
          </cell>
          <cell r="Z282">
            <v>129.75523635849248</v>
          </cell>
          <cell r="AA282">
            <v>117.64705882352942</v>
          </cell>
          <cell r="AB282">
            <v>64.340239912759003</v>
          </cell>
          <cell r="AC282">
            <v>144.04567031196032</v>
          </cell>
          <cell r="AD282">
            <v>118.66137014395764</v>
          </cell>
          <cell r="AF282">
            <v>107.83231168724511</v>
          </cell>
          <cell r="AG282">
            <v>131.353520227959</v>
          </cell>
        </row>
        <row r="283">
          <cell r="A283">
            <v>40459</v>
          </cell>
          <cell r="B283">
            <v>10.819050000000001</v>
          </cell>
          <cell r="C283">
            <v>50.42</v>
          </cell>
          <cell r="D283">
            <v>69.028720000000007</v>
          </cell>
          <cell r="E283">
            <v>36.18815</v>
          </cell>
          <cell r="F283">
            <v>79.39</v>
          </cell>
          <cell r="G283">
            <v>1.8078059</v>
          </cell>
          <cell r="H283">
            <v>20.51</v>
          </cell>
          <cell r="I283">
            <v>16.07</v>
          </cell>
          <cell r="J283">
            <v>32.659999999999997</v>
          </cell>
          <cell r="K283">
            <v>5.9209709999999998</v>
          </cell>
          <cell r="L283">
            <v>2.44</v>
          </cell>
          <cell r="M283">
            <v>12.06</v>
          </cell>
          <cell r="N283">
            <v>12.170964</v>
          </cell>
          <cell r="O283">
            <v>12.498142</v>
          </cell>
          <cell r="Q283">
            <v>78.268411810033129</v>
          </cell>
          <cell r="R283">
            <v>83.504471679364016</v>
          </cell>
          <cell r="S283">
            <v>132.49956043804175</v>
          </cell>
          <cell r="T283">
            <v>132.37468772937675</v>
          </cell>
          <cell r="U283">
            <v>106.07963655799037</v>
          </cell>
          <cell r="V283">
            <v>175.03923313740003</v>
          </cell>
          <cell r="W283">
            <v>104.85685071574645</v>
          </cell>
          <cell r="X283">
            <v>45.229383619476501</v>
          </cell>
          <cell r="Y283">
            <v>124.9665199923474</v>
          </cell>
          <cell r="Z283">
            <v>129.85425592225812</v>
          </cell>
          <cell r="AA283">
            <v>119.6078431372549</v>
          </cell>
          <cell r="AB283">
            <v>65.757906215921494</v>
          </cell>
          <cell r="AC283">
            <v>148.9133186356803</v>
          </cell>
          <cell r="AD283">
            <v>118.47070821796126</v>
          </cell>
          <cell r="AF283">
            <v>108.16989674626757</v>
          </cell>
          <cell r="AG283">
            <v>133.69201342682078</v>
          </cell>
        </row>
        <row r="284">
          <cell r="A284">
            <v>40460</v>
          </cell>
          <cell r="B284">
            <v>10.819050000000001</v>
          </cell>
          <cell r="C284">
            <v>50.42</v>
          </cell>
          <cell r="D284">
            <v>69.028720000000007</v>
          </cell>
          <cell r="E284">
            <v>36.18815</v>
          </cell>
          <cell r="F284">
            <v>79.39</v>
          </cell>
          <cell r="G284">
            <v>1.8078059</v>
          </cell>
          <cell r="H284">
            <v>20.51</v>
          </cell>
          <cell r="I284">
            <v>16.07</v>
          </cell>
          <cell r="J284">
            <v>32.659999999999997</v>
          </cell>
          <cell r="K284">
            <v>5.9209709999999998</v>
          </cell>
          <cell r="L284">
            <v>2.44</v>
          </cell>
          <cell r="M284">
            <v>12.06</v>
          </cell>
          <cell r="N284">
            <v>12.170964</v>
          </cell>
          <cell r="O284">
            <v>12.498142</v>
          </cell>
          <cell r="Q284">
            <v>78.268411810033129</v>
          </cell>
          <cell r="R284">
            <v>83.504471679364016</v>
          </cell>
          <cell r="S284">
            <v>132.49956043804175</v>
          </cell>
          <cell r="T284">
            <v>132.37468772937675</v>
          </cell>
          <cell r="U284">
            <v>106.07963655799037</v>
          </cell>
          <cell r="V284">
            <v>175.03923313740003</v>
          </cell>
          <cell r="W284">
            <v>104.85685071574645</v>
          </cell>
          <cell r="X284">
            <v>45.229383619476501</v>
          </cell>
          <cell r="Y284">
            <v>124.9665199923474</v>
          </cell>
          <cell r="Z284">
            <v>129.85425592225812</v>
          </cell>
          <cell r="AA284">
            <v>119.6078431372549</v>
          </cell>
          <cell r="AB284">
            <v>65.757906215921494</v>
          </cell>
          <cell r="AC284">
            <v>148.9133186356803</v>
          </cell>
          <cell r="AD284">
            <v>118.47070821796126</v>
          </cell>
          <cell r="AF284">
            <v>108.16989674626757</v>
          </cell>
          <cell r="AG284">
            <v>133.69201342682078</v>
          </cell>
        </row>
        <row r="285">
          <cell r="A285">
            <v>40461</v>
          </cell>
          <cell r="B285">
            <v>10.819050000000001</v>
          </cell>
          <cell r="C285">
            <v>50.42</v>
          </cell>
          <cell r="D285">
            <v>69.028720000000007</v>
          </cell>
          <cell r="E285">
            <v>36.18815</v>
          </cell>
          <cell r="F285">
            <v>79.39</v>
          </cell>
          <cell r="G285">
            <v>1.8078059</v>
          </cell>
          <cell r="H285">
            <v>20.51</v>
          </cell>
          <cell r="I285">
            <v>16.07</v>
          </cell>
          <cell r="J285">
            <v>32.659999999999997</v>
          </cell>
          <cell r="K285">
            <v>5.9209709999999998</v>
          </cell>
          <cell r="L285">
            <v>2.44</v>
          </cell>
          <cell r="M285">
            <v>12.06</v>
          </cell>
          <cell r="N285">
            <v>12.170964</v>
          </cell>
          <cell r="O285">
            <v>12.498142</v>
          </cell>
          <cell r="Q285">
            <v>78.268411810033129</v>
          </cell>
          <cell r="R285">
            <v>83.504471679364016</v>
          </cell>
          <cell r="S285">
            <v>132.49956043804175</v>
          </cell>
          <cell r="T285">
            <v>132.37468772937675</v>
          </cell>
          <cell r="U285">
            <v>106.07963655799037</v>
          </cell>
          <cell r="V285">
            <v>175.03923313740003</v>
          </cell>
          <cell r="W285">
            <v>104.85685071574645</v>
          </cell>
          <cell r="X285">
            <v>45.229383619476501</v>
          </cell>
          <cell r="Y285">
            <v>124.9665199923474</v>
          </cell>
          <cell r="Z285">
            <v>129.85425592225812</v>
          </cell>
          <cell r="AA285">
            <v>119.6078431372549</v>
          </cell>
          <cell r="AB285">
            <v>65.757906215921494</v>
          </cell>
          <cell r="AC285">
            <v>148.9133186356803</v>
          </cell>
          <cell r="AD285">
            <v>118.47070821796126</v>
          </cell>
          <cell r="AF285">
            <v>108.16989674626757</v>
          </cell>
          <cell r="AG285">
            <v>133.69201342682078</v>
          </cell>
        </row>
        <row r="286">
          <cell r="A286">
            <v>40462</v>
          </cell>
          <cell r="B286">
            <v>10.78575</v>
          </cell>
          <cell r="C286">
            <v>50.47</v>
          </cell>
          <cell r="D286">
            <v>68.839479999999995</v>
          </cell>
          <cell r="E286">
            <v>36.088943</v>
          </cell>
          <cell r="F286">
            <v>79.89</v>
          </cell>
          <cell r="G286">
            <v>1.7993873</v>
          </cell>
          <cell r="H286">
            <v>20.56</v>
          </cell>
          <cell r="I286">
            <v>15.86</v>
          </cell>
          <cell r="J286">
            <v>32.4</v>
          </cell>
          <cell r="K286">
            <v>5.9297000000000004</v>
          </cell>
          <cell r="L286">
            <v>2.4500000000000002</v>
          </cell>
          <cell r="M286">
            <v>12.02</v>
          </cell>
          <cell r="N286">
            <v>12.312961</v>
          </cell>
          <cell r="O286">
            <v>12.937924000000001</v>
          </cell>
          <cell r="Q286">
            <v>78.027509132508371</v>
          </cell>
          <cell r="R286">
            <v>83.587280556475648</v>
          </cell>
          <cell r="S286">
            <v>132.13631718483788</v>
          </cell>
          <cell r="T286">
            <v>132.01179281362207</v>
          </cell>
          <cell r="U286">
            <v>106.74772848743987</v>
          </cell>
          <cell r="V286">
            <v>174.22410951816053</v>
          </cell>
          <cell r="W286">
            <v>105.11247443762781</v>
          </cell>
          <cell r="X286">
            <v>44.63833380242049</v>
          </cell>
          <cell r="Y286">
            <v>123.97168547924238</v>
          </cell>
          <cell r="Z286">
            <v>130.04569374553836</v>
          </cell>
          <cell r="AA286">
            <v>120.0980392156863</v>
          </cell>
          <cell r="AB286">
            <v>65.539803707742635</v>
          </cell>
          <cell r="AC286">
            <v>150.65067029544286</v>
          </cell>
          <cell r="AD286">
            <v>122.63943065698552</v>
          </cell>
          <cell r="AF286">
            <v>108.01173067344185</v>
          </cell>
          <cell r="AG286">
            <v>136.64505047621418</v>
          </cell>
        </row>
        <row r="287">
          <cell r="A287">
            <v>40463</v>
          </cell>
          <cell r="B287">
            <v>10.553490999999999</v>
          </cell>
          <cell r="C287">
            <v>50.6</v>
          </cell>
          <cell r="D287">
            <v>69.070899999999995</v>
          </cell>
          <cell r="E287">
            <v>35.709045000000003</v>
          </cell>
          <cell r="F287">
            <v>79.53</v>
          </cell>
          <cell r="G287">
            <v>1.7834588</v>
          </cell>
          <cell r="H287">
            <v>20.71</v>
          </cell>
          <cell r="I287">
            <v>16.190000000000001</v>
          </cell>
          <cell r="J287">
            <v>32.270000000000003</v>
          </cell>
          <cell r="K287">
            <v>5.9209709999999998</v>
          </cell>
          <cell r="L287">
            <v>2.4</v>
          </cell>
          <cell r="M287">
            <v>11.88</v>
          </cell>
          <cell r="N287">
            <v>12.269829</v>
          </cell>
          <cell r="O287">
            <v>12.892602</v>
          </cell>
          <cell r="Q287">
            <v>76.347274448447706</v>
          </cell>
          <cell r="R287">
            <v>83.802583636965878</v>
          </cell>
          <cell r="S287">
            <v>132.58052429568352</v>
          </cell>
          <cell r="T287">
            <v>130.62214235845886</v>
          </cell>
          <cell r="U287">
            <v>106.26670229823623</v>
          </cell>
          <cell r="V287">
            <v>172.68184636644216</v>
          </cell>
          <cell r="W287">
            <v>105.87934560327199</v>
          </cell>
          <cell r="X287">
            <v>45.567126372079933</v>
          </cell>
          <cell r="Y287">
            <v>123.47426822268987</v>
          </cell>
          <cell r="Z287">
            <v>129.85425592225812</v>
          </cell>
          <cell r="AA287">
            <v>117.64705882352942</v>
          </cell>
          <cell r="AB287">
            <v>64.776444929116693</v>
          </cell>
          <cell r="AC287">
            <v>150.12294469709306</v>
          </cell>
          <cell r="AD287">
            <v>122.20982044469521</v>
          </cell>
          <cell r="AF287">
            <v>107.45829777309837</v>
          </cell>
          <cell r="AG287">
            <v>136.16638257089414</v>
          </cell>
        </row>
        <row r="288">
          <cell r="A288">
            <v>40464</v>
          </cell>
          <cell r="B288">
            <v>10.669617000000001</v>
          </cell>
          <cell r="C288">
            <v>50.62</v>
          </cell>
          <cell r="D288">
            <v>69.682149999999993</v>
          </cell>
          <cell r="E288">
            <v>35.378970000000002</v>
          </cell>
          <cell r="F288">
            <v>80.400000000000006</v>
          </cell>
          <cell r="G288">
            <v>1.8050541</v>
          </cell>
          <cell r="H288">
            <v>21.21</v>
          </cell>
          <cell r="I288">
            <v>16.22</v>
          </cell>
          <cell r="J288">
            <v>31.71</v>
          </cell>
          <cell r="K288">
            <v>5.9694323999999996</v>
          </cell>
          <cell r="L288">
            <v>2.36</v>
          </cell>
          <cell r="M288">
            <v>12.23</v>
          </cell>
          <cell r="N288">
            <v>12.434358</v>
          </cell>
          <cell r="O288">
            <v>12.826703</v>
          </cell>
          <cell r="Q288">
            <v>77.187366470376801</v>
          </cell>
          <cell r="R288">
            <v>83.835707187810527</v>
          </cell>
          <cell r="S288">
            <v>133.75380921705761</v>
          </cell>
          <cell r="T288">
            <v>129.41474228268061</v>
          </cell>
          <cell r="U288">
            <v>107.42918225547835</v>
          </cell>
          <cell r="V288">
            <v>174.77279249698202</v>
          </cell>
          <cell r="W288">
            <v>108.43558282208589</v>
          </cell>
          <cell r="X288">
            <v>45.651562060230788</v>
          </cell>
          <cell r="Y288">
            <v>121.33154773292519</v>
          </cell>
          <cell r="Z288">
            <v>130.91707467917331</v>
          </cell>
          <cell r="AA288">
            <v>115.68627450980391</v>
          </cell>
          <cell r="AB288">
            <v>66.68484187568157</v>
          </cell>
          <cell r="AC288">
            <v>152.13597829096531</v>
          </cell>
          <cell r="AD288">
            <v>121.58515949902382</v>
          </cell>
          <cell r="AF288">
            <v>107.92504029919054</v>
          </cell>
          <cell r="AG288">
            <v>136.86056889499457</v>
          </cell>
        </row>
        <row r="289">
          <cell r="A289">
            <v>40465</v>
          </cell>
          <cell r="B289">
            <v>10.754099999999999</v>
          </cell>
          <cell r="C289">
            <v>49.97</v>
          </cell>
          <cell r="D289">
            <v>70.164664999999999</v>
          </cell>
          <cell r="E289">
            <v>35.070045</v>
          </cell>
          <cell r="F289">
            <v>78.98</v>
          </cell>
          <cell r="G289">
            <v>1.7742804999999999</v>
          </cell>
          <cell r="H289">
            <v>21.37</v>
          </cell>
          <cell r="I289">
            <v>15.84</v>
          </cell>
          <cell r="J289">
            <v>31.68</v>
          </cell>
          <cell r="K289">
            <v>5.994415</v>
          </cell>
          <cell r="L289">
            <v>2.2799999999999998</v>
          </cell>
          <cell r="M289">
            <v>12.31</v>
          </cell>
          <cell r="N289">
            <v>12.124506</v>
          </cell>
          <cell r="O289">
            <v>12.680012</v>
          </cell>
          <cell r="Q289">
            <v>77.798543074140255</v>
          </cell>
          <cell r="R289">
            <v>82.759191785359391</v>
          </cell>
          <cell r="S289">
            <v>134.67998929695423</v>
          </cell>
          <cell r="T289">
            <v>128.28470799226241</v>
          </cell>
          <cell r="U289">
            <v>105.53180117584179</v>
          </cell>
          <cell r="V289">
            <v>171.79316545578411</v>
          </cell>
          <cell r="W289">
            <v>109.25357873210635</v>
          </cell>
          <cell r="X289">
            <v>44.582043343653247</v>
          </cell>
          <cell r="Y289">
            <v>121.21675913525922</v>
          </cell>
          <cell r="Z289">
            <v>131.46497415951251</v>
          </cell>
          <cell r="AA289">
            <v>111.76470588235293</v>
          </cell>
          <cell r="AB289">
            <v>67.12104689203926</v>
          </cell>
          <cell r="AC289">
            <v>148.34489899717209</v>
          </cell>
          <cell r="AD289">
            <v>120.19466588331669</v>
          </cell>
          <cell r="AF289">
            <v>107.18754224377214</v>
          </cell>
          <cell r="AG289">
            <v>134.2697824402444</v>
          </cell>
        </row>
        <row r="290">
          <cell r="A290">
            <v>40466</v>
          </cell>
          <cell r="B290">
            <v>10.701521</v>
          </cell>
          <cell r="C290">
            <v>50.34</v>
          </cell>
          <cell r="D290">
            <v>67.363240000000005</v>
          </cell>
          <cell r="E290">
            <v>35.464042999999997</v>
          </cell>
          <cell r="F290">
            <v>79.12</v>
          </cell>
          <cell r="G290">
            <v>1.7654768000000001</v>
          </cell>
          <cell r="H290">
            <v>21.44</v>
          </cell>
          <cell r="I290">
            <v>15.8</v>
          </cell>
          <cell r="J290">
            <v>31.59</v>
          </cell>
          <cell r="K290">
            <v>5.9540810000000004</v>
          </cell>
          <cell r="L290">
            <v>2.2200000000000002</v>
          </cell>
          <cell r="M290">
            <v>12.07</v>
          </cell>
          <cell r="N290">
            <v>12.241706000000001</v>
          </cell>
          <cell r="O290">
            <v>12.632719</v>
          </cell>
          <cell r="Q290">
            <v>77.418170044663569</v>
          </cell>
          <cell r="R290">
            <v>83.371977475985432</v>
          </cell>
          <cell r="S290">
            <v>129.30269733644647</v>
          </cell>
          <cell r="T290">
            <v>129.7259356376656</v>
          </cell>
          <cell r="U290">
            <v>105.71886691608765</v>
          </cell>
          <cell r="V290">
            <v>170.94075486415383</v>
          </cell>
          <cell r="W290">
            <v>109.61145194274029</v>
          </cell>
          <cell r="X290">
            <v>44.469462426118774</v>
          </cell>
          <cell r="Y290">
            <v>120.87239334226132</v>
          </cell>
          <cell r="Z290">
            <v>130.58039938987284</v>
          </cell>
          <cell r="AA290">
            <v>108.82352941176472</v>
          </cell>
          <cell r="AB290">
            <v>65.812431842966205</v>
          </cell>
          <cell r="AC290">
            <v>149.77885615488793</v>
          </cell>
          <cell r="AD290">
            <v>119.74637243267803</v>
          </cell>
          <cell r="AF290">
            <v>106.3873392192272</v>
          </cell>
          <cell r="AG290">
            <v>134.76261429378297</v>
          </cell>
        </row>
        <row r="291">
          <cell r="A291">
            <v>40467</v>
          </cell>
          <cell r="B291">
            <v>10.701521</v>
          </cell>
          <cell r="C291">
            <v>50.34</v>
          </cell>
          <cell r="D291">
            <v>67.363240000000005</v>
          </cell>
          <cell r="E291">
            <v>35.464042999999997</v>
          </cell>
          <cell r="F291">
            <v>79.12</v>
          </cell>
          <cell r="G291">
            <v>1.7654768000000001</v>
          </cell>
          <cell r="H291">
            <v>21.44</v>
          </cell>
          <cell r="I291">
            <v>15.8</v>
          </cell>
          <cell r="J291">
            <v>31.59</v>
          </cell>
          <cell r="K291">
            <v>5.9540810000000004</v>
          </cell>
          <cell r="L291">
            <v>2.2200000000000002</v>
          </cell>
          <cell r="M291">
            <v>12.07</v>
          </cell>
          <cell r="N291">
            <v>12.241706000000001</v>
          </cell>
          <cell r="O291">
            <v>12.632719</v>
          </cell>
          <cell r="Q291">
            <v>77.418170044663569</v>
          </cell>
          <cell r="R291">
            <v>83.371977475985432</v>
          </cell>
          <cell r="S291">
            <v>129.30269733644647</v>
          </cell>
          <cell r="T291">
            <v>129.7259356376656</v>
          </cell>
          <cell r="U291">
            <v>105.71886691608765</v>
          </cell>
          <cell r="V291">
            <v>170.94075486415383</v>
          </cell>
          <cell r="W291">
            <v>109.61145194274029</v>
          </cell>
          <cell r="X291">
            <v>44.469462426118774</v>
          </cell>
          <cell r="Y291">
            <v>120.87239334226132</v>
          </cell>
          <cell r="Z291">
            <v>130.58039938987284</v>
          </cell>
          <cell r="AA291">
            <v>108.82352941176472</v>
          </cell>
          <cell r="AB291">
            <v>65.812431842966205</v>
          </cell>
          <cell r="AC291">
            <v>149.77885615488793</v>
          </cell>
          <cell r="AD291">
            <v>119.74637243267803</v>
          </cell>
          <cell r="AF291">
            <v>106.3873392192272</v>
          </cell>
          <cell r="AG291">
            <v>134.76261429378297</v>
          </cell>
        </row>
        <row r="292">
          <cell r="A292">
            <v>40468</v>
          </cell>
          <cell r="B292">
            <v>10.701521</v>
          </cell>
          <cell r="C292">
            <v>50.34</v>
          </cell>
          <cell r="D292">
            <v>67.363240000000005</v>
          </cell>
          <cell r="E292">
            <v>35.464042999999997</v>
          </cell>
          <cell r="F292">
            <v>79.12</v>
          </cell>
          <cell r="G292">
            <v>1.7654768000000001</v>
          </cell>
          <cell r="H292">
            <v>21.44</v>
          </cell>
          <cell r="I292">
            <v>15.8</v>
          </cell>
          <cell r="J292">
            <v>31.59</v>
          </cell>
          <cell r="K292">
            <v>5.9540810000000004</v>
          </cell>
          <cell r="L292">
            <v>2.2200000000000002</v>
          </cell>
          <cell r="M292">
            <v>12.07</v>
          </cell>
          <cell r="N292">
            <v>12.241706000000001</v>
          </cell>
          <cell r="O292">
            <v>12.632719</v>
          </cell>
          <cell r="Q292">
            <v>77.418170044663569</v>
          </cell>
          <cell r="R292">
            <v>83.371977475985432</v>
          </cell>
          <cell r="S292">
            <v>129.30269733644647</v>
          </cell>
          <cell r="T292">
            <v>129.7259356376656</v>
          </cell>
          <cell r="U292">
            <v>105.71886691608765</v>
          </cell>
          <cell r="V292">
            <v>170.94075486415383</v>
          </cell>
          <cell r="W292">
            <v>109.61145194274029</v>
          </cell>
          <cell r="X292">
            <v>44.469462426118774</v>
          </cell>
          <cell r="Y292">
            <v>120.87239334226132</v>
          </cell>
          <cell r="Z292">
            <v>130.58039938987284</v>
          </cell>
          <cell r="AA292">
            <v>108.82352941176472</v>
          </cell>
          <cell r="AB292">
            <v>65.812431842966205</v>
          </cell>
          <cell r="AC292">
            <v>149.77885615488793</v>
          </cell>
          <cell r="AD292">
            <v>119.74637243267803</v>
          </cell>
          <cell r="AF292">
            <v>106.3873392192272</v>
          </cell>
          <cell r="AG292">
            <v>134.76261429378297</v>
          </cell>
        </row>
        <row r="293">
          <cell r="A293">
            <v>40469</v>
          </cell>
          <cell r="B293">
            <v>10.758317999999999</v>
          </cell>
          <cell r="C293">
            <v>51.57</v>
          </cell>
          <cell r="D293">
            <v>68.855090000000004</v>
          </cell>
          <cell r="E293">
            <v>36.312125999999999</v>
          </cell>
          <cell r="F293">
            <v>79.959999999999994</v>
          </cell>
          <cell r="G293">
            <v>1.7392642</v>
          </cell>
          <cell r="H293">
            <v>21.95</v>
          </cell>
          <cell r="I293">
            <v>16.440000000000001</v>
          </cell>
          <cell r="J293">
            <v>31.45</v>
          </cell>
          <cell r="K293">
            <v>5.969131</v>
          </cell>
          <cell r="L293">
            <v>2.17</v>
          </cell>
          <cell r="M293">
            <v>12.06</v>
          </cell>
          <cell r="N293">
            <v>11.973846</v>
          </cell>
          <cell r="O293">
            <v>12.648768</v>
          </cell>
          <cell r="Q293">
            <v>77.829057413293384</v>
          </cell>
          <cell r="R293">
            <v>85.409075852931423</v>
          </cell>
          <cell r="S293">
            <v>132.1662803384128</v>
          </cell>
          <cell r="T293">
            <v>132.82818657598639</v>
          </cell>
          <cell r="U293">
            <v>106.84126135756277</v>
          </cell>
          <cell r="V293">
            <v>168.40274267903072</v>
          </cell>
          <cell r="W293">
            <v>112.21881390593047</v>
          </cell>
          <cell r="X293">
            <v>46.270757106670423</v>
          </cell>
          <cell r="Y293">
            <v>120.33671321982015</v>
          </cell>
          <cell r="Z293">
            <v>130.91046460242492</v>
          </cell>
          <cell r="AA293">
            <v>106.37254901960785</v>
          </cell>
          <cell r="AB293">
            <v>65.757906215921494</v>
          </cell>
          <cell r="AC293">
            <v>146.50155441200599</v>
          </cell>
          <cell r="AD293">
            <v>119.89850195690572</v>
          </cell>
          <cell r="AF293">
            <v>107.11198402396606</v>
          </cell>
          <cell r="AG293">
            <v>133.20002818445585</v>
          </cell>
        </row>
        <row r="294">
          <cell r="A294">
            <v>40470</v>
          </cell>
          <cell r="B294">
            <v>10.646686000000001</v>
          </cell>
          <cell r="C294">
            <v>50.08</v>
          </cell>
          <cell r="D294">
            <v>67.465170000000001</v>
          </cell>
          <cell r="E294">
            <v>36.066980000000001</v>
          </cell>
          <cell r="F294">
            <v>78.989999999999995</v>
          </cell>
          <cell r="G294">
            <v>1.6797099</v>
          </cell>
          <cell r="H294">
            <v>21.75</v>
          </cell>
          <cell r="I294">
            <v>16.03</v>
          </cell>
          <cell r="J294">
            <v>30.51</v>
          </cell>
          <cell r="K294">
            <v>5.8532460000000004</v>
          </cell>
          <cell r="L294">
            <v>2.0699999999999998</v>
          </cell>
          <cell r="M294">
            <v>11.58</v>
          </cell>
          <cell r="N294">
            <v>11.776192999999999</v>
          </cell>
          <cell r="O294">
            <v>12.427137999999999</v>
          </cell>
          <cell r="Q294">
            <v>77.021476401358186</v>
          </cell>
          <cell r="R294">
            <v>82.941371315004957</v>
          </cell>
          <cell r="S294">
            <v>129.49835039499152</v>
          </cell>
          <cell r="T294">
            <v>131.93145310942054</v>
          </cell>
          <cell r="U294">
            <v>105.54516301443077</v>
          </cell>
          <cell r="V294">
            <v>162.63644940493828</v>
          </cell>
          <cell r="W294">
            <v>111.19631901840492</v>
          </cell>
          <cell r="X294">
            <v>45.116802701942021</v>
          </cell>
          <cell r="Y294">
            <v>116.7400038262866</v>
          </cell>
          <cell r="Z294">
            <v>128.36896246577356</v>
          </cell>
          <cell r="AA294">
            <v>101.47058823529412</v>
          </cell>
          <cell r="AB294">
            <v>63.140676117775349</v>
          </cell>
          <cell r="AC294">
            <v>144.08324439413903</v>
          </cell>
          <cell r="AD294">
            <v>117.7976566422704</v>
          </cell>
          <cell r="AF294">
            <v>104.63396800046841</v>
          </cell>
          <cell r="AG294">
            <v>130.94045051820473</v>
          </cell>
        </row>
        <row r="295">
          <cell r="A295">
            <v>40471</v>
          </cell>
          <cell r="B295">
            <v>10.73977</v>
          </cell>
          <cell r="C295">
            <v>47.79</v>
          </cell>
          <cell r="D295">
            <v>67.218580000000003</v>
          </cell>
          <cell r="E295">
            <v>36.265909999999998</v>
          </cell>
          <cell r="F295">
            <v>78.319999999999993</v>
          </cell>
          <cell r="G295">
            <v>1.6742188</v>
          </cell>
          <cell r="H295">
            <v>21.91</v>
          </cell>
          <cell r="I295">
            <v>16.07</v>
          </cell>
          <cell r="J295">
            <v>30.94</v>
          </cell>
          <cell r="K295">
            <v>5.9315059999999997</v>
          </cell>
          <cell r="L295">
            <v>2.04</v>
          </cell>
          <cell r="M295">
            <v>11.85</v>
          </cell>
          <cell r="N295">
            <v>11.953569999999999</v>
          </cell>
          <cell r="O295">
            <v>12.484707999999999</v>
          </cell>
          <cell r="Q295">
            <v>77.694875345343576</v>
          </cell>
          <cell r="R295">
            <v>79.148724743292476</v>
          </cell>
          <cell r="S295">
            <v>129.02502470376595</v>
          </cell>
          <cell r="T295">
            <v>132.65913044661531</v>
          </cell>
          <cell r="U295">
            <v>104.64991982896845</v>
          </cell>
          <cell r="V295">
            <v>162.10477842572487</v>
          </cell>
          <cell r="W295">
            <v>112.01431492842538</v>
          </cell>
          <cell r="X295">
            <v>45.229383619476501</v>
          </cell>
          <cell r="Y295">
            <v>118.38530705949874</v>
          </cell>
          <cell r="Z295">
            <v>130.0853015710446</v>
          </cell>
          <cell r="AA295">
            <v>100</v>
          </cell>
          <cell r="AB295">
            <v>64.612868047982559</v>
          </cell>
          <cell r="AC295">
            <v>146.25347492966941</v>
          </cell>
          <cell r="AD295">
            <v>118.34336645034492</v>
          </cell>
          <cell r="AF295">
            <v>104.6341357266782</v>
          </cell>
          <cell r="AG295">
            <v>132.29842069000716</v>
          </cell>
        </row>
        <row r="296">
          <cell r="A296">
            <v>40472</v>
          </cell>
          <cell r="B296">
            <v>10.859714</v>
          </cell>
          <cell r="C296">
            <v>47.79</v>
          </cell>
          <cell r="D296">
            <v>66.387479999999996</v>
          </cell>
          <cell r="E296">
            <v>36.199039999999997</v>
          </cell>
          <cell r="F296">
            <v>78.08</v>
          </cell>
          <cell r="G296">
            <v>1.6888375</v>
          </cell>
          <cell r="H296">
            <v>22.09</v>
          </cell>
          <cell r="I296">
            <v>16.73</v>
          </cell>
          <cell r="J296">
            <v>31.36</v>
          </cell>
          <cell r="K296">
            <v>5.9378270000000004</v>
          </cell>
          <cell r="L296">
            <v>2</v>
          </cell>
          <cell r="M296">
            <v>11.52</v>
          </cell>
          <cell r="N296">
            <v>12.064938</v>
          </cell>
          <cell r="O296">
            <v>12.331075999999999</v>
          </cell>
          <cell r="Q296">
            <v>78.56258798056966</v>
          </cell>
          <cell r="R296">
            <v>79.148724743292476</v>
          </cell>
          <cell r="S296">
            <v>127.42974110760399</v>
          </cell>
          <cell r="T296">
            <v>132.41452287843444</v>
          </cell>
          <cell r="U296">
            <v>104.3292357028327</v>
          </cell>
          <cell r="V296">
            <v>163.52022133221482</v>
          </cell>
          <cell r="W296">
            <v>112.93456032719837</v>
          </cell>
          <cell r="X296">
            <v>47.086968758795386</v>
          </cell>
          <cell r="Y296">
            <v>119.99234742682225</v>
          </cell>
          <cell r="Z296">
            <v>130.22392896031653</v>
          </cell>
          <cell r="AA296">
            <v>98.039215686274503</v>
          </cell>
          <cell r="AB296">
            <v>62.813522355507089</v>
          </cell>
          <cell r="AC296">
            <v>147.61607681312074</v>
          </cell>
          <cell r="AD296">
            <v>116.88707864012946</v>
          </cell>
          <cell r="AF296">
            <v>104.70796477165517</v>
          </cell>
          <cell r="AG296">
            <v>132.2515777266251</v>
          </cell>
        </row>
        <row r="297">
          <cell r="A297">
            <v>40473</v>
          </cell>
          <cell r="B297">
            <v>10.819753</v>
          </cell>
          <cell r="C297">
            <v>49.03</v>
          </cell>
          <cell r="D297">
            <v>66.691230000000004</v>
          </cell>
          <cell r="E297">
            <v>36.747729999999997</v>
          </cell>
          <cell r="F297">
            <v>79.16</v>
          </cell>
          <cell r="G297">
            <v>1.6855879</v>
          </cell>
          <cell r="H297">
            <v>22.79</v>
          </cell>
          <cell r="I297">
            <v>17.329999999999998</v>
          </cell>
          <cell r="J297">
            <v>31.59</v>
          </cell>
          <cell r="K297">
            <v>5.8999009999999998</v>
          </cell>
          <cell r="L297">
            <v>2.08</v>
          </cell>
          <cell r="M297">
            <v>10.029999999999999</v>
          </cell>
          <cell r="N297">
            <v>11.976754</v>
          </cell>
          <cell r="O297">
            <v>12.389747</v>
          </cell>
          <cell r="Q297">
            <v>78.27349753322531</v>
          </cell>
          <cell r="R297">
            <v>81.202384895660813</v>
          </cell>
          <cell r="S297">
            <v>128.01278453478989</v>
          </cell>
          <cell r="T297">
            <v>134.42160717012197</v>
          </cell>
          <cell r="U297">
            <v>105.7723142704436</v>
          </cell>
          <cell r="V297">
            <v>163.20558163997615</v>
          </cell>
          <cell r="W297">
            <v>116.51329243353783</v>
          </cell>
          <cell r="X297">
            <v>48.775682521812548</v>
          </cell>
          <cell r="Y297">
            <v>120.87239334226132</v>
          </cell>
          <cell r="Z297">
            <v>129.39216462468514</v>
          </cell>
          <cell r="AA297">
            <v>101.96078431372548</v>
          </cell>
          <cell r="AB297">
            <v>54.689203925845142</v>
          </cell>
          <cell r="AC297">
            <v>146.53713416810356</v>
          </cell>
          <cell r="AD297">
            <v>117.44322489945793</v>
          </cell>
          <cell r="AF297">
            <v>105.25764093384043</v>
          </cell>
          <cell r="AG297">
            <v>131.99017953378075</v>
          </cell>
          <cell r="AH297">
            <v>0.25397242768097961</v>
          </cell>
        </row>
      </sheetData>
      <sheetData sheetId="3" refreshError="1"/>
      <sheetData sheetId="4" refreshError="1"/>
      <sheetData sheetId="5" refreshError="1"/>
      <sheetData sheetId="6" refreshError="1"/>
      <sheetData sheetId="7">
        <row r="1">
          <cell r="D1" t="str">
            <v xml:space="preserve">P / E </v>
          </cell>
          <cell r="H1" t="str">
            <v>EV / EBITDA</v>
          </cell>
          <cell r="L1" t="str">
            <v>PBV</v>
          </cell>
          <cell r="P1" t="str">
            <v>ROE</v>
          </cell>
          <cell r="T1" t="str">
            <v>EPS</v>
          </cell>
        </row>
        <row r="2">
          <cell r="Q2" t="str">
            <v>(%)</v>
          </cell>
        </row>
        <row r="3">
          <cell r="D3">
            <v>2009</v>
          </cell>
          <cell r="E3">
            <v>2010</v>
          </cell>
          <cell r="F3">
            <v>2011</v>
          </cell>
          <cell r="H3">
            <v>2009</v>
          </cell>
          <cell r="I3">
            <v>2010</v>
          </cell>
          <cell r="J3">
            <v>2011</v>
          </cell>
          <cell r="L3">
            <v>2009</v>
          </cell>
          <cell r="M3">
            <v>2010</v>
          </cell>
          <cell r="N3">
            <v>2011</v>
          </cell>
          <cell r="P3">
            <v>2009</v>
          </cell>
          <cell r="Q3">
            <v>2010</v>
          </cell>
          <cell r="R3">
            <v>2011</v>
          </cell>
          <cell r="T3">
            <v>2010</v>
          </cell>
          <cell r="U3">
            <v>2011</v>
          </cell>
        </row>
        <row r="4">
          <cell r="B4" t="str">
            <v>Company</v>
          </cell>
        </row>
        <row r="6">
          <cell r="B6" t="str">
            <v>SONIC HEALTHCARE</v>
          </cell>
          <cell r="D6">
            <v>14.740912926668001</v>
          </cell>
          <cell r="E6">
            <v>14.740912926668001</v>
          </cell>
          <cell r="F6">
            <v>14.740912926668001</v>
          </cell>
          <cell r="H6">
            <v>11.8863835662785</v>
          </cell>
          <cell r="I6">
            <v>11.8863835662785</v>
          </cell>
          <cell r="J6">
            <v>11.8863835662785</v>
          </cell>
          <cell r="L6">
            <v>2.3431096945388901</v>
          </cell>
          <cell r="M6">
            <v>2.3431096945388901</v>
          </cell>
          <cell r="N6">
            <v>2.3431096945388901</v>
          </cell>
          <cell r="P6">
            <v>15.039405923785901</v>
          </cell>
          <cell r="Q6">
            <v>13.670283312467399</v>
          </cell>
          <cell r="R6">
            <v>14.5663999029987</v>
          </cell>
          <cell r="T6">
            <v>0.86550279498333105</v>
          </cell>
          <cell r="U6">
            <v>0.93767619469294505</v>
          </cell>
          <cell r="V6">
            <v>8.338898514013926E-2</v>
          </cell>
        </row>
        <row r="7">
          <cell r="B7" t="str">
            <v>QUEST DIAGNOSTICS INC</v>
          </cell>
          <cell r="D7">
            <v>15.403060999999999</v>
          </cell>
          <cell r="E7">
            <v>12.269428</v>
          </cell>
          <cell r="F7">
            <v>11.377336999999999</v>
          </cell>
          <cell r="H7">
            <v>6.7233792349212695</v>
          </cell>
          <cell r="I7">
            <v>7.0151956179253556</v>
          </cell>
          <cell r="J7">
            <v>6.8536460986135239</v>
          </cell>
          <cell r="L7">
            <v>2.27623</v>
          </cell>
          <cell r="M7">
            <v>2.2842539999999998</v>
          </cell>
          <cell r="N7">
            <v>1.9771909999999999</v>
          </cell>
          <cell r="P7">
            <v>20.237708043578401</v>
          </cell>
          <cell r="Q7">
            <v>18.316372504123901</v>
          </cell>
          <cell r="R7">
            <v>18.726876325526501</v>
          </cell>
          <cell r="T7">
            <v>4.1000000000000005</v>
          </cell>
          <cell r="U7">
            <v>3.95</v>
          </cell>
          <cell r="V7">
            <v>-3.6585365853658569E-2</v>
          </cell>
        </row>
        <row r="8">
          <cell r="B8" t="str">
            <v>SYSMEX CORP</v>
          </cell>
          <cell r="H8" t="str">
            <v>NA</v>
          </cell>
          <cell r="I8" t="str">
            <v>NA</v>
          </cell>
          <cell r="J8" t="str">
            <v>NA</v>
          </cell>
        </row>
        <row r="9">
          <cell r="B9" t="str">
            <v>MIRACA HLDGS INC</v>
          </cell>
          <cell r="D9">
            <v>12.342984</v>
          </cell>
          <cell r="E9">
            <v>13.759500000000001</v>
          </cell>
          <cell r="F9">
            <v>12.934211999999999</v>
          </cell>
          <cell r="H9" t="str">
            <v>NA</v>
          </cell>
          <cell r="I9">
            <v>4.630552322871079</v>
          </cell>
          <cell r="J9" t="str">
            <v>NA</v>
          </cell>
          <cell r="L9">
            <v>1.8315489999999999</v>
          </cell>
          <cell r="M9">
            <v>1.651214</v>
          </cell>
          <cell r="N9">
            <v>1.4963069999999998</v>
          </cell>
          <cell r="P9">
            <v>12.183536</v>
          </cell>
          <cell r="Q9">
            <v>12.000537999999999</v>
          </cell>
          <cell r="R9">
            <v>11.568596999999999</v>
          </cell>
          <cell r="T9">
            <v>199.49</v>
          </cell>
          <cell r="U9">
            <v>199.49</v>
          </cell>
          <cell r="V9">
            <v>0</v>
          </cell>
        </row>
        <row r="10">
          <cell r="B10" t="str">
            <v>LABORATORY CP OF AMER HLDGS</v>
          </cell>
          <cell r="D10">
            <v>14.790514999999999</v>
          </cell>
          <cell r="E10">
            <v>14.283272</v>
          </cell>
          <cell r="F10">
            <v>13.131705999999999</v>
          </cell>
          <cell r="H10">
            <v>1.0724415518055177</v>
          </cell>
          <cell r="I10">
            <v>7.7275082191769542</v>
          </cell>
          <cell r="J10">
            <v>7.1713633391080878</v>
          </cell>
          <cell r="L10">
            <v>4.1745939999999999</v>
          </cell>
          <cell r="M10">
            <v>3.8504259999999997</v>
          </cell>
          <cell r="N10">
            <v>3.068238</v>
          </cell>
          <cell r="P10">
            <v>25.788</v>
          </cell>
          <cell r="Q10">
            <v>26.957590000000003</v>
          </cell>
          <cell r="R10">
            <v>23.365110000000001</v>
          </cell>
          <cell r="T10">
            <v>5.3100000000000005</v>
          </cell>
          <cell r="U10">
            <v>5.38</v>
          </cell>
          <cell r="V10">
            <v>1.3182674199623268E-2</v>
          </cell>
        </row>
        <row r="11">
          <cell r="B11" t="str">
            <v>RAFFLES MEDICAL</v>
          </cell>
          <cell r="H11" t="str">
            <v>NA</v>
          </cell>
          <cell r="I11" t="str">
            <v>NA</v>
          </cell>
          <cell r="J11" t="str">
            <v>NA</v>
          </cell>
        </row>
        <row r="12">
          <cell r="B12" t="str">
            <v>BIO REFERENCE LABS</v>
          </cell>
          <cell r="D12">
            <v>21.106260000000002</v>
          </cell>
          <cell r="E12">
            <v>26.149570000000001</v>
          </cell>
          <cell r="F12">
            <v>22.56118</v>
          </cell>
          <cell r="H12">
            <v>22.756013818352518</v>
          </cell>
          <cell r="I12">
            <v>20.358060425960169</v>
          </cell>
          <cell r="J12">
            <v>16.943852170607222</v>
          </cell>
          <cell r="L12">
            <v>4.5091999999999999</v>
          </cell>
          <cell r="M12">
            <v>3.4897860000000001</v>
          </cell>
          <cell r="N12">
            <v>3.0647600000000002</v>
          </cell>
          <cell r="P12">
            <v>14.367215</v>
          </cell>
          <cell r="Q12">
            <v>13.345480999999999</v>
          </cell>
          <cell r="R12">
            <v>13.584214999999999</v>
          </cell>
          <cell r="T12">
            <v>7.8600000000000003E-2</v>
          </cell>
          <cell r="U12">
            <v>7.8600000000000003E-2</v>
          </cell>
          <cell r="V12">
            <v>0</v>
          </cell>
        </row>
        <row r="13">
          <cell r="B13" t="str">
            <v>GENOPTIX INC</v>
          </cell>
          <cell r="D13">
            <v>19.738900000000001</v>
          </cell>
          <cell r="E13">
            <v>16.554820000000003</v>
          </cell>
          <cell r="F13">
            <v>17.167950000000001</v>
          </cell>
          <cell r="H13">
            <v>2.3942270028289863</v>
          </cell>
          <cell r="I13">
            <v>3.5378179332437933</v>
          </cell>
          <cell r="J13">
            <v>3.6818058854461033</v>
          </cell>
          <cell r="L13">
            <v>2.0245329999999999</v>
          </cell>
          <cell r="M13">
            <v>2.0667519999999997</v>
          </cell>
          <cell r="N13">
            <v>1.248</v>
          </cell>
          <cell r="P13">
            <v>19.97663</v>
          </cell>
          <cell r="Q13">
            <v>12.484292</v>
          </cell>
          <cell r="R13">
            <v>7.2693689999999993</v>
          </cell>
          <cell r="T13">
            <v>1.61</v>
          </cell>
          <cell r="U13">
            <v>1.54</v>
          </cell>
          <cell r="V13">
            <v>-4.3478260869565299E-2</v>
          </cell>
        </row>
        <row r="14">
          <cell r="B14" t="str">
            <v>RESMED INC</v>
          </cell>
          <cell r="H14" t="str">
            <v>NA</v>
          </cell>
          <cell r="I14" t="str">
            <v>NA</v>
          </cell>
          <cell r="J14" t="str">
            <v>NA</v>
          </cell>
        </row>
        <row r="15">
          <cell r="B15" t="str">
            <v>HEALTHSCOPE</v>
          </cell>
          <cell r="D15">
            <v>12.276786999999999</v>
          </cell>
          <cell r="E15">
            <v>14.607090000000001</v>
          </cell>
          <cell r="F15">
            <v>16.050150000000002</v>
          </cell>
          <cell r="H15">
            <v>12.343122020698383</v>
          </cell>
          <cell r="I15" t="str">
            <v>NA</v>
          </cell>
          <cell r="J15" t="str">
            <v>NA</v>
          </cell>
          <cell r="L15">
            <v>1.699576</v>
          </cell>
          <cell r="M15">
            <v>1.5921449999999999</v>
          </cell>
          <cell r="N15">
            <v>1.563267</v>
          </cell>
          <cell r="P15">
            <v>8.1026300000000013</v>
          </cell>
          <cell r="Q15">
            <v>8.6377839999999999</v>
          </cell>
          <cell r="R15">
            <v>8.862603</v>
          </cell>
          <cell r="T15">
            <v>0.27729999999999999</v>
          </cell>
          <cell r="U15">
            <v>0.31790000000000002</v>
          </cell>
          <cell r="V15">
            <v>0.14641182834475308</v>
          </cell>
        </row>
        <row r="16">
          <cell r="B16" t="str">
            <v>RADNET</v>
          </cell>
          <cell r="H16">
            <v>5.3397265114521026</v>
          </cell>
          <cell r="I16">
            <v>5.4134587490424702</v>
          </cell>
          <cell r="J16">
            <v>4.9100277152260521</v>
          </cell>
        </row>
        <row r="17">
          <cell r="B17" t="str">
            <v>DIAGNOSTICOS DA AMERICA</v>
          </cell>
          <cell r="D17">
            <v>19.729117892189201</v>
          </cell>
          <cell r="E17">
            <v>19.729117892189201</v>
          </cell>
          <cell r="F17">
            <v>19.729117892189201</v>
          </cell>
          <cell r="H17">
            <v>9.3578548665922803</v>
          </cell>
          <cell r="I17">
            <v>9.3578548665922803</v>
          </cell>
          <cell r="J17">
            <v>9.3578548665922803</v>
          </cell>
          <cell r="L17">
            <v>5.8275990300307701</v>
          </cell>
          <cell r="M17">
            <v>5.8275990300307701</v>
          </cell>
          <cell r="N17">
            <v>5.8275990300307701</v>
          </cell>
          <cell r="P17">
            <v>34.624095471756696</v>
          </cell>
          <cell r="Q17">
            <v>41.778721373458602</v>
          </cell>
          <cell r="R17">
            <v>43.987697208679897</v>
          </cell>
          <cell r="T17">
            <v>0.59893251255024504</v>
          </cell>
          <cell r="U17">
            <v>0.77030027228360198</v>
          </cell>
          <cell r="V17">
            <v>0.28612198560347935</v>
          </cell>
        </row>
        <row r="18">
          <cell r="B18" t="str">
            <v>FLEURY</v>
          </cell>
          <cell r="D18">
            <v>28.173704612007601</v>
          </cell>
          <cell r="E18">
            <v>28.173704612007601</v>
          </cell>
          <cell r="F18">
            <v>28.173704612007601</v>
          </cell>
          <cell r="H18">
            <v>10.138243304727901</v>
          </cell>
          <cell r="I18">
            <v>10.138243304727901</v>
          </cell>
          <cell r="J18">
            <v>10.138243304727901</v>
          </cell>
          <cell r="L18">
            <v>2.3879125306398898</v>
          </cell>
          <cell r="M18">
            <v>2.3879125306398898</v>
          </cell>
          <cell r="N18">
            <v>2.3879125306398898</v>
          </cell>
          <cell r="P18">
            <v>56.531105533718893</v>
          </cell>
          <cell r="Q18">
            <v>15.277778737413</v>
          </cell>
          <cell r="R18">
            <v>15.355089845118099</v>
          </cell>
          <cell r="T18">
            <v>0.68568158173660698</v>
          </cell>
          <cell r="U18">
            <v>0.76811682156984795</v>
          </cell>
          <cell r="V18">
            <v>0.12022379195961408</v>
          </cell>
        </row>
        <row r="19">
          <cell r="B19" t="str">
            <v>HEALTHWAYS</v>
          </cell>
          <cell r="D19">
            <v>59.161290000000008</v>
          </cell>
          <cell r="E19">
            <v>8.9991839999999996</v>
          </cell>
          <cell r="F19">
            <v>9.4541550000000001</v>
          </cell>
          <cell r="H19">
            <v>602.45385999999996</v>
          </cell>
          <cell r="I19">
            <v>602.45385999999996</v>
          </cell>
          <cell r="J19">
            <v>602.45385999999996</v>
          </cell>
          <cell r="L19">
            <v>0.91486780000000001</v>
          </cell>
          <cell r="M19">
            <v>0.84992000000000012</v>
          </cell>
          <cell r="N19">
            <v>0.75508160000000002</v>
          </cell>
          <cell r="P19">
            <v>9.486165999999999</v>
          </cell>
          <cell r="Q19">
            <v>9.4444109999999988</v>
          </cell>
          <cell r="R19">
            <v>7.9867700000000008</v>
          </cell>
          <cell r="T19">
            <v>1.1000000000000001</v>
          </cell>
          <cell r="U19">
            <v>1.0900000000000001</v>
          </cell>
          <cell r="V19">
            <v>-9.0909090909091494E-3</v>
          </cell>
        </row>
        <row r="21">
          <cell r="B21" t="str">
            <v>DASA</v>
          </cell>
        </row>
        <row r="22">
          <cell r="B22" t="str">
            <v>FLRY</v>
          </cell>
        </row>
      </sheetData>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LC BRL"/>
      <sheetName val="SLC USD"/>
      <sheetName val="AGRO BRL"/>
      <sheetName val="AGRO USD"/>
    </sheetNames>
    <sheetDataSet>
      <sheetData sheetId="0"/>
      <sheetData sheetId="1"/>
      <sheetData sheetId="2">
        <row r="1">
          <cell r="B1" t="str">
            <v>SLCE3-BR</v>
          </cell>
          <cell r="C1">
            <v>180264</v>
          </cell>
          <cell r="E1" t="str">
            <v>SLCE3 (base 100)</v>
          </cell>
          <cell r="F1" t="str">
            <v>Ibovespa (base 100)</v>
          </cell>
          <cell r="H1" t="str">
            <v>Soybean (USD/bu)</v>
          </cell>
        </row>
        <row r="2">
          <cell r="A2">
            <v>40239</v>
          </cell>
          <cell r="B2">
            <v>8.6978480000000005</v>
          </cell>
          <cell r="C2">
            <v>38034.375</v>
          </cell>
          <cell r="E2">
            <v>100</v>
          </cell>
          <cell r="F2">
            <v>100</v>
          </cell>
          <cell r="H2">
            <v>9.5425000000000004</v>
          </cell>
        </row>
        <row r="3">
          <cell r="A3">
            <v>40240</v>
          </cell>
          <cell r="B3">
            <v>8.5409050000000004</v>
          </cell>
          <cell r="C3">
            <v>38032.805</v>
          </cell>
          <cell r="E3">
            <v>98.19561114427384</v>
          </cell>
          <cell r="F3">
            <v>99.995872155122839</v>
          </cell>
          <cell r="H3">
            <v>9.5449999999999999</v>
          </cell>
        </row>
        <row r="4">
          <cell r="A4">
            <v>40241</v>
          </cell>
          <cell r="B4">
            <v>8.573264</v>
          </cell>
          <cell r="C4">
            <v>37875.792999999998</v>
          </cell>
          <cell r="E4">
            <v>98.567645698108308</v>
          </cell>
          <cell r="F4">
            <v>99.58305611699943</v>
          </cell>
          <cell r="H4">
            <v>9.3249999999999993</v>
          </cell>
        </row>
        <row r="5">
          <cell r="A5">
            <v>40242</v>
          </cell>
          <cell r="B5">
            <v>8.7179059999999993</v>
          </cell>
          <cell r="C5">
            <v>38722.406000000003</v>
          </cell>
          <cell r="E5">
            <v>100.23060876667422</v>
          </cell>
          <cell r="F5">
            <v>101.80897148960646</v>
          </cell>
          <cell r="H5">
            <v>9.3475000000000001</v>
          </cell>
        </row>
        <row r="6">
          <cell r="A6">
            <v>40243</v>
          </cell>
          <cell r="B6">
            <v>8.7179059999999993</v>
          </cell>
          <cell r="C6">
            <v>38722.406000000003</v>
          </cell>
          <cell r="E6">
            <v>100.23060876667422</v>
          </cell>
          <cell r="F6">
            <v>101.80897148960646</v>
          </cell>
          <cell r="H6">
            <v>9.3475000000000001</v>
          </cell>
        </row>
        <row r="7">
          <cell r="A7">
            <v>40244</v>
          </cell>
          <cell r="B7">
            <v>8.7179059999999993</v>
          </cell>
          <cell r="C7">
            <v>38722.406000000003</v>
          </cell>
          <cell r="E7">
            <v>100.23060876667422</v>
          </cell>
          <cell r="F7">
            <v>101.80897148960646</v>
          </cell>
          <cell r="H7">
            <v>9.3475000000000001</v>
          </cell>
        </row>
        <row r="8">
          <cell r="A8">
            <v>40245</v>
          </cell>
          <cell r="B8">
            <v>8.7530409999999996</v>
          </cell>
          <cell r="C8">
            <v>38354.241999999998</v>
          </cell>
          <cell r="E8">
            <v>100.63455926109538</v>
          </cell>
          <cell r="F8">
            <v>100.84099449511132</v>
          </cell>
          <cell r="H8">
            <v>9.4049999999999994</v>
          </cell>
        </row>
        <row r="9">
          <cell r="A9">
            <v>40246</v>
          </cell>
          <cell r="B9">
            <v>8.7851409999999994</v>
          </cell>
          <cell r="C9">
            <v>38808.78</v>
          </cell>
          <cell r="E9">
            <v>101.00361606687078</v>
          </cell>
          <cell r="F9">
            <v>102.03606605866405</v>
          </cell>
          <cell r="H9">
            <v>9.4149999999999991</v>
          </cell>
        </row>
        <row r="10">
          <cell r="A10">
            <v>40247</v>
          </cell>
          <cell r="B10">
            <v>8.9391789999999993</v>
          </cell>
          <cell r="C10">
            <v>39592.239999999998</v>
          </cell>
          <cell r="E10">
            <v>102.77460585652909</v>
          </cell>
          <cell r="F10">
            <v>104.09593952838713</v>
          </cell>
          <cell r="H10">
            <v>9.52</v>
          </cell>
        </row>
        <row r="11">
          <cell r="A11">
            <v>40248</v>
          </cell>
          <cell r="B11">
            <v>8.4614519999999995</v>
          </cell>
          <cell r="C11">
            <v>39500.684000000001</v>
          </cell>
          <cell r="E11">
            <v>97.282132315947564</v>
          </cell>
          <cell r="F11">
            <v>103.85522044203435</v>
          </cell>
          <cell r="H11">
            <v>9.2550000000000008</v>
          </cell>
        </row>
        <row r="12">
          <cell r="A12">
            <v>40249</v>
          </cell>
          <cell r="B12">
            <v>8.2724639999999994</v>
          </cell>
          <cell r="C12">
            <v>39262.43</v>
          </cell>
          <cell r="E12">
            <v>95.109318994767435</v>
          </cell>
          <cell r="F12">
            <v>103.22880289212063</v>
          </cell>
          <cell r="H12">
            <v>9.26</v>
          </cell>
        </row>
        <row r="13">
          <cell r="A13">
            <v>40250</v>
          </cell>
          <cell r="B13">
            <v>8.2724639999999994</v>
          </cell>
          <cell r="C13">
            <v>39262.43</v>
          </cell>
          <cell r="E13">
            <v>95.109318994767435</v>
          </cell>
          <cell r="F13">
            <v>103.22880289212063</v>
          </cell>
          <cell r="H13">
            <v>9.26</v>
          </cell>
        </row>
        <row r="14">
          <cell r="A14">
            <v>40251</v>
          </cell>
          <cell r="B14">
            <v>8.2724639999999994</v>
          </cell>
          <cell r="C14">
            <v>39262.43</v>
          </cell>
          <cell r="E14">
            <v>95.109318994767435</v>
          </cell>
          <cell r="F14">
            <v>103.22880289212063</v>
          </cell>
          <cell r="H14">
            <v>9.26</v>
          </cell>
        </row>
        <row r="15">
          <cell r="A15">
            <v>40252</v>
          </cell>
          <cell r="B15">
            <v>8.0305605</v>
          </cell>
          <cell r="C15">
            <v>39062.675999999999</v>
          </cell>
          <cell r="E15">
            <v>92.328131050347167</v>
          </cell>
          <cell r="F15">
            <v>102.70360956371702</v>
          </cell>
          <cell r="H15">
            <v>9.3000000000000007</v>
          </cell>
        </row>
        <row r="16">
          <cell r="A16">
            <v>40253</v>
          </cell>
          <cell r="B16">
            <v>8.3477560000000004</v>
          </cell>
          <cell r="C16">
            <v>39691.402000000002</v>
          </cell>
          <cell r="E16">
            <v>95.974958403503948</v>
          </cell>
          <cell r="F16">
            <v>104.35665631418946</v>
          </cell>
          <cell r="H16">
            <v>9.4499999999999993</v>
          </cell>
        </row>
        <row r="17">
          <cell r="A17">
            <v>40254</v>
          </cell>
          <cell r="B17">
            <v>8.2122729999999997</v>
          </cell>
          <cell r="C17">
            <v>39488.707000000002</v>
          </cell>
          <cell r="E17">
            <v>94.417297244099913</v>
          </cell>
          <cell r="F17">
            <v>103.82373050694274</v>
          </cell>
          <cell r="H17">
            <v>9.59</v>
          </cell>
        </row>
        <row r="18">
          <cell r="A18">
            <v>40255</v>
          </cell>
          <cell r="B18">
            <v>8.1575640000000007</v>
          </cell>
          <cell r="C18">
            <v>38942.495999999999</v>
          </cell>
          <cell r="E18">
            <v>93.788302577833051</v>
          </cell>
          <cell r="F18">
            <v>102.38763224057186</v>
          </cell>
          <cell r="H18">
            <v>9.5950000000000006</v>
          </cell>
        </row>
        <row r="19">
          <cell r="A19">
            <v>40256</v>
          </cell>
          <cell r="B19">
            <v>8.3076139999999992</v>
          </cell>
          <cell r="C19">
            <v>38273.402000000002</v>
          </cell>
          <cell r="E19">
            <v>95.513441945639883</v>
          </cell>
          <cell r="F19">
            <v>100.62844992194562</v>
          </cell>
          <cell r="H19">
            <v>9.6174999999999997</v>
          </cell>
        </row>
        <row r="20">
          <cell r="A20">
            <v>40257</v>
          </cell>
          <cell r="B20">
            <v>8.3076139999999992</v>
          </cell>
          <cell r="C20">
            <v>38273.402000000002</v>
          </cell>
          <cell r="E20">
            <v>95.513441945639883</v>
          </cell>
          <cell r="F20">
            <v>100.62844992194562</v>
          </cell>
          <cell r="H20">
            <v>9.6174999999999997</v>
          </cell>
        </row>
        <row r="21">
          <cell r="A21">
            <v>40258</v>
          </cell>
          <cell r="B21">
            <v>8.3076139999999992</v>
          </cell>
          <cell r="C21">
            <v>38273.402000000002</v>
          </cell>
          <cell r="E21">
            <v>95.513441945639883</v>
          </cell>
          <cell r="F21">
            <v>100.62844992194562</v>
          </cell>
          <cell r="H21">
            <v>9.6174999999999997</v>
          </cell>
        </row>
        <row r="22">
          <cell r="A22">
            <v>40259</v>
          </cell>
          <cell r="B22">
            <v>8.4151539999999994</v>
          </cell>
          <cell r="C22">
            <v>38299.063000000002</v>
          </cell>
          <cell r="E22">
            <v>96.749839730471251</v>
          </cell>
          <cell r="F22">
            <v>100.69591783748255</v>
          </cell>
          <cell r="H22">
            <v>9.6850000000000005</v>
          </cell>
        </row>
        <row r="23">
          <cell r="A23">
            <v>40260</v>
          </cell>
          <cell r="B23">
            <v>8.6093270000000004</v>
          </cell>
          <cell r="C23">
            <v>38916.805</v>
          </cell>
          <cell r="E23">
            <v>98.982265498316366</v>
          </cell>
          <cell r="F23">
            <v>102.32008544901817</v>
          </cell>
          <cell r="H23">
            <v>9.68</v>
          </cell>
        </row>
        <row r="24">
          <cell r="A24">
            <v>40261</v>
          </cell>
          <cell r="B24">
            <v>8.5877219999999994</v>
          </cell>
          <cell r="C24">
            <v>38529.241999999998</v>
          </cell>
          <cell r="E24">
            <v>98.733870722965023</v>
          </cell>
          <cell r="F24">
            <v>101.30110459288473</v>
          </cell>
          <cell r="H24">
            <v>9.6</v>
          </cell>
        </row>
        <row r="25">
          <cell r="A25">
            <v>40262</v>
          </cell>
          <cell r="B25">
            <v>8.5886849999999999</v>
          </cell>
          <cell r="C25">
            <v>37924.120000000003</v>
          </cell>
          <cell r="E25">
            <v>98.744942427138298</v>
          </cell>
          <cell r="F25">
            <v>99.710117492399974</v>
          </cell>
          <cell r="H25">
            <v>9.4250000000000007</v>
          </cell>
        </row>
        <row r="26">
          <cell r="A26">
            <v>40263</v>
          </cell>
          <cell r="B26">
            <v>8.3191469999999992</v>
          </cell>
          <cell r="C26">
            <v>37714.925999999999</v>
          </cell>
          <cell r="E26">
            <v>95.646037962493708</v>
          </cell>
          <cell r="F26">
            <v>99.160104510722206</v>
          </cell>
          <cell r="H26">
            <v>9.52</v>
          </cell>
        </row>
        <row r="27">
          <cell r="A27">
            <v>40264</v>
          </cell>
          <cell r="B27">
            <v>8.3191469999999992</v>
          </cell>
          <cell r="C27">
            <v>37714.925999999999</v>
          </cell>
          <cell r="E27">
            <v>95.646037962493708</v>
          </cell>
          <cell r="F27">
            <v>99.160104510722206</v>
          </cell>
          <cell r="H27">
            <v>9.52</v>
          </cell>
        </row>
        <row r="28">
          <cell r="A28">
            <v>40265</v>
          </cell>
          <cell r="B28">
            <v>8.3191469999999992</v>
          </cell>
          <cell r="C28">
            <v>37714.925999999999</v>
          </cell>
          <cell r="E28">
            <v>95.646037962493708</v>
          </cell>
          <cell r="F28">
            <v>99.160104510722206</v>
          </cell>
          <cell r="H28">
            <v>9.52</v>
          </cell>
        </row>
        <row r="29">
          <cell r="A29">
            <v>40266</v>
          </cell>
          <cell r="B29">
            <v>8.4210530000000006</v>
          </cell>
          <cell r="C29">
            <v>38645.733999999997</v>
          </cell>
          <cell r="E29">
            <v>96.817661104217962</v>
          </cell>
          <cell r="F29">
            <v>101.6073854243694</v>
          </cell>
          <cell r="H29">
            <v>9.6750000000000007</v>
          </cell>
        </row>
        <row r="30">
          <cell r="A30">
            <v>40267</v>
          </cell>
          <cell r="B30">
            <v>8.2063570000000006</v>
          </cell>
          <cell r="C30">
            <v>38975.78</v>
          </cell>
          <cell r="E30">
            <v>94.349280419708421</v>
          </cell>
          <cell r="F30">
            <v>102.47514255196779</v>
          </cell>
          <cell r="H30">
            <v>9.74</v>
          </cell>
        </row>
        <row r="31">
          <cell r="A31">
            <v>40268</v>
          </cell>
          <cell r="B31">
            <v>8.1470269999999996</v>
          </cell>
          <cell r="C31">
            <v>39430.457000000002</v>
          </cell>
          <cell r="E31">
            <v>93.667157669345329</v>
          </cell>
          <cell r="F31">
            <v>103.67057957439816</v>
          </cell>
          <cell r="H31">
            <v>9.41</v>
          </cell>
        </row>
        <row r="32">
          <cell r="A32">
            <v>40269</v>
          </cell>
          <cell r="B32">
            <v>8.0269069999999996</v>
          </cell>
          <cell r="C32">
            <v>40211.605000000003</v>
          </cell>
          <cell r="E32">
            <v>92.286126407359603</v>
          </cell>
          <cell r="F32">
            <v>105.72437433242956</v>
          </cell>
          <cell r="H32">
            <v>9.42</v>
          </cell>
        </row>
        <row r="33">
          <cell r="A33">
            <v>40270</v>
          </cell>
          <cell r="B33">
            <v>8.0269069999999996</v>
          </cell>
          <cell r="C33">
            <v>40211.605000000003</v>
          </cell>
          <cell r="E33">
            <v>92.286126407359603</v>
          </cell>
          <cell r="F33">
            <v>105.72437433242956</v>
          </cell>
          <cell r="H33">
            <v>9.42</v>
          </cell>
        </row>
        <row r="34">
          <cell r="A34">
            <v>40271</v>
          </cell>
          <cell r="B34">
            <v>8.0269069999999996</v>
          </cell>
          <cell r="C34">
            <v>40211.605000000003</v>
          </cell>
          <cell r="E34">
            <v>92.286126407359603</v>
          </cell>
          <cell r="F34">
            <v>105.72437433242956</v>
          </cell>
          <cell r="H34">
            <v>9.42</v>
          </cell>
        </row>
        <row r="35">
          <cell r="A35">
            <v>40272</v>
          </cell>
          <cell r="B35">
            <v>8.0269069999999996</v>
          </cell>
          <cell r="C35">
            <v>40211.605000000003</v>
          </cell>
          <cell r="E35">
            <v>92.286126407359603</v>
          </cell>
          <cell r="F35">
            <v>105.72437433242956</v>
          </cell>
          <cell r="H35">
            <v>9.42</v>
          </cell>
        </row>
        <row r="36">
          <cell r="A36">
            <v>40273</v>
          </cell>
          <cell r="B36">
            <v>8.0147790000000008</v>
          </cell>
          <cell r="C36">
            <v>40522.769999999997</v>
          </cell>
          <cell r="E36">
            <v>92.146689617937682</v>
          </cell>
          <cell r="F36">
            <v>106.54248952427901</v>
          </cell>
          <cell r="H36">
            <v>9.36</v>
          </cell>
        </row>
        <row r="37">
          <cell r="A37">
            <v>40274</v>
          </cell>
          <cell r="B37">
            <v>8.1572370000000003</v>
          </cell>
          <cell r="C37">
            <v>40386.074000000001</v>
          </cell>
          <cell r="E37">
            <v>93.784543027194772</v>
          </cell>
          <cell r="F37">
            <v>106.18308832470626</v>
          </cell>
          <cell r="H37">
            <v>9.4450000000000003</v>
          </cell>
        </row>
        <row r="38">
          <cell r="A38">
            <v>40275</v>
          </cell>
          <cell r="B38">
            <v>8.1360740000000007</v>
          </cell>
          <cell r="C38">
            <v>40137.741999999998</v>
          </cell>
          <cell r="E38">
            <v>93.541229968608334</v>
          </cell>
          <cell r="F38">
            <v>105.5301736915619</v>
          </cell>
          <cell r="H38">
            <v>9.5250000000000004</v>
          </cell>
        </row>
        <row r="39">
          <cell r="A39">
            <v>40276</v>
          </cell>
          <cell r="B39">
            <v>7.9878920000000004</v>
          </cell>
          <cell r="C39">
            <v>40239.233999999997</v>
          </cell>
          <cell r="E39">
            <v>91.837567177536329</v>
          </cell>
          <cell r="F39">
            <v>105.797016514666</v>
          </cell>
          <cell r="H39">
            <v>9.4649999999999999</v>
          </cell>
        </row>
        <row r="40">
          <cell r="A40">
            <v>40277</v>
          </cell>
          <cell r="B40">
            <v>8.0599710000000009</v>
          </cell>
          <cell r="C40">
            <v>40253.226999999999</v>
          </cell>
          <cell r="E40">
            <v>92.666266414405044</v>
          </cell>
          <cell r="F40">
            <v>105.83380691808398</v>
          </cell>
          <cell r="H40">
            <v>9.5225000000000009</v>
          </cell>
        </row>
        <row r="41">
          <cell r="A41">
            <v>40278</v>
          </cell>
          <cell r="B41">
            <v>8.0599710000000009</v>
          </cell>
          <cell r="C41">
            <v>40253.226999999999</v>
          </cell>
          <cell r="E41">
            <v>92.666266414405044</v>
          </cell>
          <cell r="F41">
            <v>105.83380691808398</v>
          </cell>
          <cell r="H41">
            <v>9.5225000000000009</v>
          </cell>
        </row>
        <row r="42">
          <cell r="A42">
            <v>40279</v>
          </cell>
          <cell r="B42">
            <v>8.0599710000000009</v>
          </cell>
          <cell r="C42">
            <v>40253.226999999999</v>
          </cell>
          <cell r="E42">
            <v>92.666266414405044</v>
          </cell>
          <cell r="F42">
            <v>105.83380691808398</v>
          </cell>
          <cell r="H42">
            <v>9.5225000000000009</v>
          </cell>
        </row>
        <row r="43">
          <cell r="A43">
            <v>40280</v>
          </cell>
          <cell r="B43">
            <v>7.9601990000000002</v>
          </cell>
          <cell r="C43">
            <v>40150.31</v>
          </cell>
          <cell r="E43">
            <v>91.519178077151949</v>
          </cell>
          <cell r="F43">
            <v>105.56321748418371</v>
          </cell>
          <cell r="H43">
            <v>9.6</v>
          </cell>
        </row>
        <row r="44">
          <cell r="A44">
            <v>40281</v>
          </cell>
          <cell r="B44">
            <v>8.0129110000000008</v>
          </cell>
          <cell r="C44">
            <v>40088.565999999999</v>
          </cell>
          <cell r="E44">
            <v>92.125213041202841</v>
          </cell>
          <cell r="F44">
            <v>105.40088012488702</v>
          </cell>
          <cell r="H44">
            <v>9.68</v>
          </cell>
        </row>
        <row r="45">
          <cell r="A45">
            <v>40282</v>
          </cell>
          <cell r="B45">
            <v>8.4808489999999992</v>
          </cell>
          <cell r="C45">
            <v>40760.207000000002</v>
          </cell>
          <cell r="E45">
            <v>97.505141501667978</v>
          </cell>
          <cell r="F45">
            <v>107.1667590173363</v>
          </cell>
          <cell r="H45">
            <v>9.69</v>
          </cell>
        </row>
        <row r="46">
          <cell r="A46">
            <v>40283</v>
          </cell>
          <cell r="B46">
            <v>8.5459770000000006</v>
          </cell>
          <cell r="C46">
            <v>40531.233999999997</v>
          </cell>
          <cell r="E46">
            <v>98.253924419005713</v>
          </cell>
          <cell r="F46">
            <v>106.5647430778079</v>
          </cell>
          <cell r="H46">
            <v>9.84</v>
          </cell>
        </row>
        <row r="47">
          <cell r="A47">
            <v>40284</v>
          </cell>
          <cell r="B47">
            <v>8.3913689999999992</v>
          </cell>
          <cell r="C47">
            <v>39628.582000000002</v>
          </cell>
          <cell r="E47">
            <v>96.476381284198098</v>
          </cell>
          <cell r="F47">
            <v>104.19148993509162</v>
          </cell>
          <cell r="H47">
            <v>9.8524999999999991</v>
          </cell>
        </row>
        <row r="48">
          <cell r="A48">
            <v>40285</v>
          </cell>
          <cell r="B48">
            <v>8.3913689999999992</v>
          </cell>
          <cell r="C48">
            <v>39628.582000000002</v>
          </cell>
          <cell r="E48">
            <v>96.476381284198098</v>
          </cell>
          <cell r="F48">
            <v>104.19148993509162</v>
          </cell>
          <cell r="H48">
            <v>9.8524999999999991</v>
          </cell>
        </row>
        <row r="49">
          <cell r="A49">
            <v>40286</v>
          </cell>
          <cell r="B49">
            <v>8.3913689999999992</v>
          </cell>
          <cell r="C49">
            <v>39628.582000000002</v>
          </cell>
          <cell r="E49">
            <v>96.476381284198098</v>
          </cell>
          <cell r="F49">
            <v>104.19148993509162</v>
          </cell>
          <cell r="H49">
            <v>9.8524999999999991</v>
          </cell>
        </row>
        <row r="50">
          <cell r="A50">
            <v>40287</v>
          </cell>
          <cell r="B50">
            <v>8.4777100000000001</v>
          </cell>
          <cell r="C50">
            <v>39314.714999999997</v>
          </cell>
          <cell r="E50">
            <v>97.469052114959936</v>
          </cell>
          <cell r="F50">
            <v>103.3662706433325</v>
          </cell>
          <cell r="H50">
            <v>9.7675000000000001</v>
          </cell>
        </row>
        <row r="51">
          <cell r="A51">
            <v>40288</v>
          </cell>
          <cell r="B51">
            <v>8.6231519999999993</v>
          </cell>
          <cell r="C51">
            <v>39585.656000000003</v>
          </cell>
          <cell r="E51">
            <v>99.141212860928334</v>
          </cell>
          <cell r="F51">
            <v>104.07862887190863</v>
          </cell>
          <cell r="H51">
            <v>9.84</v>
          </cell>
        </row>
        <row r="52">
          <cell r="A52">
            <v>40289</v>
          </cell>
          <cell r="B52">
            <v>8.6231519999999993</v>
          </cell>
          <cell r="C52">
            <v>39585.656000000003</v>
          </cell>
          <cell r="E52">
            <v>99.141212860928334</v>
          </cell>
          <cell r="F52">
            <v>104.07862887190863</v>
          </cell>
          <cell r="H52">
            <v>9.9550000000000001</v>
          </cell>
        </row>
        <row r="53">
          <cell r="A53">
            <v>40290</v>
          </cell>
          <cell r="B53">
            <v>8.8662419999999997</v>
          </cell>
          <cell r="C53">
            <v>39284.589999999997</v>
          </cell>
          <cell r="E53">
            <v>101.93604211064621</v>
          </cell>
          <cell r="F53">
            <v>103.28706597650151</v>
          </cell>
          <cell r="H53">
            <v>10.0425</v>
          </cell>
        </row>
        <row r="54">
          <cell r="A54">
            <v>40291</v>
          </cell>
          <cell r="B54">
            <v>8.8520690000000002</v>
          </cell>
          <cell r="C54">
            <v>39442.483999999997</v>
          </cell>
          <cell r="E54">
            <v>101.77309375836414</v>
          </cell>
          <cell r="F54">
            <v>103.7022009695177</v>
          </cell>
          <cell r="H54">
            <v>10</v>
          </cell>
        </row>
        <row r="55">
          <cell r="A55">
            <v>40292</v>
          </cell>
          <cell r="B55">
            <v>8.8520690000000002</v>
          </cell>
          <cell r="C55">
            <v>39442.483999999997</v>
          </cell>
          <cell r="E55">
            <v>101.77309375836414</v>
          </cell>
          <cell r="F55">
            <v>103.7022009695177</v>
          </cell>
          <cell r="H55">
            <v>10</v>
          </cell>
        </row>
        <row r="56">
          <cell r="A56">
            <v>40293</v>
          </cell>
          <cell r="B56">
            <v>8.8520690000000002</v>
          </cell>
          <cell r="C56">
            <v>39442.483999999997</v>
          </cell>
          <cell r="E56">
            <v>101.77309375836414</v>
          </cell>
          <cell r="F56">
            <v>103.7022009695177</v>
          </cell>
          <cell r="H56">
            <v>10</v>
          </cell>
        </row>
        <row r="57">
          <cell r="A57">
            <v>40294</v>
          </cell>
          <cell r="B57">
            <v>9.0755330000000001</v>
          </cell>
          <cell r="C57">
            <v>39485.129999999997</v>
          </cell>
          <cell r="E57">
            <v>104.3422809872051</v>
          </cell>
          <cell r="F57">
            <v>103.81432585654424</v>
          </cell>
          <cell r="H57">
            <v>9.9875000000000007</v>
          </cell>
        </row>
        <row r="58">
          <cell r="A58">
            <v>40295</v>
          </cell>
          <cell r="B58">
            <v>9.1293170000000003</v>
          </cell>
          <cell r="C58">
            <v>37973.792999999998</v>
          </cell>
          <cell r="E58">
            <v>104.96064083897534</v>
          </cell>
          <cell r="F58">
            <v>99.840717771752523</v>
          </cell>
          <cell r="H58">
            <v>9.8275000000000006</v>
          </cell>
        </row>
        <row r="59">
          <cell r="A59">
            <v>40296</v>
          </cell>
          <cell r="B59">
            <v>9.2737459999999992</v>
          </cell>
          <cell r="C59">
            <v>37923.199999999997</v>
          </cell>
          <cell r="E59">
            <v>106.62115502593284</v>
          </cell>
          <cell r="F59">
            <v>99.707698627885961</v>
          </cell>
          <cell r="H59">
            <v>9.8275000000000006</v>
          </cell>
        </row>
        <row r="60">
          <cell r="A60">
            <v>40297</v>
          </cell>
          <cell r="B60">
            <v>9.5268350000000002</v>
          </cell>
          <cell r="C60">
            <v>39273.24</v>
          </cell>
          <cell r="E60">
            <v>109.53094374608523</v>
          </cell>
          <cell r="F60">
            <v>103.25722455016022</v>
          </cell>
          <cell r="H60">
            <v>9.8574999999999999</v>
          </cell>
        </row>
        <row r="61">
          <cell r="A61">
            <v>40298</v>
          </cell>
          <cell r="B61">
            <v>9.5623269999999998</v>
          </cell>
          <cell r="C61">
            <v>39017.61</v>
          </cell>
          <cell r="E61">
            <v>109.93899870404724</v>
          </cell>
          <cell r="F61">
            <v>102.58512201133843</v>
          </cell>
          <cell r="H61">
            <v>9.8949999999999996</v>
          </cell>
        </row>
        <row r="62">
          <cell r="A62">
            <v>40299</v>
          </cell>
          <cell r="B62">
            <v>9.5623269999999998</v>
          </cell>
          <cell r="C62">
            <v>39017.61</v>
          </cell>
          <cell r="E62">
            <v>109.93899870404724</v>
          </cell>
          <cell r="F62">
            <v>102.58512201133843</v>
          </cell>
          <cell r="H62">
            <v>9.8949999999999996</v>
          </cell>
        </row>
        <row r="63">
          <cell r="A63">
            <v>40300</v>
          </cell>
          <cell r="B63">
            <v>9.5623269999999998</v>
          </cell>
          <cell r="C63">
            <v>39017.61</v>
          </cell>
          <cell r="E63">
            <v>109.93899870404724</v>
          </cell>
          <cell r="F63">
            <v>102.58512201133843</v>
          </cell>
          <cell r="H63">
            <v>9.8949999999999996</v>
          </cell>
        </row>
        <row r="64">
          <cell r="A64">
            <v>40301</v>
          </cell>
          <cell r="B64">
            <v>9.8010950000000001</v>
          </cell>
          <cell r="C64">
            <v>38696.688000000002</v>
          </cell>
          <cell r="E64">
            <v>112.68413750159809</v>
          </cell>
          <cell r="F64">
            <v>101.74135370963766</v>
          </cell>
          <cell r="H64">
            <v>9.7575000000000003</v>
          </cell>
        </row>
        <row r="65">
          <cell r="A65">
            <v>40302</v>
          </cell>
          <cell r="B65">
            <v>9.1142129999999995</v>
          </cell>
          <cell r="C65">
            <v>36952.050000000003</v>
          </cell>
          <cell r="E65">
            <v>104.78698868961609</v>
          </cell>
          <cell r="F65">
            <v>97.15435050529949</v>
          </cell>
          <cell r="H65">
            <v>9.77</v>
          </cell>
        </row>
        <row r="66">
          <cell r="A66">
            <v>40303</v>
          </cell>
          <cell r="B66">
            <v>8.893364</v>
          </cell>
          <cell r="C66">
            <v>36308.51</v>
          </cell>
          <cell r="E66">
            <v>102.24786636878456</v>
          </cell>
          <cell r="F66">
            <v>95.462354777750392</v>
          </cell>
          <cell r="H66">
            <v>9.6824999999999992</v>
          </cell>
        </row>
        <row r="67">
          <cell r="A67">
            <v>40304</v>
          </cell>
          <cell r="B67">
            <v>8.8473559999999996</v>
          </cell>
          <cell r="C67">
            <v>35065.51</v>
          </cell>
          <cell r="E67">
            <v>101.71890794136664</v>
          </cell>
          <cell r="F67">
            <v>92.194258483279938</v>
          </cell>
          <cell r="H67">
            <v>9.4550000000000001</v>
          </cell>
        </row>
        <row r="68">
          <cell r="A68">
            <v>40305</v>
          </cell>
          <cell r="B68">
            <v>8.9201239999999995</v>
          </cell>
          <cell r="C68">
            <v>33988.85</v>
          </cell>
          <cell r="E68">
            <v>102.55552867789825</v>
          </cell>
          <cell r="F68">
            <v>89.363503409744467</v>
          </cell>
          <cell r="H68">
            <v>9.5124999999999993</v>
          </cell>
        </row>
        <row r="69">
          <cell r="A69">
            <v>40306</v>
          </cell>
          <cell r="B69">
            <v>8.9201239999999995</v>
          </cell>
          <cell r="C69">
            <v>33988.85</v>
          </cell>
          <cell r="E69">
            <v>102.55552867789825</v>
          </cell>
          <cell r="F69">
            <v>89.363503409744467</v>
          </cell>
          <cell r="H69">
            <v>9.5124999999999993</v>
          </cell>
        </row>
        <row r="70">
          <cell r="A70">
            <v>40307</v>
          </cell>
          <cell r="B70">
            <v>8.9201239999999995</v>
          </cell>
          <cell r="C70">
            <v>33988.85</v>
          </cell>
          <cell r="E70">
            <v>102.55552867789825</v>
          </cell>
          <cell r="F70">
            <v>89.363503409744467</v>
          </cell>
          <cell r="H70">
            <v>9.5124999999999993</v>
          </cell>
        </row>
        <row r="71">
          <cell r="A71">
            <v>40308</v>
          </cell>
          <cell r="B71">
            <v>8.9449539999999992</v>
          </cell>
          <cell r="C71">
            <v>36614.836000000003</v>
          </cell>
          <cell r="E71">
            <v>102.84100159027841</v>
          </cell>
          <cell r="F71">
            <v>96.267747268096301</v>
          </cell>
          <cell r="H71">
            <v>9.5274999999999999</v>
          </cell>
        </row>
        <row r="72">
          <cell r="A72">
            <v>40309</v>
          </cell>
          <cell r="B72">
            <v>8.7444260000000007</v>
          </cell>
          <cell r="C72">
            <v>36135.9</v>
          </cell>
          <cell r="E72">
            <v>100.53551177256719</v>
          </cell>
          <cell r="F72">
            <v>95.00852846931231</v>
          </cell>
          <cell r="H72">
            <v>9.5824999999999996</v>
          </cell>
        </row>
        <row r="73">
          <cell r="A73">
            <v>40310</v>
          </cell>
          <cell r="B73">
            <v>9.0034150000000004</v>
          </cell>
          <cell r="C73">
            <v>36817.266000000003</v>
          </cell>
          <cell r="E73">
            <v>103.51313336356303</v>
          </cell>
          <cell r="F73">
            <v>96.799976337194977</v>
          </cell>
          <cell r="H73">
            <v>9.5950000000000006</v>
          </cell>
        </row>
        <row r="74">
          <cell r="A74">
            <v>40311</v>
          </cell>
          <cell r="B74">
            <v>9.0844970000000007</v>
          </cell>
          <cell r="C74">
            <v>36557.042999999998</v>
          </cell>
          <cell r="E74">
            <v>104.44534096250015</v>
          </cell>
          <cell r="F74">
            <v>96.11579788020704</v>
          </cell>
          <cell r="H74">
            <v>9.6050000000000004</v>
          </cell>
        </row>
        <row r="75">
          <cell r="A75">
            <v>40312</v>
          </cell>
          <cell r="B75">
            <v>8.6648840000000007</v>
          </cell>
          <cell r="C75">
            <v>35335.156000000003</v>
          </cell>
          <cell r="E75">
            <v>99.621009702629891</v>
          </cell>
          <cell r="F75">
            <v>92.903211897132536</v>
          </cell>
          <cell r="H75">
            <v>9.48</v>
          </cell>
        </row>
        <row r="76">
          <cell r="A76">
            <v>40313</v>
          </cell>
          <cell r="B76">
            <v>8.6648840000000007</v>
          </cell>
          <cell r="C76">
            <v>35335.156000000003</v>
          </cell>
          <cell r="E76">
            <v>99.621009702629891</v>
          </cell>
          <cell r="F76">
            <v>92.903211897132536</v>
          </cell>
          <cell r="H76">
            <v>9.48</v>
          </cell>
        </row>
        <row r="77">
          <cell r="A77">
            <v>40314</v>
          </cell>
          <cell r="B77">
            <v>8.6648840000000007</v>
          </cell>
          <cell r="C77">
            <v>35335.156000000003</v>
          </cell>
          <cell r="E77">
            <v>99.621009702629891</v>
          </cell>
          <cell r="F77">
            <v>92.903211897132536</v>
          </cell>
          <cell r="H77">
            <v>9.48</v>
          </cell>
        </row>
        <row r="78">
          <cell r="A78">
            <v>40315</v>
          </cell>
          <cell r="B78">
            <v>8.1940910000000002</v>
          </cell>
          <cell r="C78">
            <v>34782.703000000001</v>
          </cell>
          <cell r="E78">
            <v>94.208257030934547</v>
          </cell>
          <cell r="F78">
            <v>91.450702160874215</v>
          </cell>
          <cell r="H78">
            <v>9.41</v>
          </cell>
        </row>
        <row r="79">
          <cell r="A79">
            <v>40316</v>
          </cell>
          <cell r="B79">
            <v>8.2370950000000001</v>
          </cell>
          <cell r="C79">
            <v>33861.74</v>
          </cell>
          <cell r="E79">
            <v>94.702678179706055</v>
          </cell>
          <cell r="F79">
            <v>89.029305726727458</v>
          </cell>
          <cell r="H79">
            <v>9.3949999999999996</v>
          </cell>
        </row>
        <row r="80">
          <cell r="A80">
            <v>40317</v>
          </cell>
          <cell r="B80">
            <v>7.6782849999999998</v>
          </cell>
          <cell r="C80">
            <v>32481.333999999999</v>
          </cell>
          <cell r="E80">
            <v>88.277985543090651</v>
          </cell>
          <cell r="F80">
            <v>85.399941500287568</v>
          </cell>
          <cell r="H80">
            <v>9.3849999999999998</v>
          </cell>
        </row>
        <row r="81">
          <cell r="A81">
            <v>40318</v>
          </cell>
          <cell r="B81">
            <v>6.9444439999999998</v>
          </cell>
          <cell r="C81">
            <v>30848.217000000001</v>
          </cell>
          <cell r="E81">
            <v>79.840944564678523</v>
          </cell>
          <cell r="F81">
            <v>81.106149371456752</v>
          </cell>
          <cell r="H81">
            <v>9.44</v>
          </cell>
        </row>
        <row r="82">
          <cell r="A82">
            <v>40319</v>
          </cell>
          <cell r="B82">
            <v>7.2885520000000001</v>
          </cell>
          <cell r="C82">
            <v>32176.062999999998</v>
          </cell>
          <cell r="E82">
            <v>83.797187534203871</v>
          </cell>
          <cell r="F82">
            <v>84.59732281653109</v>
          </cell>
          <cell r="H82">
            <v>9.41</v>
          </cell>
        </row>
        <row r="83">
          <cell r="A83">
            <v>40320</v>
          </cell>
          <cell r="B83">
            <v>7.2885520000000001</v>
          </cell>
          <cell r="C83">
            <v>32176.062999999998</v>
          </cell>
          <cell r="E83">
            <v>83.797187534203871</v>
          </cell>
          <cell r="F83">
            <v>84.59732281653109</v>
          </cell>
          <cell r="H83">
            <v>9.41</v>
          </cell>
        </row>
        <row r="84">
          <cell r="A84">
            <v>40321</v>
          </cell>
          <cell r="B84">
            <v>7.2885520000000001</v>
          </cell>
          <cell r="C84">
            <v>32176.062999999998</v>
          </cell>
          <cell r="E84">
            <v>83.797187534203871</v>
          </cell>
          <cell r="F84">
            <v>84.59732281653109</v>
          </cell>
          <cell r="H84">
            <v>9.41</v>
          </cell>
        </row>
        <row r="85">
          <cell r="A85">
            <v>40322</v>
          </cell>
          <cell r="B85">
            <v>7.1192856000000004</v>
          </cell>
          <cell r="C85">
            <v>32412.842000000001</v>
          </cell>
          <cell r="E85">
            <v>81.851115356350206</v>
          </cell>
          <cell r="F85">
            <v>85.219862295620743</v>
          </cell>
          <cell r="H85">
            <v>9.4049999999999994</v>
          </cell>
        </row>
        <row r="86">
          <cell r="A86">
            <v>40323</v>
          </cell>
          <cell r="B86">
            <v>6.8641996000000001</v>
          </cell>
          <cell r="C86">
            <v>31370.76</v>
          </cell>
          <cell r="E86">
            <v>78.918366933981829</v>
          </cell>
          <cell r="F86">
            <v>82.48001971900419</v>
          </cell>
          <cell r="H86">
            <v>9.3049999999999997</v>
          </cell>
        </row>
        <row r="87">
          <cell r="A87">
            <v>40324</v>
          </cell>
          <cell r="B87">
            <v>7.1762275999999998</v>
          </cell>
          <cell r="C87">
            <v>32697.934000000001</v>
          </cell>
          <cell r="E87">
            <v>82.505783039666809</v>
          </cell>
          <cell r="F87">
            <v>85.969426341303105</v>
          </cell>
          <cell r="H87">
            <v>9.3800000000000008</v>
          </cell>
        </row>
        <row r="88">
          <cell r="A88">
            <v>40325</v>
          </cell>
          <cell r="B88">
            <v>7.2765979999999999</v>
          </cell>
          <cell r="C88">
            <v>33894.74</v>
          </cell>
          <cell r="E88">
            <v>83.659751239616966</v>
          </cell>
          <cell r="F88">
            <v>89.116069345164732</v>
          </cell>
          <cell r="H88">
            <v>9.5175000000000001</v>
          </cell>
        </row>
        <row r="89">
          <cell r="A89">
            <v>40326</v>
          </cell>
          <cell r="B89">
            <v>7.6404494999999999</v>
          </cell>
          <cell r="C89">
            <v>33952.86</v>
          </cell>
          <cell r="E89">
            <v>87.842987138887679</v>
          </cell>
          <cell r="F89">
            <v>89.268878481636676</v>
          </cell>
          <cell r="H89">
            <v>9.3774999999999995</v>
          </cell>
        </row>
        <row r="90">
          <cell r="A90">
            <v>40327</v>
          </cell>
          <cell r="B90">
            <v>7.6404494999999999</v>
          </cell>
          <cell r="C90">
            <v>33952.86</v>
          </cell>
          <cell r="E90">
            <v>87.842987138887679</v>
          </cell>
          <cell r="F90">
            <v>89.268878481636676</v>
          </cell>
          <cell r="H90">
            <v>9.3774999999999995</v>
          </cell>
        </row>
        <row r="91">
          <cell r="A91">
            <v>40328</v>
          </cell>
          <cell r="B91">
            <v>7.6404494999999999</v>
          </cell>
          <cell r="C91">
            <v>33952.86</v>
          </cell>
          <cell r="E91">
            <v>87.842987138887679</v>
          </cell>
          <cell r="F91">
            <v>89.268878481636676</v>
          </cell>
          <cell r="H91">
            <v>9.3774999999999995</v>
          </cell>
        </row>
        <row r="92">
          <cell r="A92">
            <v>40329</v>
          </cell>
          <cell r="B92">
            <v>7.6404494999999999</v>
          </cell>
          <cell r="C92">
            <v>33952.86</v>
          </cell>
          <cell r="E92">
            <v>87.842987138887679</v>
          </cell>
          <cell r="F92">
            <v>89.268878481636676</v>
          </cell>
          <cell r="H92">
            <v>9.3774999999999995</v>
          </cell>
        </row>
        <row r="93">
          <cell r="A93">
            <v>40330</v>
          </cell>
          <cell r="B93">
            <v>7.4708857999999996</v>
          </cell>
          <cell r="C93">
            <v>33971.097999999998</v>
          </cell>
          <cell r="E93">
            <v>85.89349687416933</v>
          </cell>
          <cell r="F93">
            <v>89.31682984142634</v>
          </cell>
          <cell r="H93">
            <v>9.32</v>
          </cell>
        </row>
        <row r="94">
          <cell r="A94">
            <v>40331</v>
          </cell>
          <cell r="B94">
            <v>7.3950863</v>
          </cell>
          <cell r="C94">
            <v>34326.565999999999</v>
          </cell>
          <cell r="E94">
            <v>85.022022688830617</v>
          </cell>
          <cell r="F94">
            <v>90.251426505628132</v>
          </cell>
          <cell r="H94">
            <v>9.3249999999999993</v>
          </cell>
        </row>
        <row r="95">
          <cell r="A95">
            <v>40332</v>
          </cell>
          <cell r="B95">
            <v>7.4538260000000003</v>
          </cell>
          <cell r="C95">
            <v>34599.222999999998</v>
          </cell>
          <cell r="E95">
            <v>85.697358702980324</v>
          </cell>
          <cell r="F95">
            <v>90.968296442362984</v>
          </cell>
          <cell r="H95">
            <v>9.5500000000000007</v>
          </cell>
        </row>
        <row r="96">
          <cell r="A96">
            <v>40333</v>
          </cell>
          <cell r="B96">
            <v>7.6151650000000002</v>
          </cell>
          <cell r="C96">
            <v>33523.983999999997</v>
          </cell>
          <cell r="E96">
            <v>87.552288796033224</v>
          </cell>
          <cell r="F96">
            <v>88.141277462821449</v>
          </cell>
          <cell r="H96">
            <v>9.35</v>
          </cell>
        </row>
        <row r="97">
          <cell r="A97">
            <v>40334</v>
          </cell>
          <cell r="B97">
            <v>7.6151650000000002</v>
          </cell>
          <cell r="C97">
            <v>33523.983999999997</v>
          </cell>
          <cell r="E97">
            <v>87.552288796033224</v>
          </cell>
          <cell r="F97">
            <v>88.141277462821449</v>
          </cell>
          <cell r="H97">
            <v>9.35</v>
          </cell>
        </row>
        <row r="98">
          <cell r="A98">
            <v>40335</v>
          </cell>
          <cell r="B98">
            <v>7.6151650000000002</v>
          </cell>
          <cell r="C98">
            <v>33523.983999999997</v>
          </cell>
          <cell r="E98">
            <v>87.552288796033224</v>
          </cell>
          <cell r="F98">
            <v>88.141277462821449</v>
          </cell>
          <cell r="H98">
            <v>9.35</v>
          </cell>
        </row>
        <row r="99">
          <cell r="A99">
            <v>40336</v>
          </cell>
          <cell r="B99">
            <v>7.5824819999999997</v>
          </cell>
          <cell r="C99">
            <v>32716.388999999999</v>
          </cell>
          <cell r="E99">
            <v>87.176529182850743</v>
          </cell>
          <cell r="F99">
            <v>86.017948237613993</v>
          </cell>
          <cell r="H99">
            <v>9.35</v>
          </cell>
        </row>
        <row r="100">
          <cell r="A100">
            <v>40337</v>
          </cell>
          <cell r="B100">
            <v>7.5687221999999998</v>
          </cell>
          <cell r="C100">
            <v>32982.656000000003</v>
          </cell>
          <cell r="E100">
            <v>87.018331430947043</v>
          </cell>
          <cell r="F100">
            <v>86.718017582778742</v>
          </cell>
          <cell r="H100">
            <v>9.31</v>
          </cell>
        </row>
        <row r="101">
          <cell r="A101">
            <v>40338</v>
          </cell>
          <cell r="B101">
            <v>7.5980987999999998</v>
          </cell>
          <cell r="C101">
            <v>33389.605000000003</v>
          </cell>
          <cell r="E101">
            <v>87.356077043424989</v>
          </cell>
          <cell r="F101">
            <v>87.787968120943233</v>
          </cell>
          <cell r="H101">
            <v>9.4350000000000005</v>
          </cell>
        </row>
        <row r="102">
          <cell r="A102">
            <v>40339</v>
          </cell>
          <cell r="B102">
            <v>7.7956320000000003</v>
          </cell>
          <cell r="C102">
            <v>34637.438000000002</v>
          </cell>
          <cell r="E102">
            <v>89.627135355779956</v>
          </cell>
          <cell r="F102">
            <v>91.068771341713912</v>
          </cell>
          <cell r="H102">
            <v>9.35</v>
          </cell>
        </row>
        <row r="103">
          <cell r="A103">
            <v>40340</v>
          </cell>
          <cell r="B103">
            <v>7.8488854999999997</v>
          </cell>
          <cell r="C103">
            <v>35181.913999999997</v>
          </cell>
          <cell r="E103">
            <v>90.239395997722653</v>
          </cell>
          <cell r="F103">
            <v>92.500307945115438</v>
          </cell>
          <cell r="H103">
            <v>9.4625000000000004</v>
          </cell>
        </row>
        <row r="104">
          <cell r="A104">
            <v>40341</v>
          </cell>
          <cell r="B104">
            <v>7.8488854999999997</v>
          </cell>
          <cell r="C104">
            <v>35181.913999999997</v>
          </cell>
          <cell r="E104">
            <v>90.239395997722653</v>
          </cell>
          <cell r="F104">
            <v>92.500307945115438</v>
          </cell>
          <cell r="H104">
            <v>9.4625000000000004</v>
          </cell>
        </row>
        <row r="105">
          <cell r="A105">
            <v>40342</v>
          </cell>
          <cell r="B105">
            <v>7.8488854999999997</v>
          </cell>
          <cell r="C105">
            <v>35181.913999999997</v>
          </cell>
          <cell r="E105">
            <v>90.239395997722653</v>
          </cell>
          <cell r="F105">
            <v>92.500307945115438</v>
          </cell>
          <cell r="H105">
            <v>9.4625000000000004</v>
          </cell>
        </row>
        <row r="106">
          <cell r="A106">
            <v>40343</v>
          </cell>
          <cell r="B106">
            <v>7.8840709999999996</v>
          </cell>
          <cell r="C106">
            <v>35274.472999999998</v>
          </cell>
          <cell r="E106">
            <v>90.643927095529833</v>
          </cell>
          <cell r="F106">
            <v>92.743664119628619</v>
          </cell>
          <cell r="H106">
            <v>9.5150000000000006</v>
          </cell>
        </row>
        <row r="107">
          <cell r="A107">
            <v>40344</v>
          </cell>
          <cell r="B107">
            <v>7.9150524000000004</v>
          </cell>
          <cell r="C107">
            <v>35919.995999999999</v>
          </cell>
          <cell r="E107">
            <v>91.000123248877202</v>
          </cell>
          <cell r="F107">
            <v>94.44087355188563</v>
          </cell>
          <cell r="H107">
            <v>9.4949999999999992</v>
          </cell>
        </row>
        <row r="108">
          <cell r="A108">
            <v>40345</v>
          </cell>
          <cell r="B108">
            <v>7.8197001999999998</v>
          </cell>
          <cell r="C108">
            <v>36166.508000000002</v>
          </cell>
          <cell r="E108">
            <v>89.903849779853587</v>
          </cell>
          <cell r="F108">
            <v>95.089003040013154</v>
          </cell>
          <cell r="H108">
            <v>9.5775000000000006</v>
          </cell>
        </row>
        <row r="109">
          <cell r="A109">
            <v>40346</v>
          </cell>
          <cell r="B109">
            <v>7.8488536</v>
          </cell>
          <cell r="C109">
            <v>36183.726999999999</v>
          </cell>
          <cell r="E109">
            <v>90.239029240336222</v>
          </cell>
          <cell r="F109">
            <v>95.134275244433482</v>
          </cell>
          <cell r="H109">
            <v>9.52</v>
          </cell>
        </row>
        <row r="110">
          <cell r="A110">
            <v>40347</v>
          </cell>
          <cell r="B110">
            <v>7.8614926000000001</v>
          </cell>
          <cell r="C110">
            <v>36339.71</v>
          </cell>
          <cell r="E110">
            <v>90.384341046199012</v>
          </cell>
          <cell r="F110">
            <v>95.544385835181984</v>
          </cell>
          <cell r="H110">
            <v>9.61</v>
          </cell>
        </row>
        <row r="111">
          <cell r="A111">
            <v>40348</v>
          </cell>
          <cell r="B111">
            <v>7.8614926000000001</v>
          </cell>
          <cell r="C111">
            <v>36339.71</v>
          </cell>
          <cell r="E111">
            <v>90.384341046199012</v>
          </cell>
          <cell r="F111">
            <v>95.544385835181984</v>
          </cell>
          <cell r="H111">
            <v>9.61</v>
          </cell>
        </row>
        <row r="112">
          <cell r="A112">
            <v>40349</v>
          </cell>
          <cell r="B112">
            <v>7.8614926000000001</v>
          </cell>
          <cell r="C112">
            <v>36339.71</v>
          </cell>
          <cell r="E112">
            <v>90.384341046199012</v>
          </cell>
          <cell r="F112">
            <v>95.544385835181984</v>
          </cell>
          <cell r="H112">
            <v>9.61</v>
          </cell>
        </row>
        <row r="113">
          <cell r="A113">
            <v>40350</v>
          </cell>
          <cell r="B113">
            <v>8.1079550000000005</v>
          </cell>
          <cell r="C113">
            <v>36757.402000000002</v>
          </cell>
          <cell r="E113">
            <v>93.217943105007123</v>
          </cell>
          <cell r="F113">
            <v>96.642581874948647</v>
          </cell>
          <cell r="H113">
            <v>9.6325000000000003</v>
          </cell>
        </row>
        <row r="114">
          <cell r="A114">
            <v>40351</v>
          </cell>
          <cell r="B114">
            <v>8.0718770000000006</v>
          </cell>
          <cell r="C114">
            <v>36737.593999999997</v>
          </cell>
          <cell r="E114">
            <v>92.803150848347784</v>
          </cell>
          <cell r="F114">
            <v>96.590502670281808</v>
          </cell>
          <cell r="H114">
            <v>9.6549999999999994</v>
          </cell>
        </row>
        <row r="115">
          <cell r="A115">
            <v>40352</v>
          </cell>
          <cell r="B115">
            <v>7.7635864999999997</v>
          </cell>
          <cell r="C115">
            <v>36263.644999999997</v>
          </cell>
          <cell r="E115">
            <v>89.258705141777597</v>
          </cell>
          <cell r="F115">
            <v>95.344395694684081</v>
          </cell>
          <cell r="H115">
            <v>9.58</v>
          </cell>
        </row>
        <row r="116">
          <cell r="A116">
            <v>40353</v>
          </cell>
          <cell r="B116">
            <v>7.7270700000000003</v>
          </cell>
          <cell r="C116">
            <v>35670.995999999999</v>
          </cell>
          <cell r="E116">
            <v>88.838871408192006</v>
          </cell>
          <cell r="F116">
            <v>93.786202612768051</v>
          </cell>
          <cell r="H116">
            <v>9.5549999999999997</v>
          </cell>
        </row>
        <row r="117">
          <cell r="A117">
            <v>40354</v>
          </cell>
          <cell r="B117">
            <v>7.667338</v>
          </cell>
          <cell r="C117">
            <v>36279.285000000003</v>
          </cell>
          <cell r="E117">
            <v>88.152126824934157</v>
          </cell>
          <cell r="F117">
            <v>95.385516391422243</v>
          </cell>
          <cell r="H117">
            <v>9.57</v>
          </cell>
        </row>
        <row r="118">
          <cell r="A118">
            <v>40355</v>
          </cell>
          <cell r="B118">
            <v>7.667338</v>
          </cell>
          <cell r="C118">
            <v>36279.285000000003</v>
          </cell>
          <cell r="E118">
            <v>88.152126824934157</v>
          </cell>
          <cell r="F118">
            <v>95.385516391422243</v>
          </cell>
          <cell r="H118">
            <v>9.57</v>
          </cell>
        </row>
        <row r="119">
          <cell r="A119">
            <v>40356</v>
          </cell>
          <cell r="B119">
            <v>7.667338</v>
          </cell>
          <cell r="C119">
            <v>36279.285000000003</v>
          </cell>
          <cell r="E119">
            <v>88.152126824934157</v>
          </cell>
          <cell r="F119">
            <v>95.385516391422243</v>
          </cell>
          <cell r="H119">
            <v>9.57</v>
          </cell>
        </row>
        <row r="120">
          <cell r="A120">
            <v>40357</v>
          </cell>
          <cell r="B120">
            <v>7.5885324000000001</v>
          </cell>
          <cell r="C120">
            <v>36101.862999999998</v>
          </cell>
          <cell r="E120">
            <v>87.246091217045858</v>
          </cell>
          <cell r="F120">
            <v>94.919038369895645</v>
          </cell>
          <cell r="H120">
            <v>9.5500000000000007</v>
          </cell>
        </row>
        <row r="121">
          <cell r="A121">
            <v>40358</v>
          </cell>
          <cell r="B121">
            <v>7.4238470000000003</v>
          </cell>
          <cell r="C121">
            <v>34388.230000000003</v>
          </cell>
          <cell r="E121">
            <v>85.352687239418302</v>
          </cell>
          <cell r="F121">
            <v>90.413553528880129</v>
          </cell>
          <cell r="H121">
            <v>9.4725000000000001</v>
          </cell>
        </row>
        <row r="122">
          <cell r="A122">
            <v>40359</v>
          </cell>
          <cell r="B122">
            <v>7.4341187</v>
          </cell>
          <cell r="C122">
            <v>33806.324000000001</v>
          </cell>
          <cell r="E122">
            <v>85.470781968137402</v>
          </cell>
          <cell r="F122">
            <v>88.88360594856627</v>
          </cell>
          <cell r="H122">
            <v>9.4849999999999994</v>
          </cell>
        </row>
        <row r="123">
          <cell r="A123">
            <v>40360</v>
          </cell>
          <cell r="B123">
            <v>7.4621909999999998</v>
          </cell>
          <cell r="C123">
            <v>33923.995999999999</v>
          </cell>
          <cell r="E123">
            <v>85.793531917320237</v>
          </cell>
          <cell r="F123">
            <v>89.192989236710204</v>
          </cell>
          <cell r="H123">
            <v>9.5350000000000001</v>
          </cell>
        </row>
        <row r="124">
          <cell r="A124">
            <v>40361</v>
          </cell>
          <cell r="B124">
            <v>7.5581402999999998</v>
          </cell>
          <cell r="C124">
            <v>34674.754000000001</v>
          </cell>
          <cell r="E124">
            <v>86.896670302815124</v>
          </cell>
          <cell r="F124">
            <v>91.166882589762551</v>
          </cell>
          <cell r="H124">
            <v>9.6274999999999995</v>
          </cell>
        </row>
        <row r="125">
          <cell r="A125">
            <v>40362</v>
          </cell>
          <cell r="B125">
            <v>7.5581402999999998</v>
          </cell>
          <cell r="C125">
            <v>34674.754000000001</v>
          </cell>
          <cell r="E125">
            <v>86.896670302815124</v>
          </cell>
          <cell r="F125">
            <v>91.166882589762551</v>
          </cell>
          <cell r="H125">
            <v>9.6274999999999995</v>
          </cell>
        </row>
        <row r="126">
          <cell r="A126">
            <v>40363</v>
          </cell>
          <cell r="B126">
            <v>7.5581402999999998</v>
          </cell>
          <cell r="C126">
            <v>34674.754000000001</v>
          </cell>
          <cell r="E126">
            <v>86.896670302815124</v>
          </cell>
          <cell r="F126">
            <v>91.166882589762551</v>
          </cell>
          <cell r="H126">
            <v>9.6274999999999995</v>
          </cell>
        </row>
        <row r="127">
          <cell r="A127">
            <v>40364</v>
          </cell>
          <cell r="B127">
            <v>7.5581402999999998</v>
          </cell>
          <cell r="C127">
            <v>34674.754000000001</v>
          </cell>
          <cell r="E127">
            <v>86.896670302815124</v>
          </cell>
          <cell r="F127">
            <v>91.166882589762551</v>
          </cell>
          <cell r="H127">
            <v>9.6274999999999995</v>
          </cell>
        </row>
        <row r="128">
          <cell r="A128">
            <v>40365</v>
          </cell>
          <cell r="B128">
            <v>7.763579</v>
          </cell>
          <cell r="C128">
            <v>35171.137000000002</v>
          </cell>
          <cell r="E128">
            <v>89.258618913551942</v>
          </cell>
          <cell r="F128">
            <v>92.471973050694274</v>
          </cell>
          <cell r="H128">
            <v>9.6425000000000001</v>
          </cell>
        </row>
        <row r="129">
          <cell r="A129">
            <v>40366</v>
          </cell>
          <cell r="B129">
            <v>7.7409882999999997</v>
          </cell>
          <cell r="C129">
            <v>35757.599999999999</v>
          </cell>
          <cell r="E129">
            <v>88.998891449931051</v>
          </cell>
          <cell r="F129">
            <v>94.013901897954142</v>
          </cell>
          <cell r="H129">
            <v>9.93</v>
          </cell>
        </row>
        <row r="130">
          <cell r="A130">
            <v>40367</v>
          </cell>
          <cell r="B130">
            <v>7.6892633000000004</v>
          </cell>
          <cell r="C130">
            <v>35888.688000000002</v>
          </cell>
          <cell r="E130">
            <v>88.404204120375525</v>
          </cell>
          <cell r="F130">
            <v>94.358558540793695</v>
          </cell>
          <cell r="H130">
            <v>10.125</v>
          </cell>
        </row>
        <row r="131">
          <cell r="A131">
            <v>40368</v>
          </cell>
          <cell r="B131">
            <v>7.7239810000000002</v>
          </cell>
          <cell r="C131">
            <v>36050.726999999999</v>
          </cell>
          <cell r="E131">
            <v>88.803356876321587</v>
          </cell>
          <cell r="F131">
            <v>94.784591570125713</v>
          </cell>
          <cell r="H131">
            <v>10.255000000000001</v>
          </cell>
        </row>
        <row r="132">
          <cell r="A132">
            <v>40369</v>
          </cell>
          <cell r="B132">
            <v>7.7239810000000002</v>
          </cell>
          <cell r="C132">
            <v>36050.726999999999</v>
          </cell>
          <cell r="E132">
            <v>88.803356876321587</v>
          </cell>
          <cell r="F132">
            <v>94.784591570125713</v>
          </cell>
          <cell r="H132">
            <v>10.255000000000001</v>
          </cell>
        </row>
        <row r="133">
          <cell r="A133">
            <v>40370</v>
          </cell>
          <cell r="B133">
            <v>7.7239810000000002</v>
          </cell>
          <cell r="C133">
            <v>36050.726999999999</v>
          </cell>
          <cell r="E133">
            <v>88.803356876321587</v>
          </cell>
          <cell r="F133">
            <v>94.784591570125713</v>
          </cell>
          <cell r="H133">
            <v>10.255000000000001</v>
          </cell>
        </row>
        <row r="134">
          <cell r="A134">
            <v>40371</v>
          </cell>
          <cell r="B134">
            <v>7.3845115000000003</v>
          </cell>
          <cell r="C134">
            <v>35708.875</v>
          </cell>
          <cell r="E134">
            <v>84.900443190085639</v>
          </cell>
          <cell r="F134">
            <v>93.885794100731246</v>
          </cell>
          <cell r="H134">
            <v>10.317500000000001</v>
          </cell>
        </row>
        <row r="135">
          <cell r="A135">
            <v>40372</v>
          </cell>
          <cell r="B135">
            <v>7.9981730000000004</v>
          </cell>
          <cell r="C135">
            <v>36357.47</v>
          </cell>
          <cell r="E135">
            <v>91.955768829255234</v>
          </cell>
          <cell r="F135">
            <v>95.591080437104594</v>
          </cell>
          <cell r="H135">
            <v>10.305</v>
          </cell>
        </row>
        <row r="136">
          <cell r="A136">
            <v>40373</v>
          </cell>
          <cell r="B136">
            <v>7.9886689999999998</v>
          </cell>
          <cell r="C136">
            <v>35965.699999999997</v>
          </cell>
          <cell r="E136">
            <v>91.8465004217135</v>
          </cell>
          <cell r="F136">
            <v>94.561038534220671</v>
          </cell>
          <cell r="H136">
            <v>10.36</v>
          </cell>
        </row>
        <row r="137">
          <cell r="A137">
            <v>40374</v>
          </cell>
          <cell r="B137">
            <v>8.0257729999999992</v>
          </cell>
          <cell r="C137">
            <v>35883.89</v>
          </cell>
          <cell r="E137">
            <v>92.273088699641548</v>
          </cell>
          <cell r="F137">
            <v>94.345943636513013</v>
          </cell>
          <cell r="H137">
            <v>10.19</v>
          </cell>
        </row>
        <row r="138">
          <cell r="A138">
            <v>40375</v>
          </cell>
          <cell r="B138">
            <v>7.9399439999999997</v>
          </cell>
          <cell r="C138">
            <v>35054.555</v>
          </cell>
          <cell r="E138">
            <v>91.286304382417342</v>
          </cell>
          <cell r="F138">
            <v>92.165455591159315</v>
          </cell>
          <cell r="H138">
            <v>10.195</v>
          </cell>
        </row>
        <row r="139">
          <cell r="A139">
            <v>40376</v>
          </cell>
          <cell r="B139">
            <v>7.9399439999999997</v>
          </cell>
          <cell r="C139">
            <v>35054.555</v>
          </cell>
          <cell r="E139">
            <v>91.286304382417342</v>
          </cell>
          <cell r="F139">
            <v>92.165455591159315</v>
          </cell>
          <cell r="H139">
            <v>10.195</v>
          </cell>
        </row>
        <row r="140">
          <cell r="A140">
            <v>40377</v>
          </cell>
          <cell r="B140">
            <v>7.9399439999999997</v>
          </cell>
          <cell r="C140">
            <v>35054.555</v>
          </cell>
          <cell r="E140">
            <v>91.286304382417342</v>
          </cell>
          <cell r="F140">
            <v>92.165455591159315</v>
          </cell>
          <cell r="H140">
            <v>10.195</v>
          </cell>
        </row>
        <row r="141">
          <cell r="A141">
            <v>40378</v>
          </cell>
          <cell r="B141">
            <v>8.0121020000000005</v>
          </cell>
          <cell r="C141">
            <v>35464.5</v>
          </cell>
          <cell r="E141">
            <v>92.115911889929563</v>
          </cell>
          <cell r="F141">
            <v>93.243283214197675</v>
          </cell>
          <cell r="H141">
            <v>10.08</v>
          </cell>
        </row>
        <row r="142">
          <cell r="A142">
            <v>40379</v>
          </cell>
          <cell r="B142">
            <v>8.0296479999999999</v>
          </cell>
          <cell r="C142">
            <v>36196.586000000003</v>
          </cell>
          <cell r="E142">
            <v>92.317639949559933</v>
          </cell>
          <cell r="F142">
            <v>95.168084134417882</v>
          </cell>
          <cell r="H142">
            <v>10.1175</v>
          </cell>
        </row>
        <row r="143">
          <cell r="A143">
            <v>40380</v>
          </cell>
          <cell r="B143">
            <v>7.8875460000000004</v>
          </cell>
          <cell r="C143">
            <v>36326.004000000001</v>
          </cell>
          <cell r="E143">
            <v>90.683879506746962</v>
          </cell>
          <cell r="F143">
            <v>95.508350012324385</v>
          </cell>
          <cell r="H143">
            <v>10.1525</v>
          </cell>
        </row>
        <row r="144">
          <cell r="A144">
            <v>40381</v>
          </cell>
          <cell r="B144">
            <v>8.1464660000000002</v>
          </cell>
          <cell r="C144">
            <v>37325.065999999999</v>
          </cell>
          <cell r="E144">
            <v>93.660707798066838</v>
          </cell>
          <cell r="F144">
            <v>98.135084380905425</v>
          </cell>
          <cell r="H144">
            <v>10.16</v>
          </cell>
        </row>
        <row r="145">
          <cell r="A145">
            <v>40382</v>
          </cell>
          <cell r="B145">
            <v>8.1734589999999994</v>
          </cell>
          <cell r="C145">
            <v>37645.019999999997</v>
          </cell>
          <cell r="E145">
            <v>93.971048930723995</v>
          </cell>
          <cell r="F145">
            <v>98.976307616465363</v>
          </cell>
          <cell r="H145">
            <v>10.17</v>
          </cell>
        </row>
        <row r="146">
          <cell r="A146">
            <v>40383</v>
          </cell>
          <cell r="B146">
            <v>8.1734589999999994</v>
          </cell>
          <cell r="C146">
            <v>37645.019999999997</v>
          </cell>
          <cell r="E146">
            <v>93.971048930723995</v>
          </cell>
          <cell r="F146">
            <v>98.976307616465363</v>
          </cell>
          <cell r="H146">
            <v>10.17</v>
          </cell>
        </row>
        <row r="147">
          <cell r="A147">
            <v>40384</v>
          </cell>
          <cell r="B147">
            <v>8.1734589999999994</v>
          </cell>
          <cell r="C147">
            <v>37645.019999999997</v>
          </cell>
          <cell r="E147">
            <v>93.971048930723995</v>
          </cell>
          <cell r="F147">
            <v>98.976307616465363</v>
          </cell>
          <cell r="H147">
            <v>10.17</v>
          </cell>
        </row>
        <row r="148">
          <cell r="A148">
            <v>40385</v>
          </cell>
          <cell r="B148">
            <v>8.0840019999999999</v>
          </cell>
          <cell r="C148">
            <v>37508.9</v>
          </cell>
          <cell r="E148">
            <v>92.94255314647944</v>
          </cell>
          <cell r="F148">
            <v>98.61842083641443</v>
          </cell>
          <cell r="H148">
            <v>9.9824999999999999</v>
          </cell>
        </row>
        <row r="149">
          <cell r="A149">
            <v>40386</v>
          </cell>
          <cell r="B149">
            <v>8.0430170000000007</v>
          </cell>
          <cell r="C149">
            <v>37738.47</v>
          </cell>
          <cell r="E149">
            <v>92.471344636052507</v>
          </cell>
          <cell r="F149">
            <v>99.222006408676364</v>
          </cell>
          <cell r="H149">
            <v>9.98</v>
          </cell>
        </row>
        <row r="150">
          <cell r="A150">
            <v>40387</v>
          </cell>
          <cell r="B150">
            <v>8.3338049999999999</v>
          </cell>
          <cell r="C150">
            <v>37875.300000000003</v>
          </cell>
          <cell r="E150">
            <v>95.814562406701057</v>
          </cell>
          <cell r="F150">
            <v>99.581759921123989</v>
          </cell>
          <cell r="H150">
            <v>10.105</v>
          </cell>
        </row>
        <row r="151">
          <cell r="A151">
            <v>40388</v>
          </cell>
          <cell r="B151">
            <v>8.6066629999999993</v>
          </cell>
          <cell r="C151">
            <v>37961.065999999999</v>
          </cell>
          <cell r="E151">
            <v>98.951637232566014</v>
          </cell>
          <cell r="F151">
            <v>99.807255936241873</v>
          </cell>
          <cell r="H151">
            <v>10.2675</v>
          </cell>
        </row>
        <row r="152">
          <cell r="A152">
            <v>40389</v>
          </cell>
          <cell r="B152">
            <v>8.5547819999999994</v>
          </cell>
          <cell r="C152">
            <v>38377.375</v>
          </cell>
          <cell r="E152">
            <v>98.355156355916989</v>
          </cell>
          <cell r="F152">
            <v>100.90181579163587</v>
          </cell>
          <cell r="H152">
            <v>10.525</v>
          </cell>
        </row>
        <row r="153">
          <cell r="A153">
            <v>40390</v>
          </cell>
          <cell r="B153">
            <v>8.5547819999999994</v>
          </cell>
          <cell r="C153">
            <v>38377.375</v>
          </cell>
          <cell r="E153">
            <v>98.355156355916989</v>
          </cell>
          <cell r="F153">
            <v>100.90181579163587</v>
          </cell>
          <cell r="H153">
            <v>10.525</v>
          </cell>
        </row>
        <row r="154">
          <cell r="A154">
            <v>40391</v>
          </cell>
          <cell r="B154">
            <v>8.5547819999999994</v>
          </cell>
          <cell r="C154">
            <v>38377.375</v>
          </cell>
          <cell r="E154">
            <v>98.355156355916989</v>
          </cell>
          <cell r="F154">
            <v>100.90181579163587</v>
          </cell>
          <cell r="H154">
            <v>10.525</v>
          </cell>
        </row>
        <row r="155">
          <cell r="A155">
            <v>40392</v>
          </cell>
          <cell r="B155">
            <v>8.6996339999999996</v>
          </cell>
          <cell r="C155">
            <v>39215.58</v>
          </cell>
          <cell r="E155">
            <v>100.02053381480107</v>
          </cell>
          <cell r="F155">
            <v>103.10562484594527</v>
          </cell>
          <cell r="H155">
            <v>10.532500000000001</v>
          </cell>
        </row>
        <row r="156">
          <cell r="A156">
            <v>40393</v>
          </cell>
          <cell r="B156">
            <v>8.9639509999999998</v>
          </cell>
          <cell r="C156">
            <v>38601.964999999997</v>
          </cell>
          <cell r="E156">
            <v>103.0594119372976</v>
          </cell>
          <cell r="F156">
            <v>101.49230794511543</v>
          </cell>
          <cell r="H156">
            <v>10.535</v>
          </cell>
        </row>
        <row r="157">
          <cell r="A157">
            <v>40394</v>
          </cell>
          <cell r="B157">
            <v>9.1686789999999991</v>
          </cell>
          <cell r="C157">
            <v>38807.445</v>
          </cell>
          <cell r="E157">
            <v>105.41318956137195</v>
          </cell>
          <cell r="F157">
            <v>102.03255607591817</v>
          </cell>
          <cell r="H157">
            <v>10.53</v>
          </cell>
        </row>
        <row r="158">
          <cell r="A158">
            <v>40395</v>
          </cell>
          <cell r="B158">
            <v>9.1098009999999991</v>
          </cell>
          <cell r="C158">
            <v>38951.074000000001</v>
          </cell>
          <cell r="E158">
            <v>104.73626349874128</v>
          </cell>
          <cell r="F158">
            <v>102.41018552296441</v>
          </cell>
          <cell r="H158">
            <v>10.55</v>
          </cell>
        </row>
        <row r="159">
          <cell r="A159">
            <v>40396</v>
          </cell>
          <cell r="B159">
            <v>9.3191185000000001</v>
          </cell>
          <cell r="C159">
            <v>38717.699999999997</v>
          </cell>
          <cell r="E159">
            <v>107.14280704836415</v>
          </cell>
          <cell r="F159">
            <v>101.79659847177717</v>
          </cell>
          <cell r="H159">
            <v>10.59</v>
          </cell>
        </row>
        <row r="160">
          <cell r="A160">
            <v>40397</v>
          </cell>
          <cell r="B160">
            <v>9.3191185000000001</v>
          </cell>
          <cell r="C160">
            <v>38717.699999999997</v>
          </cell>
          <cell r="E160">
            <v>107.14280704836415</v>
          </cell>
          <cell r="F160">
            <v>101.79659847177717</v>
          </cell>
          <cell r="H160">
            <v>10.59</v>
          </cell>
        </row>
        <row r="161">
          <cell r="A161">
            <v>40398</v>
          </cell>
          <cell r="B161">
            <v>9.3191185000000001</v>
          </cell>
          <cell r="C161">
            <v>38717.699999999997</v>
          </cell>
          <cell r="E161">
            <v>107.14280704836415</v>
          </cell>
          <cell r="F161">
            <v>101.79659847177717</v>
          </cell>
          <cell r="H161">
            <v>10.59</v>
          </cell>
        </row>
        <row r="162">
          <cell r="A162">
            <v>40399</v>
          </cell>
          <cell r="B162">
            <v>9.6323729999999994</v>
          </cell>
          <cell r="C162">
            <v>38678.983999999997</v>
          </cell>
          <cell r="E162">
            <v>110.74432434321683</v>
          </cell>
          <cell r="F162">
            <v>101.69480634294634</v>
          </cell>
          <cell r="H162">
            <v>10.484999999999999</v>
          </cell>
        </row>
        <row r="163">
          <cell r="A163">
            <v>40400</v>
          </cell>
          <cell r="B163">
            <v>9.4527079999999994</v>
          </cell>
          <cell r="C163">
            <v>38164.660000000003</v>
          </cell>
          <cell r="E163">
            <v>108.67869845506613</v>
          </cell>
          <cell r="F163">
            <v>100.3425453947909</v>
          </cell>
          <cell r="H163">
            <v>10.362500000000001</v>
          </cell>
        </row>
        <row r="164">
          <cell r="A164">
            <v>40401</v>
          </cell>
          <cell r="B164">
            <v>9.085267</v>
          </cell>
          <cell r="C164">
            <v>37125.61</v>
          </cell>
          <cell r="E164">
            <v>104.45419372700005</v>
          </cell>
          <cell r="F164">
            <v>97.610674554268343</v>
          </cell>
          <cell r="H164">
            <v>10.445</v>
          </cell>
        </row>
        <row r="165">
          <cell r="A165">
            <v>40402</v>
          </cell>
          <cell r="B165">
            <v>9.4672879999999999</v>
          </cell>
          <cell r="C165">
            <v>37284.82</v>
          </cell>
          <cell r="E165">
            <v>108.84632612572673</v>
          </cell>
          <cell r="F165">
            <v>98.029269575219786</v>
          </cell>
          <cell r="H165">
            <v>10.57</v>
          </cell>
        </row>
        <row r="166">
          <cell r="A166">
            <v>40403</v>
          </cell>
          <cell r="B166">
            <v>9.5143989999999992</v>
          </cell>
          <cell r="C166">
            <v>37416.39</v>
          </cell>
          <cell r="E166">
            <v>109.38796585086332</v>
          </cell>
          <cell r="F166">
            <v>98.375193492728613</v>
          </cell>
          <cell r="H166">
            <v>10.52</v>
          </cell>
        </row>
        <row r="167">
          <cell r="A167">
            <v>40404</v>
          </cell>
          <cell r="B167">
            <v>9.5143989999999992</v>
          </cell>
          <cell r="C167">
            <v>37416.39</v>
          </cell>
          <cell r="E167">
            <v>109.38796585086332</v>
          </cell>
          <cell r="F167">
            <v>98.375193492728613</v>
          </cell>
          <cell r="H167">
            <v>10.52</v>
          </cell>
        </row>
        <row r="168">
          <cell r="A168">
            <v>40405</v>
          </cell>
          <cell r="B168">
            <v>9.5143989999999992</v>
          </cell>
          <cell r="C168">
            <v>37416.39</v>
          </cell>
          <cell r="E168">
            <v>109.38796585086332</v>
          </cell>
          <cell r="F168">
            <v>98.375193492728613</v>
          </cell>
          <cell r="H168">
            <v>10.52</v>
          </cell>
        </row>
        <row r="169">
          <cell r="A169">
            <v>40406</v>
          </cell>
          <cell r="B169">
            <v>9.0803390000000004</v>
          </cell>
          <cell r="C169">
            <v>37831.093999999997</v>
          </cell>
          <cell r="E169">
            <v>104.39753603420063</v>
          </cell>
          <cell r="F169">
            <v>99.465533481225847</v>
          </cell>
          <cell r="H169">
            <v>10.34</v>
          </cell>
        </row>
        <row r="170">
          <cell r="A170">
            <v>40407</v>
          </cell>
          <cell r="B170">
            <v>9.1851599999999998</v>
          </cell>
          <cell r="C170">
            <v>38604.959999999999</v>
          </cell>
          <cell r="E170">
            <v>105.60267321296027</v>
          </cell>
          <cell r="F170">
            <v>101.50018240078876</v>
          </cell>
          <cell r="H170">
            <v>10.452500000000001</v>
          </cell>
        </row>
        <row r="171">
          <cell r="A171">
            <v>40408</v>
          </cell>
          <cell r="B171">
            <v>9.0629109999999997</v>
          </cell>
          <cell r="C171">
            <v>38577.760000000002</v>
          </cell>
          <cell r="E171">
            <v>104.19716463198712</v>
          </cell>
          <cell r="F171">
            <v>101.428668145592</v>
          </cell>
          <cell r="H171">
            <v>10.352499999999999</v>
          </cell>
        </row>
        <row r="172">
          <cell r="A172">
            <v>40409</v>
          </cell>
          <cell r="B172">
            <v>8.9437119999999997</v>
          </cell>
          <cell r="C172">
            <v>37934.004000000001</v>
          </cell>
          <cell r="E172">
            <v>102.82672219611102</v>
          </cell>
          <cell r="F172">
            <v>99.736104510722214</v>
          </cell>
          <cell r="H172">
            <v>10.1675</v>
          </cell>
        </row>
        <row r="173">
          <cell r="A173">
            <v>40410</v>
          </cell>
          <cell r="B173">
            <v>8.8435369999999995</v>
          </cell>
          <cell r="C173">
            <v>37798.839999999997</v>
          </cell>
          <cell r="E173">
            <v>101.67500052886645</v>
          </cell>
          <cell r="F173">
            <v>99.380731246405389</v>
          </cell>
          <cell r="H173">
            <v>10.092499999999999</v>
          </cell>
        </row>
        <row r="174">
          <cell r="A174">
            <v>40411</v>
          </cell>
          <cell r="B174">
            <v>8.8435369999999995</v>
          </cell>
          <cell r="C174">
            <v>37798.839999999997</v>
          </cell>
          <cell r="E174">
            <v>101.67500052886645</v>
          </cell>
          <cell r="F174">
            <v>99.380731246405389</v>
          </cell>
          <cell r="H174">
            <v>10.092499999999999</v>
          </cell>
        </row>
        <row r="175">
          <cell r="A175">
            <v>40412</v>
          </cell>
          <cell r="B175">
            <v>8.8435369999999995</v>
          </cell>
          <cell r="C175">
            <v>37798.839999999997</v>
          </cell>
          <cell r="E175">
            <v>101.67500052886645</v>
          </cell>
          <cell r="F175">
            <v>99.380731246405389</v>
          </cell>
          <cell r="H175">
            <v>10.092499999999999</v>
          </cell>
        </row>
        <row r="176">
          <cell r="A176">
            <v>40413</v>
          </cell>
          <cell r="B176">
            <v>8.8804400000000001</v>
          </cell>
          <cell r="C176">
            <v>37440.766000000003</v>
          </cell>
          <cell r="E176">
            <v>102.09927789034711</v>
          </cell>
          <cell r="F176">
            <v>98.439282885547613</v>
          </cell>
          <cell r="H176">
            <v>10.07</v>
          </cell>
        </row>
        <row r="177">
          <cell r="A177">
            <v>40414</v>
          </cell>
          <cell r="B177">
            <v>8.4106339999999999</v>
          </cell>
          <cell r="C177">
            <v>36853.144999999997</v>
          </cell>
          <cell r="E177">
            <v>96.697872853147118</v>
          </cell>
          <cell r="F177">
            <v>96.894309424040742</v>
          </cell>
          <cell r="H177">
            <v>9.9949999999999992</v>
          </cell>
        </row>
        <row r="178">
          <cell r="A178">
            <v>40415</v>
          </cell>
          <cell r="B178">
            <v>8.3879350000000006</v>
          </cell>
          <cell r="C178">
            <v>36603.832000000002</v>
          </cell>
          <cell r="E178">
            <v>96.436900253947883</v>
          </cell>
          <cell r="F178">
            <v>96.238815545148299</v>
          </cell>
          <cell r="H178">
            <v>10</v>
          </cell>
        </row>
        <row r="179">
          <cell r="A179">
            <v>40416</v>
          </cell>
          <cell r="B179">
            <v>8.8178409999999996</v>
          </cell>
          <cell r="C179">
            <v>36333.758000000002</v>
          </cell>
          <cell r="E179">
            <v>101.37957113069807</v>
          </cell>
          <cell r="F179">
            <v>95.528736833456591</v>
          </cell>
          <cell r="H179">
            <v>10.130000000000001</v>
          </cell>
        </row>
        <row r="180">
          <cell r="A180">
            <v>40417</v>
          </cell>
          <cell r="B180">
            <v>9.1005050000000001</v>
          </cell>
          <cell r="C180">
            <v>37420.559999999998</v>
          </cell>
          <cell r="E180">
            <v>104.62938648732421</v>
          </cell>
          <cell r="F180">
            <v>98.386157259058422</v>
          </cell>
          <cell r="H180">
            <v>10.220000000000001</v>
          </cell>
        </row>
        <row r="181">
          <cell r="A181">
            <v>40418</v>
          </cell>
          <cell r="B181">
            <v>9.1005050000000001</v>
          </cell>
          <cell r="C181">
            <v>37420.559999999998</v>
          </cell>
          <cell r="E181">
            <v>104.62938648732421</v>
          </cell>
          <cell r="F181">
            <v>98.386157259058422</v>
          </cell>
          <cell r="H181">
            <v>10.220000000000001</v>
          </cell>
        </row>
        <row r="182">
          <cell r="A182">
            <v>40419</v>
          </cell>
          <cell r="B182">
            <v>9.1005050000000001</v>
          </cell>
          <cell r="C182">
            <v>37420.559999999998</v>
          </cell>
          <cell r="E182">
            <v>104.62938648732421</v>
          </cell>
          <cell r="F182">
            <v>98.386157259058422</v>
          </cell>
          <cell r="H182">
            <v>10.220000000000001</v>
          </cell>
        </row>
        <row r="183">
          <cell r="A183">
            <v>40420</v>
          </cell>
          <cell r="B183">
            <v>9.0852129999999995</v>
          </cell>
          <cell r="C183">
            <v>36603.32</v>
          </cell>
          <cell r="E183">
            <v>104.45357288377537</v>
          </cell>
          <cell r="F183">
            <v>96.237469394462252</v>
          </cell>
          <cell r="H183">
            <v>10.18</v>
          </cell>
        </row>
        <row r="184">
          <cell r="A184">
            <v>40421</v>
          </cell>
          <cell r="B184">
            <v>9.1222670000000008</v>
          </cell>
          <cell r="C184">
            <v>37142.137000000002</v>
          </cell>
          <cell r="E184">
            <v>104.8795863068658</v>
          </cell>
          <cell r="F184">
            <v>97.654127351902062</v>
          </cell>
          <cell r="H184">
            <v>10.08</v>
          </cell>
        </row>
        <row r="185">
          <cell r="A185">
            <v>40422</v>
          </cell>
          <cell r="B185">
            <v>9.3100780000000007</v>
          </cell>
          <cell r="C185">
            <v>38546.324000000001</v>
          </cell>
          <cell r="E185">
            <v>107.03886754516749</v>
          </cell>
          <cell r="F185">
            <v>101.34601659682853</v>
          </cell>
          <cell r="H185">
            <v>10.045</v>
          </cell>
        </row>
        <row r="186">
          <cell r="A186">
            <v>40423</v>
          </cell>
          <cell r="B186">
            <v>9.2715230000000002</v>
          </cell>
          <cell r="C186">
            <v>38472.836000000003</v>
          </cell>
          <cell r="E186">
            <v>106.59559697985064</v>
          </cell>
          <cell r="F186">
            <v>101.15280190617042</v>
          </cell>
          <cell r="H186">
            <v>10.074999999999999</v>
          </cell>
        </row>
        <row r="187">
          <cell r="A187">
            <v>40424</v>
          </cell>
          <cell r="B187">
            <v>9.5638310000000004</v>
          </cell>
          <cell r="C187">
            <v>38648.667999999998</v>
          </cell>
          <cell r="E187">
            <v>109.95629033756396</v>
          </cell>
          <cell r="F187">
            <v>101.61509949880865</v>
          </cell>
          <cell r="H187">
            <v>10.297499999999999</v>
          </cell>
        </row>
        <row r="188">
          <cell r="A188">
            <v>40425</v>
          </cell>
          <cell r="B188">
            <v>9.5638310000000004</v>
          </cell>
          <cell r="C188">
            <v>38648.667999999998</v>
          </cell>
          <cell r="E188">
            <v>109.95629033756396</v>
          </cell>
          <cell r="F188">
            <v>101.61509949880865</v>
          </cell>
          <cell r="H188">
            <v>10.297499999999999</v>
          </cell>
        </row>
        <row r="189">
          <cell r="A189">
            <v>40426</v>
          </cell>
          <cell r="B189">
            <v>9.5638310000000004</v>
          </cell>
          <cell r="C189">
            <v>38648.667999999998</v>
          </cell>
          <cell r="E189">
            <v>109.95629033756396</v>
          </cell>
          <cell r="F189">
            <v>101.61509949880865</v>
          </cell>
          <cell r="H189">
            <v>10.297499999999999</v>
          </cell>
        </row>
        <row r="190">
          <cell r="A190">
            <v>40427</v>
          </cell>
          <cell r="B190">
            <v>9.5638310000000004</v>
          </cell>
          <cell r="C190">
            <v>38648.667999999998</v>
          </cell>
          <cell r="E190">
            <v>109.95629033756396</v>
          </cell>
          <cell r="F190">
            <v>101.61509949880865</v>
          </cell>
          <cell r="H190">
            <v>10.297499999999999</v>
          </cell>
        </row>
        <row r="191">
          <cell r="A191">
            <v>40428</v>
          </cell>
          <cell r="B191">
            <v>9.7281329999999997</v>
          </cell>
          <cell r="C191">
            <v>38650.39</v>
          </cell>
          <cell r="E191">
            <v>111.84528632829638</v>
          </cell>
          <cell r="F191">
            <v>101.61962698217073</v>
          </cell>
          <cell r="H191">
            <v>10.4375</v>
          </cell>
        </row>
        <row r="192">
          <cell r="A192">
            <v>40429</v>
          </cell>
          <cell r="B192">
            <v>10.145096000000001</v>
          </cell>
          <cell r="C192">
            <v>38541.660000000003</v>
          </cell>
          <cell r="E192">
            <v>116.63915028177085</v>
          </cell>
          <cell r="F192">
            <v>101.33375400542273</v>
          </cell>
          <cell r="H192">
            <v>10.4125</v>
          </cell>
        </row>
        <row r="193">
          <cell r="A193">
            <v>40430</v>
          </cell>
          <cell r="B193">
            <v>10.156794</v>
          </cell>
          <cell r="C193">
            <v>38689.953000000001</v>
          </cell>
          <cell r="E193">
            <v>116.77364331958893</v>
          </cell>
          <cell r="F193">
            <v>101.72364604387478</v>
          </cell>
          <cell r="H193">
            <v>10.3775</v>
          </cell>
        </row>
        <row r="194">
          <cell r="A194">
            <v>40431</v>
          </cell>
          <cell r="B194">
            <v>10.055899999999999</v>
          </cell>
          <cell r="C194">
            <v>38899.96</v>
          </cell>
          <cell r="E194">
            <v>115.61365523977885</v>
          </cell>
          <cell r="F194">
            <v>102.27579656560677</v>
          </cell>
          <cell r="H194">
            <v>10.234999999999999</v>
          </cell>
        </row>
        <row r="195">
          <cell r="A195">
            <v>40432</v>
          </cell>
          <cell r="B195">
            <v>10.055899999999999</v>
          </cell>
          <cell r="C195">
            <v>38899.96</v>
          </cell>
          <cell r="E195">
            <v>115.61365523977885</v>
          </cell>
          <cell r="F195">
            <v>102.27579656560677</v>
          </cell>
          <cell r="H195">
            <v>10.234999999999999</v>
          </cell>
        </row>
        <row r="196">
          <cell r="A196">
            <v>40433</v>
          </cell>
          <cell r="B196">
            <v>10.055899999999999</v>
          </cell>
          <cell r="C196">
            <v>38899.96</v>
          </cell>
          <cell r="E196">
            <v>115.61365523977885</v>
          </cell>
          <cell r="F196">
            <v>102.27579656560677</v>
          </cell>
          <cell r="H196">
            <v>10.234999999999999</v>
          </cell>
        </row>
        <row r="197">
          <cell r="A197">
            <v>40434</v>
          </cell>
          <cell r="B197">
            <v>10.027986</v>
          </cell>
          <cell r="C197">
            <v>39663.35</v>
          </cell>
          <cell r="E197">
            <v>115.29272528101204</v>
          </cell>
          <cell r="F197">
            <v>104.28290198011668</v>
          </cell>
          <cell r="H197">
            <v>10.2525</v>
          </cell>
        </row>
        <row r="198">
          <cell r="A198">
            <v>40435</v>
          </cell>
          <cell r="B198">
            <v>9.9604510000000008</v>
          </cell>
          <cell r="C198">
            <v>39661.258000000002</v>
          </cell>
          <cell r="E198">
            <v>114.51626885178956</v>
          </cell>
          <cell r="F198">
            <v>104.27740169254787</v>
          </cell>
          <cell r="H198">
            <v>10.25</v>
          </cell>
        </row>
        <row r="199">
          <cell r="A199">
            <v>40436</v>
          </cell>
          <cell r="B199">
            <v>9.6985279999999996</v>
          </cell>
          <cell r="C199">
            <v>39791.336000000003</v>
          </cell>
          <cell r="E199">
            <v>111.50491477892001</v>
          </cell>
          <cell r="F199">
            <v>104.61940284282312</v>
          </cell>
          <cell r="H199">
            <v>10.425000000000001</v>
          </cell>
        </row>
        <row r="200">
          <cell r="A200">
            <v>40437</v>
          </cell>
          <cell r="B200">
            <v>9.6555339999999994</v>
          </cell>
          <cell r="C200">
            <v>39404.241999999998</v>
          </cell>
          <cell r="E200">
            <v>111.01060860111602</v>
          </cell>
          <cell r="F200">
            <v>103.6016550817517</v>
          </cell>
          <cell r="H200">
            <v>10.362500000000001</v>
          </cell>
        </row>
        <row r="201">
          <cell r="A201">
            <v>40438</v>
          </cell>
          <cell r="B201">
            <v>9.6159459999999992</v>
          </cell>
          <cell r="C201">
            <v>39098.504000000001</v>
          </cell>
          <cell r="E201">
            <v>110.55546153485321</v>
          </cell>
          <cell r="F201">
            <v>102.79780856133431</v>
          </cell>
          <cell r="H201">
            <v>10.69</v>
          </cell>
        </row>
        <row r="202">
          <cell r="A202">
            <v>40439</v>
          </cell>
          <cell r="B202">
            <v>9.6159459999999992</v>
          </cell>
          <cell r="C202">
            <v>39098.504000000001</v>
          </cell>
          <cell r="E202">
            <v>110.55546153485321</v>
          </cell>
          <cell r="F202">
            <v>102.79780856133431</v>
          </cell>
          <cell r="H202">
            <v>10.69</v>
          </cell>
        </row>
        <row r="203">
          <cell r="A203">
            <v>40440</v>
          </cell>
          <cell r="B203">
            <v>9.6159459999999992</v>
          </cell>
          <cell r="C203">
            <v>39098.504000000001</v>
          </cell>
          <cell r="E203">
            <v>110.55546153485321</v>
          </cell>
          <cell r="F203">
            <v>102.79780856133431</v>
          </cell>
          <cell r="H203">
            <v>10.69</v>
          </cell>
        </row>
        <row r="204">
          <cell r="A204">
            <v>40441</v>
          </cell>
          <cell r="B204">
            <v>9.7886209999999991</v>
          </cell>
          <cell r="C204">
            <v>39707.949999999997</v>
          </cell>
          <cell r="E204">
            <v>112.54072271669958</v>
          </cell>
          <cell r="F204">
            <v>104.40016432503492</v>
          </cell>
          <cell r="H204">
            <v>10.845000000000001</v>
          </cell>
        </row>
        <row r="205">
          <cell r="A205">
            <v>40442</v>
          </cell>
          <cell r="B205">
            <v>9.9138669999999998</v>
          </cell>
          <cell r="C205">
            <v>39146.269999999997</v>
          </cell>
          <cell r="E205">
            <v>113.98068809664184</v>
          </cell>
          <cell r="F205">
            <v>102.92339495522143</v>
          </cell>
          <cell r="H205">
            <v>10.8</v>
          </cell>
        </row>
        <row r="206">
          <cell r="A206">
            <v>40443</v>
          </cell>
          <cell r="B206">
            <v>9.9185569999999998</v>
          </cell>
          <cell r="C206">
            <v>39747.050000000003</v>
          </cell>
          <cell r="E206">
            <v>114.03460948041399</v>
          </cell>
          <cell r="F206">
            <v>104.5029660668803</v>
          </cell>
          <cell r="H206">
            <v>10.885</v>
          </cell>
        </row>
        <row r="207">
          <cell r="A207">
            <v>40444</v>
          </cell>
          <cell r="B207">
            <v>10.022659000000001</v>
          </cell>
          <cell r="C207">
            <v>39971.133000000002</v>
          </cell>
          <cell r="E207">
            <v>115.23148024660811</v>
          </cell>
          <cell r="F207">
            <v>105.09212521567662</v>
          </cell>
          <cell r="H207">
            <v>10.935</v>
          </cell>
        </row>
        <row r="208">
          <cell r="A208">
            <v>40445</v>
          </cell>
          <cell r="B208">
            <v>10.499269999999999</v>
          </cell>
          <cell r="C208">
            <v>39822.76</v>
          </cell>
          <cell r="E208">
            <v>120.71112302721316</v>
          </cell>
          <cell r="F208">
            <v>104.70202284117987</v>
          </cell>
          <cell r="H208">
            <v>11.26</v>
          </cell>
        </row>
        <row r="209">
          <cell r="A209">
            <v>40446</v>
          </cell>
          <cell r="B209">
            <v>10.499269999999999</v>
          </cell>
          <cell r="C209">
            <v>39822.76</v>
          </cell>
          <cell r="E209">
            <v>120.71112302721316</v>
          </cell>
          <cell r="F209">
            <v>104.70202284117987</v>
          </cell>
          <cell r="H209">
            <v>11.26</v>
          </cell>
        </row>
        <row r="210">
          <cell r="A210">
            <v>40447</v>
          </cell>
          <cell r="B210">
            <v>10.499269999999999</v>
          </cell>
          <cell r="C210">
            <v>39822.76</v>
          </cell>
          <cell r="E210">
            <v>120.71112302721316</v>
          </cell>
          <cell r="F210">
            <v>104.70202284117987</v>
          </cell>
          <cell r="H210">
            <v>11.26</v>
          </cell>
        </row>
        <row r="211">
          <cell r="A211">
            <v>40448</v>
          </cell>
          <cell r="B211">
            <v>10.690813</v>
          </cell>
          <cell r="C211">
            <v>40202.112999999998</v>
          </cell>
          <cell r="E211">
            <v>122.91331143059753</v>
          </cell>
          <cell r="F211">
            <v>105.69941796072631</v>
          </cell>
          <cell r="H211">
            <v>11.285</v>
          </cell>
        </row>
        <row r="212">
          <cell r="A212">
            <v>40449</v>
          </cell>
          <cell r="B212">
            <v>10.609785</v>
          </cell>
          <cell r="C212">
            <v>40512.43</v>
          </cell>
          <cell r="E212">
            <v>121.9817246748851</v>
          </cell>
          <cell r="F212">
            <v>106.51530359050201</v>
          </cell>
          <cell r="H212">
            <v>11.1</v>
          </cell>
        </row>
        <row r="213">
          <cell r="A213">
            <v>40450</v>
          </cell>
          <cell r="B213">
            <v>10.83614</v>
          </cell>
          <cell r="C213">
            <v>40549.563000000002</v>
          </cell>
          <cell r="E213">
            <v>124.58415001043936</v>
          </cell>
          <cell r="F213">
            <v>106.61293369484841</v>
          </cell>
          <cell r="H213">
            <v>10.99</v>
          </cell>
        </row>
        <row r="214">
          <cell r="A214">
            <v>40451</v>
          </cell>
          <cell r="B214">
            <v>11.014048000000001</v>
          </cell>
          <cell r="C214">
            <v>40980.862999999998</v>
          </cell>
          <cell r="E214">
            <v>126.62957549959484</v>
          </cell>
          <cell r="F214">
            <v>107.74690789581791</v>
          </cell>
          <cell r="H214">
            <v>11.067500000000001</v>
          </cell>
        </row>
        <row r="215">
          <cell r="A215">
            <v>40452</v>
          </cell>
          <cell r="B215">
            <v>11.154622</v>
          </cell>
          <cell r="C215">
            <v>41669.25</v>
          </cell>
          <cell r="E215">
            <v>128.24576837856904</v>
          </cell>
          <cell r="F215">
            <v>109.55681538082327</v>
          </cell>
          <cell r="H215">
            <v>10.57</v>
          </cell>
        </row>
        <row r="216">
          <cell r="A216">
            <v>40453</v>
          </cell>
          <cell r="B216">
            <v>11.154622</v>
          </cell>
          <cell r="C216">
            <v>41669.25</v>
          </cell>
          <cell r="E216">
            <v>128.24576837856904</v>
          </cell>
          <cell r="F216">
            <v>109.55681538082327</v>
          </cell>
          <cell r="H216">
            <v>10.57</v>
          </cell>
        </row>
        <row r="217">
          <cell r="A217">
            <v>40454</v>
          </cell>
          <cell r="B217">
            <v>11.154622</v>
          </cell>
          <cell r="C217">
            <v>41669.25</v>
          </cell>
          <cell r="E217">
            <v>128.24576837856904</v>
          </cell>
          <cell r="F217">
            <v>109.55681538082327</v>
          </cell>
          <cell r="H217">
            <v>10.57</v>
          </cell>
        </row>
        <row r="218">
          <cell r="A218">
            <v>40455</v>
          </cell>
          <cell r="B218">
            <v>11.122975</v>
          </cell>
          <cell r="C218">
            <v>41754.120000000003</v>
          </cell>
          <cell r="E218">
            <v>127.8819197576228</v>
          </cell>
          <cell r="F218">
            <v>109.77995563224059</v>
          </cell>
          <cell r="H218">
            <v>10.54</v>
          </cell>
        </row>
        <row r="219">
          <cell r="A219">
            <v>40456</v>
          </cell>
          <cell r="B219">
            <v>11.360799</v>
          </cell>
          <cell r="C219">
            <v>42377.45</v>
          </cell>
          <cell r="E219">
            <v>130.61620529583868</v>
          </cell>
          <cell r="F219">
            <v>111.41881521649823</v>
          </cell>
          <cell r="H219">
            <v>10.717499999999999</v>
          </cell>
        </row>
        <row r="220">
          <cell r="A220">
            <v>40457</v>
          </cell>
          <cell r="B220">
            <v>11.305486999999999</v>
          </cell>
          <cell r="C220">
            <v>41973.917999999998</v>
          </cell>
          <cell r="E220">
            <v>129.98027788022966</v>
          </cell>
          <cell r="F220">
            <v>110.35784865664284</v>
          </cell>
          <cell r="H220">
            <v>10.62</v>
          </cell>
        </row>
        <row r="221">
          <cell r="A221">
            <v>40458</v>
          </cell>
          <cell r="B221">
            <v>11.236625</v>
          </cell>
          <cell r="C221">
            <v>41678.875</v>
          </cell>
          <cell r="E221">
            <v>129.18856480361578</v>
          </cell>
          <cell r="F221">
            <v>109.58212143620081</v>
          </cell>
          <cell r="H221">
            <v>10.65</v>
          </cell>
        </row>
        <row r="222">
          <cell r="A222">
            <v>40459</v>
          </cell>
          <cell r="B222">
            <v>11.867584000000001</v>
          </cell>
          <cell r="C222">
            <v>42121.77</v>
          </cell>
          <cell r="E222">
            <v>136.44276147387262</v>
          </cell>
          <cell r="F222">
            <v>110.74658121764851</v>
          </cell>
          <cell r="H222">
            <v>11.35</v>
          </cell>
        </row>
        <row r="223">
          <cell r="A223">
            <v>40460</v>
          </cell>
          <cell r="B223">
            <v>11.867584000000001</v>
          </cell>
          <cell r="C223">
            <v>42121.77</v>
          </cell>
          <cell r="E223">
            <v>136.44276147387262</v>
          </cell>
          <cell r="F223">
            <v>110.74658121764851</v>
          </cell>
          <cell r="H223">
            <v>11.35</v>
          </cell>
        </row>
        <row r="224">
          <cell r="A224">
            <v>40461</v>
          </cell>
          <cell r="B224">
            <v>11.867584000000001</v>
          </cell>
          <cell r="C224">
            <v>42121.77</v>
          </cell>
          <cell r="E224">
            <v>136.44276147387262</v>
          </cell>
          <cell r="F224">
            <v>110.74658121764851</v>
          </cell>
          <cell r="H224">
            <v>11.35</v>
          </cell>
        </row>
        <row r="225">
          <cell r="A225">
            <v>40462</v>
          </cell>
          <cell r="B225">
            <v>12.619433000000001</v>
          </cell>
          <cell r="C225">
            <v>42633.546999999999</v>
          </cell>
          <cell r="E225">
            <v>145.08684217061506</v>
          </cell>
          <cell r="F225">
            <v>112.09214559198092</v>
          </cell>
          <cell r="H225">
            <v>11.525</v>
          </cell>
        </row>
        <row r="226">
          <cell r="A226">
            <v>40463</v>
          </cell>
          <cell r="B226">
            <v>12.575227</v>
          </cell>
          <cell r="C226">
            <v>42484.203000000001</v>
          </cell>
          <cell r="E226">
            <v>144.57860151154628</v>
          </cell>
          <cell r="F226">
            <v>111.69949026374168</v>
          </cell>
          <cell r="H226">
            <v>11.785</v>
          </cell>
        </row>
        <row r="227">
          <cell r="A227">
            <v>40464</v>
          </cell>
          <cell r="B227">
            <v>12.162732</v>
          </cell>
          <cell r="C227">
            <v>43263.652000000002</v>
          </cell>
          <cell r="E227">
            <v>139.83610658636479</v>
          </cell>
          <cell r="F227">
            <v>113.74881801002384</v>
          </cell>
          <cell r="H227">
            <v>11.765000000000001</v>
          </cell>
        </row>
        <row r="228">
          <cell r="A228">
            <v>40465</v>
          </cell>
          <cell r="B228">
            <v>12.861154000000001</v>
          </cell>
          <cell r="C228">
            <v>43288.527000000002</v>
          </cell>
          <cell r="E228">
            <v>147.86593189487792</v>
          </cell>
          <cell r="F228">
            <v>113.81421937392162</v>
          </cell>
          <cell r="H228">
            <v>11.885</v>
          </cell>
        </row>
        <row r="229">
          <cell r="A229">
            <v>40466</v>
          </cell>
          <cell r="B229">
            <v>12.410142</v>
          </cell>
          <cell r="C229">
            <v>43210.02</v>
          </cell>
          <cell r="E229">
            <v>142.6806032940562</v>
          </cell>
          <cell r="F229">
            <v>113.60780872565934</v>
          </cell>
          <cell r="H229">
            <v>11.85</v>
          </cell>
        </row>
        <row r="230">
          <cell r="A230">
            <v>40467</v>
          </cell>
          <cell r="B230">
            <v>12.410142</v>
          </cell>
          <cell r="C230">
            <v>43210.02</v>
          </cell>
          <cell r="E230">
            <v>142.6806032940562</v>
          </cell>
          <cell r="F230">
            <v>113.60780872565934</v>
          </cell>
          <cell r="H230">
            <v>11.85</v>
          </cell>
        </row>
        <row r="231">
          <cell r="A231">
            <v>40468</v>
          </cell>
          <cell r="B231">
            <v>12.410142</v>
          </cell>
          <cell r="C231">
            <v>43210.02</v>
          </cell>
          <cell r="E231">
            <v>142.6806032940562</v>
          </cell>
          <cell r="F231">
            <v>113.60780872565934</v>
          </cell>
          <cell r="H231">
            <v>11.85</v>
          </cell>
        </row>
        <row r="232">
          <cell r="A232">
            <v>40469</v>
          </cell>
          <cell r="B232">
            <v>12.504142999999999</v>
          </cell>
          <cell r="C232">
            <v>43228.495999999999</v>
          </cell>
          <cell r="E232">
            <v>143.76134188594693</v>
          </cell>
          <cell r="F232">
            <v>113.65638583518198</v>
          </cell>
          <cell r="H232">
            <v>11.84</v>
          </cell>
        </row>
      </sheetData>
      <sheetData sheetId="3">
        <row r="1">
          <cell r="B1" t="str">
            <v>AGRO3-BR</v>
          </cell>
          <cell r="C1">
            <v>180264</v>
          </cell>
          <cell r="D1" t="str">
            <v>USDBRL</v>
          </cell>
          <cell r="F1" t="str">
            <v>AGRO3 (base 100)</v>
          </cell>
          <cell r="G1" t="str">
            <v>Ibovespa (base 100)</v>
          </cell>
          <cell r="I1" t="str">
            <v>Soybean (USD/bu)</v>
          </cell>
        </row>
        <row r="2">
          <cell r="A2">
            <v>40239</v>
          </cell>
          <cell r="B2">
            <v>9.25</v>
          </cell>
          <cell r="C2">
            <v>67779.16</v>
          </cell>
          <cell r="D2">
            <v>1.7820499999999999</v>
          </cell>
          <cell r="F2">
            <v>100</v>
          </cell>
          <cell r="G2">
            <v>100</v>
          </cell>
          <cell r="I2">
            <v>9.5425000000000004</v>
          </cell>
        </row>
        <row r="3">
          <cell r="A3">
            <v>40240</v>
          </cell>
          <cell r="B3">
            <v>9.25</v>
          </cell>
          <cell r="C3">
            <v>67641.34</v>
          </cell>
          <cell r="D3">
            <v>1.7785</v>
          </cell>
          <cell r="F3">
            <v>100</v>
          </cell>
          <cell r="G3">
            <v>99.796663163131555</v>
          </cell>
          <cell r="I3">
            <v>9.5449999999999999</v>
          </cell>
        </row>
        <row r="4">
          <cell r="A4">
            <v>40241</v>
          </cell>
          <cell r="B4">
            <v>9.4</v>
          </cell>
          <cell r="C4">
            <v>67814.710000000006</v>
          </cell>
          <cell r="D4">
            <v>1.7904500000000001</v>
          </cell>
          <cell r="F4">
            <v>101.62162162162163</v>
          </cell>
          <cell r="G4">
            <v>100.05244975004118</v>
          </cell>
          <cell r="I4">
            <v>9.3249999999999993</v>
          </cell>
        </row>
        <row r="5">
          <cell r="A5">
            <v>40242</v>
          </cell>
          <cell r="B5">
            <v>9.5</v>
          </cell>
          <cell r="C5">
            <v>68846.5</v>
          </cell>
          <cell r="D5">
            <v>1.7779499999999999</v>
          </cell>
          <cell r="F5">
            <v>102.70270270270269</v>
          </cell>
          <cell r="G5">
            <v>101.57473182022321</v>
          </cell>
          <cell r="I5">
            <v>9.3475000000000001</v>
          </cell>
        </row>
        <row r="6">
          <cell r="A6">
            <v>40243</v>
          </cell>
          <cell r="B6">
            <v>9.5</v>
          </cell>
          <cell r="C6">
            <v>68846.5</v>
          </cell>
          <cell r="D6">
            <v>1.7779499999999999</v>
          </cell>
          <cell r="F6">
            <v>102.70270270270269</v>
          </cell>
          <cell r="G6">
            <v>101.57473182022321</v>
          </cell>
          <cell r="I6">
            <v>9.3475000000000001</v>
          </cell>
        </row>
        <row r="7">
          <cell r="A7">
            <v>40244</v>
          </cell>
          <cell r="B7">
            <v>9.5</v>
          </cell>
          <cell r="C7">
            <v>68846.5</v>
          </cell>
          <cell r="D7">
            <v>1.7779499999999999</v>
          </cell>
          <cell r="F7">
            <v>102.70270270270269</v>
          </cell>
          <cell r="G7">
            <v>101.57473182022321</v>
          </cell>
          <cell r="I7">
            <v>9.3475000000000001</v>
          </cell>
        </row>
        <row r="8">
          <cell r="A8">
            <v>40245</v>
          </cell>
          <cell r="B8">
            <v>9.4</v>
          </cell>
          <cell r="C8">
            <v>68575.47</v>
          </cell>
          <cell r="D8">
            <v>1.7879499999999999</v>
          </cell>
          <cell r="F8">
            <v>101.62162162162163</v>
          </cell>
          <cell r="G8">
            <v>101.17485964712456</v>
          </cell>
          <cell r="I8">
            <v>9.4049999999999994</v>
          </cell>
        </row>
        <row r="9">
          <cell r="A9">
            <v>40246</v>
          </cell>
          <cell r="B9">
            <v>9.3000000000000007</v>
          </cell>
          <cell r="C9">
            <v>69576.38</v>
          </cell>
          <cell r="D9">
            <v>1.7927999999999999</v>
          </cell>
          <cell r="F9">
            <v>100.54054054054056</v>
          </cell>
          <cell r="G9">
            <v>102.65158199068858</v>
          </cell>
          <cell r="I9">
            <v>9.4149999999999991</v>
          </cell>
        </row>
        <row r="10">
          <cell r="A10">
            <v>40247</v>
          </cell>
          <cell r="B10">
            <v>9.1999999999999993</v>
          </cell>
          <cell r="C10">
            <v>69979.28</v>
          </cell>
          <cell r="D10">
            <v>1.7675000000000001</v>
          </cell>
          <cell r="F10">
            <v>99.459459459459453</v>
          </cell>
          <cell r="G10">
            <v>103.24601249115508</v>
          </cell>
          <cell r="I10">
            <v>9.52</v>
          </cell>
        </row>
        <row r="11">
          <cell r="A11">
            <v>40248</v>
          </cell>
          <cell r="B11">
            <v>9.2100000000000009</v>
          </cell>
          <cell r="C11">
            <v>69884.61</v>
          </cell>
          <cell r="D11">
            <v>1.7692000000000001</v>
          </cell>
          <cell r="F11">
            <v>99.567567567567579</v>
          </cell>
          <cell r="G11">
            <v>103.10633829041255</v>
          </cell>
          <cell r="I11">
            <v>9.2550000000000008</v>
          </cell>
        </row>
        <row r="12">
          <cell r="A12">
            <v>40249</v>
          </cell>
          <cell r="B12">
            <v>9.2100000000000009</v>
          </cell>
          <cell r="C12">
            <v>69341.38</v>
          </cell>
          <cell r="D12">
            <v>1.7661</v>
          </cell>
          <cell r="F12">
            <v>99.567567567567579</v>
          </cell>
          <cell r="G12">
            <v>102.30486774991014</v>
          </cell>
          <cell r="I12">
            <v>9.26</v>
          </cell>
        </row>
        <row r="13">
          <cell r="A13">
            <v>40250</v>
          </cell>
          <cell r="B13">
            <v>9.2100000000000009</v>
          </cell>
          <cell r="C13">
            <v>69341.38</v>
          </cell>
          <cell r="D13">
            <v>1.7661</v>
          </cell>
          <cell r="F13">
            <v>99.567567567567579</v>
          </cell>
          <cell r="G13">
            <v>102.30486774991014</v>
          </cell>
          <cell r="I13">
            <v>9.26</v>
          </cell>
        </row>
        <row r="14">
          <cell r="A14">
            <v>40251</v>
          </cell>
          <cell r="B14">
            <v>9.2100000000000009</v>
          </cell>
          <cell r="C14">
            <v>69341.38</v>
          </cell>
          <cell r="D14">
            <v>1.7661</v>
          </cell>
          <cell r="F14">
            <v>99.567567567567579</v>
          </cell>
          <cell r="G14">
            <v>102.30486774991014</v>
          </cell>
          <cell r="I14">
            <v>9.26</v>
          </cell>
        </row>
        <row r="15">
          <cell r="A15">
            <v>40252</v>
          </cell>
          <cell r="B15">
            <v>9.15</v>
          </cell>
          <cell r="C15">
            <v>69023.75</v>
          </cell>
          <cell r="D15">
            <v>1.7669999999999999</v>
          </cell>
          <cell r="F15">
            <v>98.918918918918919</v>
          </cell>
          <cell r="G15">
            <v>101.83624288055502</v>
          </cell>
          <cell r="I15">
            <v>9.3000000000000007</v>
          </cell>
        </row>
        <row r="16">
          <cell r="A16">
            <v>40253</v>
          </cell>
          <cell r="B16">
            <v>9.25</v>
          </cell>
          <cell r="C16">
            <v>69942.210000000006</v>
          </cell>
          <cell r="D16">
            <v>1.7621500000000001</v>
          </cell>
          <cell r="F16">
            <v>100</v>
          </cell>
          <cell r="G16">
            <v>103.19132016389699</v>
          </cell>
          <cell r="I16">
            <v>9.4499999999999993</v>
          </cell>
        </row>
        <row r="17">
          <cell r="A17">
            <v>40254</v>
          </cell>
          <cell r="B17">
            <v>9.25</v>
          </cell>
          <cell r="C17">
            <v>69723.240000000005</v>
          </cell>
          <cell r="D17">
            <v>1.7656499999999999</v>
          </cell>
          <cell r="F17">
            <v>100</v>
          </cell>
          <cell r="G17">
            <v>102.86825626047889</v>
          </cell>
          <cell r="I17">
            <v>9.59</v>
          </cell>
        </row>
        <row r="18">
          <cell r="A18">
            <v>40255</v>
          </cell>
          <cell r="B18">
            <v>9.17</v>
          </cell>
          <cell r="C18">
            <v>69697.33</v>
          </cell>
          <cell r="D18">
            <v>1.78975</v>
          </cell>
          <cell r="F18">
            <v>99.13513513513513</v>
          </cell>
          <cell r="G18">
            <v>102.83002917120838</v>
          </cell>
          <cell r="I18">
            <v>9.5950000000000006</v>
          </cell>
        </row>
        <row r="19">
          <cell r="A19">
            <v>40256</v>
          </cell>
          <cell r="B19">
            <v>9</v>
          </cell>
          <cell r="C19">
            <v>68828.98</v>
          </cell>
          <cell r="D19">
            <v>1.7983499999999999</v>
          </cell>
          <cell r="F19">
            <v>97.297297297297305</v>
          </cell>
          <cell r="G19">
            <v>101.54888316703835</v>
          </cell>
          <cell r="I19">
            <v>9.6174999999999997</v>
          </cell>
        </row>
        <row r="20">
          <cell r="A20">
            <v>40257</v>
          </cell>
          <cell r="B20">
            <v>9</v>
          </cell>
          <cell r="C20">
            <v>68828.98</v>
          </cell>
          <cell r="D20">
            <v>1.7983499999999999</v>
          </cell>
          <cell r="F20">
            <v>97.297297297297305</v>
          </cell>
          <cell r="G20">
            <v>101.54888316703835</v>
          </cell>
          <cell r="I20">
            <v>9.6174999999999997</v>
          </cell>
        </row>
        <row r="21">
          <cell r="A21">
            <v>40258</v>
          </cell>
          <cell r="B21">
            <v>9</v>
          </cell>
          <cell r="C21">
            <v>68828.98</v>
          </cell>
          <cell r="D21">
            <v>1.7983499999999999</v>
          </cell>
          <cell r="F21">
            <v>97.297297297297305</v>
          </cell>
          <cell r="G21">
            <v>101.54888316703835</v>
          </cell>
          <cell r="I21">
            <v>9.6174999999999997</v>
          </cell>
        </row>
        <row r="22">
          <cell r="A22">
            <v>40259</v>
          </cell>
          <cell r="B22">
            <v>8.7899999999999991</v>
          </cell>
          <cell r="C22">
            <v>69041.73</v>
          </cell>
          <cell r="D22">
            <v>1.8027</v>
          </cell>
          <cell r="F22">
            <v>95.027027027027017</v>
          </cell>
          <cell r="G22">
            <v>101.86277020842394</v>
          </cell>
          <cell r="I22">
            <v>9.6850000000000005</v>
          </cell>
        </row>
        <row r="23">
          <cell r="A23">
            <v>40260</v>
          </cell>
          <cell r="B23">
            <v>8.8000000000000007</v>
          </cell>
          <cell r="C23">
            <v>69386.720000000001</v>
          </cell>
          <cell r="D23">
            <v>1.78295</v>
          </cell>
          <cell r="F23">
            <v>95.135135135135144</v>
          </cell>
          <cell r="G23">
            <v>102.37176146768417</v>
          </cell>
          <cell r="I23">
            <v>9.68</v>
          </cell>
        </row>
        <row r="24">
          <cell r="A24">
            <v>40261</v>
          </cell>
          <cell r="B24">
            <v>8.8000000000000007</v>
          </cell>
          <cell r="C24">
            <v>68913.399999999994</v>
          </cell>
          <cell r="D24">
            <v>1.7886</v>
          </cell>
          <cell r="F24">
            <v>95.135135135135144</v>
          </cell>
          <cell r="G24">
            <v>101.67343472536395</v>
          </cell>
          <cell r="I24">
            <v>9.6</v>
          </cell>
        </row>
        <row r="25">
          <cell r="A25">
            <v>40262</v>
          </cell>
          <cell r="B25">
            <v>8.8000000000000007</v>
          </cell>
          <cell r="C25">
            <v>68441.66</v>
          </cell>
          <cell r="D25">
            <v>1.8047</v>
          </cell>
          <cell r="F25">
            <v>95.135135135135144</v>
          </cell>
          <cell r="G25">
            <v>100.9774390830456</v>
          </cell>
          <cell r="I25">
            <v>9.4250000000000007</v>
          </cell>
        </row>
        <row r="26">
          <cell r="A26">
            <v>40263</v>
          </cell>
          <cell r="B26">
            <v>8.7200000000000006</v>
          </cell>
          <cell r="C26">
            <v>68682.66</v>
          </cell>
          <cell r="D26">
            <v>1.8210999999999999</v>
          </cell>
          <cell r="F26">
            <v>94.270270270270274</v>
          </cell>
          <cell r="G26">
            <v>101.33300560231197</v>
          </cell>
          <cell r="I26">
            <v>9.52</v>
          </cell>
        </row>
        <row r="27">
          <cell r="A27">
            <v>40264</v>
          </cell>
          <cell r="B27">
            <v>8.7200000000000006</v>
          </cell>
          <cell r="C27">
            <v>68682.66</v>
          </cell>
          <cell r="D27">
            <v>1.8210999999999999</v>
          </cell>
          <cell r="F27">
            <v>94.270270270270274</v>
          </cell>
          <cell r="G27">
            <v>101.33300560231197</v>
          </cell>
          <cell r="I27">
            <v>9.52</v>
          </cell>
        </row>
        <row r="28">
          <cell r="A28">
            <v>40265</v>
          </cell>
          <cell r="B28">
            <v>8.7200000000000006</v>
          </cell>
          <cell r="C28">
            <v>68682.66</v>
          </cell>
          <cell r="D28">
            <v>1.8210999999999999</v>
          </cell>
          <cell r="F28">
            <v>94.270270270270274</v>
          </cell>
          <cell r="G28">
            <v>101.33300560231197</v>
          </cell>
          <cell r="I28">
            <v>9.52</v>
          </cell>
        </row>
        <row r="29">
          <cell r="A29">
            <v>40266</v>
          </cell>
          <cell r="B29">
            <v>9</v>
          </cell>
          <cell r="C29">
            <v>69939.12</v>
          </cell>
          <cell r="D29">
            <v>1.80975</v>
          </cell>
          <cell r="F29">
            <v>97.297297297297305</v>
          </cell>
          <cell r="G29">
            <v>103.18676124047568</v>
          </cell>
          <cell r="I29">
            <v>9.6750000000000007</v>
          </cell>
        </row>
        <row r="30">
          <cell r="A30">
            <v>40267</v>
          </cell>
          <cell r="B30">
            <v>8.81</v>
          </cell>
          <cell r="C30">
            <v>69959.58</v>
          </cell>
          <cell r="D30">
            <v>1.79495</v>
          </cell>
          <cell r="F30">
            <v>95.243243243243242</v>
          </cell>
          <cell r="G30">
            <v>103.21694751011962</v>
          </cell>
          <cell r="I30">
            <v>9.74</v>
          </cell>
        </row>
        <row r="31">
          <cell r="A31">
            <v>40268</v>
          </cell>
          <cell r="B31">
            <v>8.8000000000000007</v>
          </cell>
          <cell r="C31">
            <v>70371.539999999994</v>
          </cell>
          <cell r="D31">
            <v>1.7847</v>
          </cell>
          <cell r="F31">
            <v>95.135135135135144</v>
          </cell>
          <cell r="G31">
            <v>103.82474495110294</v>
          </cell>
          <cell r="I31">
            <v>9.41</v>
          </cell>
        </row>
        <row r="32">
          <cell r="A32">
            <v>40269</v>
          </cell>
          <cell r="B32">
            <v>8.5</v>
          </cell>
          <cell r="C32">
            <v>71136.34</v>
          </cell>
          <cell r="D32">
            <v>1.76905</v>
          </cell>
          <cell r="F32">
            <v>91.891891891891902</v>
          </cell>
          <cell r="G32">
            <v>104.95311538236827</v>
          </cell>
          <cell r="I32">
            <v>9.42</v>
          </cell>
        </row>
        <row r="33">
          <cell r="A33">
            <v>40270</v>
          </cell>
          <cell r="B33">
            <v>8.5</v>
          </cell>
          <cell r="C33">
            <v>71136.34</v>
          </cell>
          <cell r="D33">
            <v>1.76905</v>
          </cell>
          <cell r="F33">
            <v>91.891891891891902</v>
          </cell>
          <cell r="G33">
            <v>104.95311538236827</v>
          </cell>
          <cell r="I33">
            <v>9.42</v>
          </cell>
        </row>
        <row r="34">
          <cell r="A34">
            <v>40271</v>
          </cell>
          <cell r="B34">
            <v>8.5</v>
          </cell>
          <cell r="C34">
            <v>71136.34</v>
          </cell>
          <cell r="D34">
            <v>1.76905</v>
          </cell>
          <cell r="F34">
            <v>91.891891891891902</v>
          </cell>
          <cell r="G34">
            <v>104.95311538236827</v>
          </cell>
          <cell r="I34">
            <v>9.42</v>
          </cell>
        </row>
        <row r="35">
          <cell r="A35">
            <v>40272</v>
          </cell>
          <cell r="B35">
            <v>8.5</v>
          </cell>
          <cell r="C35">
            <v>71136.34</v>
          </cell>
          <cell r="D35">
            <v>1.76905</v>
          </cell>
          <cell r="F35">
            <v>91.891891891891902</v>
          </cell>
          <cell r="G35">
            <v>104.95311538236827</v>
          </cell>
          <cell r="I35">
            <v>9.42</v>
          </cell>
        </row>
        <row r="36">
          <cell r="A36">
            <v>40273</v>
          </cell>
          <cell r="B36">
            <v>8.5</v>
          </cell>
          <cell r="C36">
            <v>71289.679999999993</v>
          </cell>
          <cell r="D36">
            <v>1.75925</v>
          </cell>
          <cell r="F36">
            <v>91.891891891891902</v>
          </cell>
          <cell r="G36">
            <v>105.17935011292553</v>
          </cell>
          <cell r="I36">
            <v>9.36</v>
          </cell>
        </row>
        <row r="37">
          <cell r="A37">
            <v>40274</v>
          </cell>
          <cell r="B37">
            <v>8.6999999999999993</v>
          </cell>
          <cell r="C37">
            <v>71095.649999999994</v>
          </cell>
          <cell r="D37">
            <v>1.7604</v>
          </cell>
          <cell r="F37">
            <v>94.054054054054049</v>
          </cell>
          <cell r="G37">
            <v>104.89308218042241</v>
          </cell>
          <cell r="I37">
            <v>9.4450000000000003</v>
          </cell>
        </row>
        <row r="38">
          <cell r="A38">
            <v>40275</v>
          </cell>
          <cell r="B38">
            <v>8.6999999999999993</v>
          </cell>
          <cell r="C38">
            <v>70792.94</v>
          </cell>
          <cell r="D38">
            <v>1.7637499999999999</v>
          </cell>
          <cell r="F38">
            <v>94.054054054054049</v>
          </cell>
          <cell r="G38">
            <v>104.44646997690737</v>
          </cell>
          <cell r="I38">
            <v>9.5250000000000004</v>
          </cell>
        </row>
        <row r="39">
          <cell r="A39">
            <v>40276</v>
          </cell>
          <cell r="B39">
            <v>8.6999999999999993</v>
          </cell>
          <cell r="C39">
            <v>71784.78</v>
          </cell>
          <cell r="D39">
            <v>1.7839499999999999</v>
          </cell>
          <cell r="F39">
            <v>94.054054054054049</v>
          </cell>
          <cell r="G39">
            <v>105.90981062615705</v>
          </cell>
          <cell r="I39">
            <v>9.4649999999999999</v>
          </cell>
        </row>
        <row r="40">
          <cell r="A40">
            <v>40277</v>
          </cell>
          <cell r="B40">
            <v>8.42</v>
          </cell>
          <cell r="C40">
            <v>71417.27</v>
          </cell>
          <cell r="D40">
            <v>1.7742</v>
          </cell>
          <cell r="F40">
            <v>91.027027027027032</v>
          </cell>
          <cell r="G40">
            <v>105.36759381497203</v>
          </cell>
          <cell r="I40">
            <v>9.5225000000000009</v>
          </cell>
        </row>
        <row r="41">
          <cell r="A41">
            <v>40278</v>
          </cell>
          <cell r="B41">
            <v>8.42</v>
          </cell>
          <cell r="C41">
            <v>71417.27</v>
          </cell>
          <cell r="D41">
            <v>1.7742</v>
          </cell>
          <cell r="F41">
            <v>91.027027027027032</v>
          </cell>
          <cell r="G41">
            <v>105.36759381497203</v>
          </cell>
          <cell r="I41">
            <v>9.5225000000000009</v>
          </cell>
        </row>
        <row r="42">
          <cell r="A42">
            <v>40279</v>
          </cell>
          <cell r="B42">
            <v>8.42</v>
          </cell>
          <cell r="C42">
            <v>71417.27</v>
          </cell>
          <cell r="D42">
            <v>1.7742</v>
          </cell>
          <cell r="F42">
            <v>91.027027027027032</v>
          </cell>
          <cell r="G42">
            <v>105.36759381497203</v>
          </cell>
          <cell r="I42">
            <v>9.5225000000000009</v>
          </cell>
        </row>
        <row r="43">
          <cell r="A43">
            <v>40280</v>
          </cell>
          <cell r="B43">
            <v>8.65</v>
          </cell>
          <cell r="C43">
            <v>70614.36</v>
          </cell>
          <cell r="D43">
            <v>1.75875</v>
          </cell>
          <cell r="F43">
            <v>93.513513513513516</v>
          </cell>
          <cell r="G43">
            <v>104.1829966615107</v>
          </cell>
          <cell r="I43">
            <v>9.6</v>
          </cell>
        </row>
        <row r="44">
          <cell r="A44">
            <v>40281</v>
          </cell>
          <cell r="B44">
            <v>8.65</v>
          </cell>
          <cell r="C44">
            <v>70792.399999999994</v>
          </cell>
          <cell r="D44">
            <v>1.7659</v>
          </cell>
          <cell r="F44">
            <v>93.513513513513516</v>
          </cell>
          <cell r="G44">
            <v>104.44567327184342</v>
          </cell>
          <cell r="I44">
            <v>9.68</v>
          </cell>
        </row>
        <row r="45">
          <cell r="A45">
            <v>40282</v>
          </cell>
          <cell r="B45">
            <v>8.65</v>
          </cell>
          <cell r="C45">
            <v>71034.850000000006</v>
          </cell>
          <cell r="D45">
            <v>1.74275</v>
          </cell>
          <cell r="F45">
            <v>93.513513513513516</v>
          </cell>
          <cell r="G45">
            <v>104.80337909174442</v>
          </cell>
          <cell r="I45">
            <v>9.69</v>
          </cell>
        </row>
        <row r="46">
          <cell r="A46">
            <v>40283</v>
          </cell>
          <cell r="B46">
            <v>8.66</v>
          </cell>
          <cell r="C46">
            <v>70524.350000000006</v>
          </cell>
          <cell r="D46">
            <v>1.74</v>
          </cell>
          <cell r="F46">
            <v>93.621621621621614</v>
          </cell>
          <cell r="G46">
            <v>104.05019773039383</v>
          </cell>
          <cell r="I46">
            <v>9.84</v>
          </cell>
        </row>
        <row r="47">
          <cell r="A47">
            <v>40284</v>
          </cell>
          <cell r="B47">
            <v>8.75</v>
          </cell>
          <cell r="C47">
            <v>69421.350000000006</v>
          </cell>
          <cell r="D47">
            <v>1.7518</v>
          </cell>
          <cell r="F47">
            <v>94.594594594594597</v>
          </cell>
          <cell r="G47">
            <v>102.42285386835719</v>
          </cell>
          <cell r="I47">
            <v>9.8524999999999991</v>
          </cell>
        </row>
        <row r="48">
          <cell r="A48">
            <v>40285</v>
          </cell>
          <cell r="B48">
            <v>8.75</v>
          </cell>
          <cell r="C48">
            <v>69421.350000000006</v>
          </cell>
          <cell r="D48">
            <v>1.7518</v>
          </cell>
          <cell r="F48">
            <v>94.594594594594597</v>
          </cell>
          <cell r="G48">
            <v>102.42285386835719</v>
          </cell>
          <cell r="I48">
            <v>9.8524999999999991</v>
          </cell>
        </row>
        <row r="49">
          <cell r="A49">
            <v>40286</v>
          </cell>
          <cell r="B49">
            <v>8.75</v>
          </cell>
          <cell r="C49">
            <v>69421.350000000006</v>
          </cell>
          <cell r="D49">
            <v>1.7518</v>
          </cell>
          <cell r="F49">
            <v>94.594594594594597</v>
          </cell>
          <cell r="G49">
            <v>102.42285386835719</v>
          </cell>
          <cell r="I49">
            <v>9.8524999999999991</v>
          </cell>
        </row>
        <row r="50">
          <cell r="A50">
            <v>40287</v>
          </cell>
          <cell r="B50">
            <v>8.6999999999999993</v>
          </cell>
          <cell r="C50">
            <v>69097.58</v>
          </cell>
          <cell r="D50">
            <v>1.7575499999999999</v>
          </cell>
          <cell r="F50">
            <v>94.054054054054049</v>
          </cell>
          <cell r="G50">
            <v>101.94517016734936</v>
          </cell>
          <cell r="I50">
            <v>9.7675000000000001</v>
          </cell>
        </row>
        <row r="51">
          <cell r="A51">
            <v>40288</v>
          </cell>
          <cell r="B51">
            <v>8.6999999999999993</v>
          </cell>
          <cell r="C51">
            <v>69318.44</v>
          </cell>
          <cell r="D51">
            <v>1.7511000000000001</v>
          </cell>
          <cell r="F51">
            <v>94.054054054054049</v>
          </cell>
          <cell r="G51">
            <v>102.27102253849118</v>
          </cell>
          <cell r="I51">
            <v>9.84</v>
          </cell>
        </row>
        <row r="52">
          <cell r="A52">
            <v>40289</v>
          </cell>
          <cell r="B52">
            <v>8.6999999999999993</v>
          </cell>
          <cell r="C52">
            <v>69318.44</v>
          </cell>
          <cell r="D52">
            <v>1.7511000000000001</v>
          </cell>
          <cell r="F52">
            <v>94.054054054054049</v>
          </cell>
          <cell r="G52">
            <v>102.27102253849118</v>
          </cell>
          <cell r="I52">
            <v>9.9550000000000001</v>
          </cell>
        </row>
        <row r="53">
          <cell r="A53">
            <v>40290</v>
          </cell>
          <cell r="B53">
            <v>9</v>
          </cell>
          <cell r="C53">
            <v>69386.41</v>
          </cell>
          <cell r="D53">
            <v>1.7662500000000001</v>
          </cell>
          <cell r="F53">
            <v>97.297297297297305</v>
          </cell>
          <cell r="G53">
            <v>102.37130409996229</v>
          </cell>
          <cell r="I53">
            <v>10.0425</v>
          </cell>
        </row>
        <row r="54">
          <cell r="A54">
            <v>40291</v>
          </cell>
          <cell r="B54">
            <v>8.92</v>
          </cell>
          <cell r="C54">
            <v>69509.490000000005</v>
          </cell>
          <cell r="D54">
            <v>1.7623</v>
          </cell>
          <cell r="F54">
            <v>96.432432432432435</v>
          </cell>
          <cell r="G54">
            <v>102.55289383934532</v>
          </cell>
          <cell r="I54">
            <v>10</v>
          </cell>
        </row>
        <row r="55">
          <cell r="A55">
            <v>40292</v>
          </cell>
          <cell r="B55">
            <v>8.92</v>
          </cell>
          <cell r="C55">
            <v>69509.490000000005</v>
          </cell>
          <cell r="D55">
            <v>1.7623</v>
          </cell>
          <cell r="F55">
            <v>96.432432432432435</v>
          </cell>
          <cell r="G55">
            <v>102.55289383934532</v>
          </cell>
          <cell r="I55">
            <v>10</v>
          </cell>
        </row>
        <row r="56">
          <cell r="A56">
            <v>40293</v>
          </cell>
          <cell r="B56">
            <v>8.92</v>
          </cell>
          <cell r="C56">
            <v>69509.490000000005</v>
          </cell>
          <cell r="D56">
            <v>1.7623</v>
          </cell>
          <cell r="F56">
            <v>96.432432432432435</v>
          </cell>
          <cell r="G56">
            <v>102.55289383934532</v>
          </cell>
          <cell r="I56">
            <v>10</v>
          </cell>
        </row>
        <row r="57">
          <cell r="A57">
            <v>40294</v>
          </cell>
          <cell r="B57">
            <v>9.1</v>
          </cell>
          <cell r="C57">
            <v>68871.94</v>
          </cell>
          <cell r="D57">
            <v>1.7442500000000001</v>
          </cell>
          <cell r="F57">
            <v>98.378378378378372</v>
          </cell>
          <cell r="G57">
            <v>101.61226548101216</v>
          </cell>
          <cell r="I57">
            <v>9.9875000000000007</v>
          </cell>
        </row>
        <row r="58">
          <cell r="A58">
            <v>40295</v>
          </cell>
          <cell r="B58">
            <v>9.1</v>
          </cell>
          <cell r="C58">
            <v>66511.100000000006</v>
          </cell>
          <cell r="D58">
            <v>1.7515000000000001</v>
          </cell>
          <cell r="F58">
            <v>98.378378378378372</v>
          </cell>
          <cell r="G58">
            <v>98.12912995675957</v>
          </cell>
          <cell r="I58">
            <v>9.8275000000000006</v>
          </cell>
        </row>
        <row r="59">
          <cell r="A59">
            <v>40296</v>
          </cell>
          <cell r="B59">
            <v>9.1</v>
          </cell>
          <cell r="C59">
            <v>66655.710000000006</v>
          </cell>
          <cell r="D59">
            <v>1.7576499999999999</v>
          </cell>
          <cell r="F59">
            <v>98.378378378378372</v>
          </cell>
          <cell r="G59">
            <v>98.342484622116885</v>
          </cell>
          <cell r="I59">
            <v>9.8275000000000006</v>
          </cell>
        </row>
        <row r="60">
          <cell r="A60">
            <v>40297</v>
          </cell>
          <cell r="B60">
            <v>9.1</v>
          </cell>
          <cell r="C60">
            <v>67978.05</v>
          </cell>
          <cell r="D60">
            <v>1.7309000000000001</v>
          </cell>
          <cell r="F60">
            <v>98.378378378378372</v>
          </cell>
          <cell r="G60">
            <v>100.2934382780784</v>
          </cell>
          <cell r="I60">
            <v>9.8574999999999999</v>
          </cell>
        </row>
        <row r="61">
          <cell r="A61">
            <v>40298</v>
          </cell>
          <cell r="B61">
            <v>9.19</v>
          </cell>
          <cell r="C61">
            <v>67529.73</v>
          </cell>
          <cell r="D61">
            <v>1.73075</v>
          </cell>
          <cell r="F61">
            <v>99.35135135135134</v>
          </cell>
          <cell r="G61">
            <v>99.631996029458008</v>
          </cell>
          <cell r="I61">
            <v>9.8949999999999996</v>
          </cell>
        </row>
        <row r="62">
          <cell r="A62">
            <v>40299</v>
          </cell>
          <cell r="B62">
            <v>9.19</v>
          </cell>
          <cell r="C62">
            <v>67529.73</v>
          </cell>
          <cell r="D62">
            <v>1.73075</v>
          </cell>
          <cell r="F62">
            <v>99.35135135135134</v>
          </cell>
          <cell r="G62">
            <v>99.631996029458008</v>
          </cell>
          <cell r="I62">
            <v>9.8949999999999996</v>
          </cell>
        </row>
        <row r="63">
          <cell r="A63">
            <v>40300</v>
          </cell>
          <cell r="B63">
            <v>9.19</v>
          </cell>
          <cell r="C63">
            <v>67529.73</v>
          </cell>
          <cell r="D63">
            <v>1.73075</v>
          </cell>
          <cell r="F63">
            <v>99.35135135135134</v>
          </cell>
          <cell r="G63">
            <v>99.631996029458008</v>
          </cell>
          <cell r="I63">
            <v>9.8949999999999996</v>
          </cell>
        </row>
        <row r="64">
          <cell r="A64">
            <v>40301</v>
          </cell>
          <cell r="B64">
            <v>9.19</v>
          </cell>
          <cell r="C64">
            <v>67119.41</v>
          </cell>
          <cell r="D64">
            <v>1.7344999999999999</v>
          </cell>
          <cell r="F64">
            <v>99.35135135135134</v>
          </cell>
          <cell r="G64">
            <v>99.026618211261393</v>
          </cell>
          <cell r="I64">
            <v>9.7575000000000003</v>
          </cell>
        </row>
        <row r="65">
          <cell r="A65">
            <v>40302</v>
          </cell>
          <cell r="B65">
            <v>8.5</v>
          </cell>
          <cell r="C65">
            <v>64869.32</v>
          </cell>
          <cell r="D65">
            <v>1.7555000000000001</v>
          </cell>
          <cell r="F65">
            <v>91.891891891891902</v>
          </cell>
          <cell r="G65">
            <v>95.706880994099066</v>
          </cell>
          <cell r="I65">
            <v>9.77</v>
          </cell>
        </row>
        <row r="66">
          <cell r="A66">
            <v>40303</v>
          </cell>
          <cell r="B66">
            <v>8.5</v>
          </cell>
          <cell r="C66">
            <v>64914.17</v>
          </cell>
          <cell r="D66">
            <v>1.7878499999999999</v>
          </cell>
          <cell r="F66">
            <v>91.891891891891902</v>
          </cell>
          <cell r="G66">
            <v>95.773051775796574</v>
          </cell>
          <cell r="I66">
            <v>9.6824999999999992</v>
          </cell>
        </row>
        <row r="67">
          <cell r="A67">
            <v>40304</v>
          </cell>
          <cell r="B67">
            <v>8.5</v>
          </cell>
          <cell r="C67">
            <v>63414.22</v>
          </cell>
          <cell r="D67">
            <v>1.8084499999999999</v>
          </cell>
          <cell r="F67">
            <v>91.891891891891902</v>
          </cell>
          <cell r="G67">
            <v>93.560055922793964</v>
          </cell>
          <cell r="I67">
            <v>9.4550000000000001</v>
          </cell>
        </row>
        <row r="68">
          <cell r="A68">
            <v>40305</v>
          </cell>
          <cell r="B68">
            <v>8.49</v>
          </cell>
          <cell r="C68">
            <v>62870.879999999997</v>
          </cell>
          <cell r="D68">
            <v>1.84975</v>
          </cell>
          <cell r="F68">
            <v>91.78378378378379</v>
          </cell>
          <cell r="G68">
            <v>92.758423090519258</v>
          </cell>
          <cell r="I68">
            <v>9.5124999999999993</v>
          </cell>
        </row>
        <row r="69">
          <cell r="A69">
            <v>40306</v>
          </cell>
          <cell r="B69">
            <v>8.49</v>
          </cell>
          <cell r="C69">
            <v>62870.879999999997</v>
          </cell>
          <cell r="D69">
            <v>1.84975</v>
          </cell>
          <cell r="F69">
            <v>91.78378378378379</v>
          </cell>
          <cell r="G69">
            <v>92.758423090519258</v>
          </cell>
          <cell r="I69">
            <v>9.5124999999999993</v>
          </cell>
        </row>
        <row r="70">
          <cell r="A70">
            <v>40307</v>
          </cell>
          <cell r="B70">
            <v>8.49</v>
          </cell>
          <cell r="C70">
            <v>62870.879999999997</v>
          </cell>
          <cell r="D70">
            <v>1.84975</v>
          </cell>
          <cell r="F70">
            <v>91.78378378378379</v>
          </cell>
          <cell r="G70">
            <v>92.758423090519258</v>
          </cell>
          <cell r="I70">
            <v>9.5124999999999993</v>
          </cell>
        </row>
        <row r="71">
          <cell r="A71">
            <v>40308</v>
          </cell>
          <cell r="B71">
            <v>8.49</v>
          </cell>
          <cell r="C71">
            <v>65452.68</v>
          </cell>
          <cell r="D71">
            <v>1.7876000000000001</v>
          </cell>
          <cell r="F71">
            <v>91.78378378378379</v>
          </cell>
          <cell r="G71">
            <v>96.567558523888465</v>
          </cell>
          <cell r="I71">
            <v>9.5274999999999999</v>
          </cell>
        </row>
        <row r="72">
          <cell r="A72">
            <v>40309</v>
          </cell>
          <cell r="B72">
            <v>8.49</v>
          </cell>
          <cell r="C72">
            <v>64424.89</v>
          </cell>
          <cell r="D72">
            <v>1.78285</v>
          </cell>
          <cell r="F72">
            <v>91.78378378378379</v>
          </cell>
          <cell r="G72">
            <v>95.051177972698383</v>
          </cell>
          <cell r="I72">
            <v>9.5824999999999996</v>
          </cell>
        </row>
        <row r="73">
          <cell r="A73">
            <v>40310</v>
          </cell>
          <cell r="B73">
            <v>8.49</v>
          </cell>
          <cell r="C73">
            <v>65223.63</v>
          </cell>
          <cell r="D73">
            <v>1.77155</v>
          </cell>
          <cell r="F73">
            <v>91.78378378378379</v>
          </cell>
          <cell r="G73">
            <v>96.229622792610584</v>
          </cell>
          <cell r="I73">
            <v>9.5950000000000006</v>
          </cell>
        </row>
        <row r="74">
          <cell r="A74">
            <v>40311</v>
          </cell>
          <cell r="B74">
            <v>8.49</v>
          </cell>
          <cell r="C74">
            <v>64788.22</v>
          </cell>
          <cell r="D74">
            <v>1.7722500000000001</v>
          </cell>
          <cell r="F74">
            <v>91.78378378378379</v>
          </cell>
          <cell r="G74">
            <v>95.587227696536814</v>
          </cell>
          <cell r="I74">
            <v>9.6050000000000004</v>
          </cell>
        </row>
        <row r="75">
          <cell r="A75">
            <v>40312</v>
          </cell>
          <cell r="B75">
            <v>8.5</v>
          </cell>
          <cell r="C75">
            <v>63412.47</v>
          </cell>
          <cell r="D75">
            <v>1.7946</v>
          </cell>
          <cell r="F75">
            <v>91.891891891891902</v>
          </cell>
          <cell r="G75">
            <v>93.557474008234976</v>
          </cell>
          <cell r="I75">
            <v>9.48</v>
          </cell>
        </row>
        <row r="76">
          <cell r="A76">
            <v>40313</v>
          </cell>
          <cell r="B76">
            <v>8.5</v>
          </cell>
          <cell r="C76">
            <v>63412.47</v>
          </cell>
          <cell r="D76">
            <v>1.7946</v>
          </cell>
          <cell r="F76">
            <v>91.891891891891902</v>
          </cell>
          <cell r="G76">
            <v>93.557474008234976</v>
          </cell>
          <cell r="I76">
            <v>9.48</v>
          </cell>
        </row>
        <row r="77">
          <cell r="A77">
            <v>40314</v>
          </cell>
          <cell r="B77">
            <v>8.5</v>
          </cell>
          <cell r="C77">
            <v>63412.47</v>
          </cell>
          <cell r="D77">
            <v>1.7946</v>
          </cell>
          <cell r="F77">
            <v>91.891891891891902</v>
          </cell>
          <cell r="G77">
            <v>93.557474008234976</v>
          </cell>
          <cell r="I77">
            <v>9.48</v>
          </cell>
        </row>
        <row r="78">
          <cell r="A78">
            <v>40315</v>
          </cell>
          <cell r="B78">
            <v>8.4499999999999993</v>
          </cell>
          <cell r="C78">
            <v>62866.26</v>
          </cell>
          <cell r="D78">
            <v>1.8073999999999999</v>
          </cell>
          <cell r="F78">
            <v>91.35135135135134</v>
          </cell>
          <cell r="G78">
            <v>92.751606836083539</v>
          </cell>
          <cell r="I78">
            <v>9.41</v>
          </cell>
        </row>
        <row r="79">
          <cell r="A79">
            <v>40316</v>
          </cell>
          <cell r="B79">
            <v>8.3000000000000007</v>
          </cell>
          <cell r="C79">
            <v>60841.08</v>
          </cell>
          <cell r="D79">
            <v>1.7967500000000001</v>
          </cell>
          <cell r="F79">
            <v>89.72972972972974</v>
          </cell>
          <cell r="G79">
            <v>89.7636972780424</v>
          </cell>
          <cell r="I79">
            <v>9.3949999999999996</v>
          </cell>
        </row>
        <row r="80">
          <cell r="A80">
            <v>40317</v>
          </cell>
          <cell r="B80">
            <v>8.15</v>
          </cell>
          <cell r="C80">
            <v>59689.32</v>
          </cell>
          <cell r="D80">
            <v>1.83765</v>
          </cell>
          <cell r="F80">
            <v>88.108108108108112</v>
          </cell>
          <cell r="G80">
            <v>88.064413899493587</v>
          </cell>
          <cell r="I80">
            <v>9.3849999999999998</v>
          </cell>
        </row>
        <row r="81">
          <cell r="A81">
            <v>40318</v>
          </cell>
          <cell r="B81">
            <v>8</v>
          </cell>
          <cell r="C81">
            <v>58192.08</v>
          </cell>
          <cell r="D81">
            <v>1.8864000000000001</v>
          </cell>
          <cell r="F81">
            <v>86.486486486486484</v>
          </cell>
          <cell r="G81">
            <v>85.855416325608047</v>
          </cell>
          <cell r="I81">
            <v>9.44</v>
          </cell>
        </row>
        <row r="82">
          <cell r="A82">
            <v>40319</v>
          </cell>
          <cell r="B82">
            <v>7.99</v>
          </cell>
          <cell r="C82">
            <v>60259.33</v>
          </cell>
          <cell r="D82">
            <v>1.8728</v>
          </cell>
          <cell r="F82">
            <v>86.378378378378386</v>
          </cell>
          <cell r="G82">
            <v>88.905395109647273</v>
          </cell>
          <cell r="I82">
            <v>9.41</v>
          </cell>
        </row>
        <row r="83">
          <cell r="A83">
            <v>40320</v>
          </cell>
          <cell r="B83">
            <v>7.99</v>
          </cell>
          <cell r="C83">
            <v>60259.33</v>
          </cell>
          <cell r="D83">
            <v>1.8728</v>
          </cell>
          <cell r="F83">
            <v>86.378378378378386</v>
          </cell>
          <cell r="G83">
            <v>88.905395109647273</v>
          </cell>
          <cell r="I83">
            <v>9.41</v>
          </cell>
        </row>
        <row r="84">
          <cell r="A84">
            <v>40321</v>
          </cell>
          <cell r="B84">
            <v>7.99</v>
          </cell>
          <cell r="C84">
            <v>60259.33</v>
          </cell>
          <cell r="D84">
            <v>1.8728</v>
          </cell>
          <cell r="F84">
            <v>86.378378378378386</v>
          </cell>
          <cell r="G84">
            <v>88.905395109647273</v>
          </cell>
          <cell r="I84">
            <v>9.41</v>
          </cell>
        </row>
        <row r="85">
          <cell r="A85">
            <v>40322</v>
          </cell>
          <cell r="B85">
            <v>7.99</v>
          </cell>
          <cell r="C85">
            <v>59915.14</v>
          </cell>
          <cell r="D85">
            <v>1.8485</v>
          </cell>
          <cell r="F85">
            <v>86.378378378378386</v>
          </cell>
          <cell r="G85">
            <v>88.397584154185438</v>
          </cell>
          <cell r="I85">
            <v>9.4049999999999994</v>
          </cell>
        </row>
        <row r="86">
          <cell r="A86">
            <v>40323</v>
          </cell>
          <cell r="B86">
            <v>7.99</v>
          </cell>
          <cell r="C86">
            <v>59184.08</v>
          </cell>
          <cell r="D86">
            <v>1.8866000000000001</v>
          </cell>
          <cell r="F86">
            <v>86.378378378378386</v>
          </cell>
          <cell r="G86">
            <v>87.318993035617439</v>
          </cell>
          <cell r="I86">
            <v>9.3049999999999997</v>
          </cell>
        </row>
        <row r="87">
          <cell r="A87">
            <v>40324</v>
          </cell>
          <cell r="B87">
            <v>7.99</v>
          </cell>
          <cell r="C87">
            <v>60190.36</v>
          </cell>
          <cell r="D87">
            <v>1.8408</v>
          </cell>
          <cell r="F87">
            <v>86.378378378378386</v>
          </cell>
          <cell r="G87">
            <v>88.803638168428165</v>
          </cell>
          <cell r="I87">
            <v>9.3800000000000008</v>
          </cell>
        </row>
        <row r="88">
          <cell r="A88">
            <v>40325</v>
          </cell>
          <cell r="B88">
            <v>8</v>
          </cell>
          <cell r="C88">
            <v>62091.77</v>
          </cell>
          <cell r="D88">
            <v>1.8319000000000001</v>
          </cell>
          <cell r="F88">
            <v>86.486486486486484</v>
          </cell>
          <cell r="G88">
            <v>91.608939975060167</v>
          </cell>
          <cell r="I88">
            <v>9.5175000000000001</v>
          </cell>
        </row>
        <row r="89">
          <cell r="A89">
            <v>40326</v>
          </cell>
          <cell r="B89">
            <v>8.5</v>
          </cell>
          <cell r="C89">
            <v>61946.99</v>
          </cell>
          <cell r="D89">
            <v>1.8245</v>
          </cell>
          <cell r="F89">
            <v>91.891891891891902</v>
          </cell>
          <cell r="G89">
            <v>91.395334495145704</v>
          </cell>
          <cell r="I89">
            <v>9.3774999999999995</v>
          </cell>
        </row>
        <row r="90">
          <cell r="A90">
            <v>40327</v>
          </cell>
          <cell r="B90">
            <v>8.5</v>
          </cell>
          <cell r="C90">
            <v>61946.99</v>
          </cell>
          <cell r="D90">
            <v>1.8245</v>
          </cell>
          <cell r="F90">
            <v>91.891891891891902</v>
          </cell>
          <cell r="G90">
            <v>91.395334495145704</v>
          </cell>
          <cell r="I90">
            <v>9.3774999999999995</v>
          </cell>
        </row>
        <row r="91">
          <cell r="A91">
            <v>40328</v>
          </cell>
          <cell r="B91">
            <v>8.5</v>
          </cell>
          <cell r="C91">
            <v>61946.99</v>
          </cell>
          <cell r="D91">
            <v>1.8245</v>
          </cell>
          <cell r="F91">
            <v>91.891891891891902</v>
          </cell>
          <cell r="G91">
            <v>91.395334495145704</v>
          </cell>
          <cell r="I91">
            <v>9.3774999999999995</v>
          </cell>
        </row>
        <row r="92">
          <cell r="A92">
            <v>40329</v>
          </cell>
          <cell r="B92">
            <v>8.5</v>
          </cell>
          <cell r="C92">
            <v>61946.99</v>
          </cell>
          <cell r="D92">
            <v>1.8245</v>
          </cell>
          <cell r="F92">
            <v>91.891891891891902</v>
          </cell>
          <cell r="G92">
            <v>91.395334495145704</v>
          </cell>
          <cell r="I92">
            <v>9.3774999999999995</v>
          </cell>
        </row>
        <row r="93">
          <cell r="A93">
            <v>40330</v>
          </cell>
          <cell r="B93">
            <v>8.99</v>
          </cell>
          <cell r="C93">
            <v>61840.99</v>
          </cell>
          <cell r="D93">
            <v>1.8204</v>
          </cell>
          <cell r="F93">
            <v>97.189189189189193</v>
          </cell>
          <cell r="G93">
            <v>91.238944241858405</v>
          </cell>
          <cell r="I93">
            <v>9.32</v>
          </cell>
        </row>
        <row r="94">
          <cell r="A94">
            <v>40331</v>
          </cell>
          <cell r="B94">
            <v>8.99</v>
          </cell>
          <cell r="C94">
            <v>62942.91</v>
          </cell>
          <cell r="D94">
            <v>1.83365</v>
          </cell>
          <cell r="F94">
            <v>97.189189189189193</v>
          </cell>
          <cell r="G94">
            <v>92.86469469376722</v>
          </cell>
          <cell r="I94">
            <v>9.3249999999999993</v>
          </cell>
        </row>
        <row r="95">
          <cell r="A95">
            <v>40332</v>
          </cell>
          <cell r="B95">
            <v>8.99</v>
          </cell>
          <cell r="C95">
            <v>62942.91</v>
          </cell>
          <cell r="D95">
            <v>1.8191999999999999</v>
          </cell>
          <cell r="F95">
            <v>97.189189189189193</v>
          </cell>
          <cell r="G95">
            <v>92.86469469376722</v>
          </cell>
          <cell r="I95">
            <v>9.5500000000000007</v>
          </cell>
        </row>
        <row r="96">
          <cell r="A96">
            <v>40333</v>
          </cell>
          <cell r="B96">
            <v>8.99</v>
          </cell>
          <cell r="C96">
            <v>61675.75</v>
          </cell>
          <cell r="D96">
            <v>1.83975</v>
          </cell>
          <cell r="F96">
            <v>97.189189189189193</v>
          </cell>
          <cell r="G96">
            <v>90.995152492299994</v>
          </cell>
          <cell r="I96">
            <v>9.35</v>
          </cell>
        </row>
        <row r="97">
          <cell r="A97">
            <v>40334</v>
          </cell>
          <cell r="B97">
            <v>8.99</v>
          </cell>
          <cell r="C97">
            <v>61675.75</v>
          </cell>
          <cell r="D97">
            <v>1.83975</v>
          </cell>
          <cell r="F97">
            <v>97.189189189189193</v>
          </cell>
          <cell r="G97">
            <v>90.995152492299994</v>
          </cell>
          <cell r="I97">
            <v>9.35</v>
          </cell>
        </row>
        <row r="98">
          <cell r="A98">
            <v>40335</v>
          </cell>
          <cell r="B98">
            <v>8.99</v>
          </cell>
          <cell r="C98">
            <v>61675.75</v>
          </cell>
          <cell r="D98">
            <v>1.83975</v>
          </cell>
          <cell r="F98">
            <v>97.189189189189193</v>
          </cell>
          <cell r="G98">
            <v>90.995152492299994</v>
          </cell>
          <cell r="I98">
            <v>9.35</v>
          </cell>
        </row>
        <row r="99">
          <cell r="A99">
            <v>40336</v>
          </cell>
          <cell r="B99">
            <v>8.5</v>
          </cell>
          <cell r="C99">
            <v>61182.92</v>
          </cell>
          <cell r="D99">
            <v>1.8701000000000001</v>
          </cell>
          <cell r="F99">
            <v>91.891891891891902</v>
          </cell>
          <cell r="G99">
            <v>90.268041091096435</v>
          </cell>
          <cell r="I99">
            <v>9.35</v>
          </cell>
        </row>
        <row r="100">
          <cell r="A100">
            <v>40337</v>
          </cell>
          <cell r="B100">
            <v>8.2100000000000009</v>
          </cell>
          <cell r="C100">
            <v>61793</v>
          </cell>
          <cell r="D100">
            <v>1.8734999999999999</v>
          </cell>
          <cell r="F100">
            <v>88.756756756756758</v>
          </cell>
          <cell r="G100">
            <v>91.168140767752206</v>
          </cell>
          <cell r="I100">
            <v>9.31</v>
          </cell>
        </row>
        <row r="101">
          <cell r="A101">
            <v>40338</v>
          </cell>
          <cell r="B101">
            <v>8.25</v>
          </cell>
          <cell r="C101">
            <v>61478.61</v>
          </cell>
          <cell r="D101">
            <v>1.8412500000000001</v>
          </cell>
          <cell r="F101">
            <v>89.189189189189193</v>
          </cell>
          <cell r="G101">
            <v>90.704296128780584</v>
          </cell>
          <cell r="I101">
            <v>9.4350000000000005</v>
          </cell>
        </row>
        <row r="102">
          <cell r="A102">
            <v>40339</v>
          </cell>
          <cell r="B102">
            <v>8.49</v>
          </cell>
          <cell r="C102">
            <v>63048.800000000003</v>
          </cell>
          <cell r="D102">
            <v>1.8202499999999999</v>
          </cell>
          <cell r="F102">
            <v>91.78378378378379</v>
          </cell>
          <cell r="G102">
            <v>93.020922655282249</v>
          </cell>
          <cell r="I102">
            <v>9.35</v>
          </cell>
        </row>
        <row r="103">
          <cell r="A103">
            <v>40340</v>
          </cell>
          <cell r="B103">
            <v>8.5</v>
          </cell>
          <cell r="C103">
            <v>63605.38</v>
          </cell>
          <cell r="D103">
            <v>1.8079000000000001</v>
          </cell>
          <cell r="F103">
            <v>91.891891891891902</v>
          </cell>
          <cell r="G103">
            <v>93.842089515420369</v>
          </cell>
          <cell r="I103">
            <v>9.4625000000000004</v>
          </cell>
        </row>
        <row r="104">
          <cell r="A104">
            <v>40341</v>
          </cell>
          <cell r="B104">
            <v>8.5</v>
          </cell>
          <cell r="C104">
            <v>63605.38</v>
          </cell>
          <cell r="D104">
            <v>1.8079000000000001</v>
          </cell>
          <cell r="F104">
            <v>91.891891891891902</v>
          </cell>
          <cell r="G104">
            <v>93.842089515420369</v>
          </cell>
          <cell r="I104">
            <v>9.4625000000000004</v>
          </cell>
        </row>
        <row r="105">
          <cell r="A105">
            <v>40342</v>
          </cell>
          <cell r="B105">
            <v>8.5</v>
          </cell>
          <cell r="C105">
            <v>63605.38</v>
          </cell>
          <cell r="D105">
            <v>1.8079000000000001</v>
          </cell>
          <cell r="F105">
            <v>91.891891891891902</v>
          </cell>
          <cell r="G105">
            <v>93.842089515420369</v>
          </cell>
          <cell r="I105">
            <v>9.4625000000000004</v>
          </cell>
        </row>
        <row r="106">
          <cell r="A106">
            <v>40343</v>
          </cell>
          <cell r="B106">
            <v>8.6</v>
          </cell>
          <cell r="C106">
            <v>63532.85</v>
          </cell>
          <cell r="D106">
            <v>1.8010999999999999</v>
          </cell>
          <cell r="F106">
            <v>92.972972972972968</v>
          </cell>
          <cell r="G106">
            <v>93.735080222298407</v>
          </cell>
          <cell r="I106">
            <v>9.5150000000000006</v>
          </cell>
        </row>
        <row r="107">
          <cell r="A107">
            <v>40344</v>
          </cell>
          <cell r="B107">
            <v>9</v>
          </cell>
          <cell r="C107">
            <v>64442.27</v>
          </cell>
          <cell r="D107">
            <v>1.7940499999999999</v>
          </cell>
          <cell r="F107">
            <v>97.297297297297305</v>
          </cell>
          <cell r="G107">
            <v>95.076820072718505</v>
          </cell>
          <cell r="I107">
            <v>9.4949999999999992</v>
          </cell>
        </row>
        <row r="108">
          <cell r="A108">
            <v>40345</v>
          </cell>
          <cell r="B108">
            <v>9</v>
          </cell>
          <cell r="C108">
            <v>64750.71</v>
          </cell>
          <cell r="D108">
            <v>1.7903500000000001</v>
          </cell>
          <cell r="F108">
            <v>97.297297297297305</v>
          </cell>
          <cell r="G108">
            <v>95.531886202189582</v>
          </cell>
          <cell r="I108">
            <v>9.5775000000000006</v>
          </cell>
        </row>
        <row r="109">
          <cell r="A109">
            <v>40346</v>
          </cell>
          <cell r="B109">
            <v>9</v>
          </cell>
          <cell r="C109">
            <v>64540.91</v>
          </cell>
          <cell r="D109">
            <v>1.7837000000000001</v>
          </cell>
          <cell r="F109">
            <v>97.297297297297305</v>
          </cell>
          <cell r="G109">
            <v>95.222351531060582</v>
          </cell>
          <cell r="I109">
            <v>9.52</v>
          </cell>
        </row>
        <row r="110">
          <cell r="A110">
            <v>40347</v>
          </cell>
          <cell r="B110">
            <v>9</v>
          </cell>
          <cell r="C110">
            <v>64437.58</v>
          </cell>
          <cell r="D110">
            <v>1.7732000000000001</v>
          </cell>
          <cell r="F110">
            <v>97.297297297297305</v>
          </cell>
          <cell r="G110">
            <v>95.06990054170042</v>
          </cell>
          <cell r="I110">
            <v>9.61</v>
          </cell>
        </row>
        <row r="111">
          <cell r="A111">
            <v>40348</v>
          </cell>
          <cell r="B111">
            <v>9</v>
          </cell>
          <cell r="C111">
            <v>64437.58</v>
          </cell>
          <cell r="D111">
            <v>1.7732000000000001</v>
          </cell>
          <cell r="F111">
            <v>97.297297297297305</v>
          </cell>
          <cell r="G111">
            <v>95.06990054170042</v>
          </cell>
          <cell r="I111">
            <v>9.61</v>
          </cell>
        </row>
        <row r="112">
          <cell r="A112">
            <v>40349</v>
          </cell>
          <cell r="B112">
            <v>9</v>
          </cell>
          <cell r="C112">
            <v>64437.58</v>
          </cell>
          <cell r="D112">
            <v>1.7732000000000001</v>
          </cell>
          <cell r="F112">
            <v>97.297297297297305</v>
          </cell>
          <cell r="G112">
            <v>95.06990054170042</v>
          </cell>
          <cell r="I112">
            <v>9.61</v>
          </cell>
        </row>
        <row r="113">
          <cell r="A113">
            <v>40350</v>
          </cell>
          <cell r="B113">
            <v>9</v>
          </cell>
          <cell r="C113">
            <v>64829.03</v>
          </cell>
          <cell r="D113">
            <v>1.7637</v>
          </cell>
          <cell r="F113">
            <v>97.297297297297305</v>
          </cell>
          <cell r="G113">
            <v>95.647437944052413</v>
          </cell>
          <cell r="I113">
            <v>9.6325000000000003</v>
          </cell>
        </row>
        <row r="114">
          <cell r="A114">
            <v>40351</v>
          </cell>
          <cell r="B114">
            <v>9.1</v>
          </cell>
          <cell r="C114">
            <v>64810.62</v>
          </cell>
          <cell r="D114">
            <v>1.7641500000000001</v>
          </cell>
          <cell r="F114">
            <v>98.378378378378372</v>
          </cell>
          <cell r="G114">
            <v>95.620276202891858</v>
          </cell>
          <cell r="I114">
            <v>9.6549999999999994</v>
          </cell>
        </row>
        <row r="115">
          <cell r="A115">
            <v>40352</v>
          </cell>
          <cell r="B115">
            <v>9.1</v>
          </cell>
          <cell r="C115">
            <v>65160.33</v>
          </cell>
          <cell r="D115">
            <v>1.7968500000000001</v>
          </cell>
          <cell r="F115">
            <v>98.378378378378372</v>
          </cell>
          <cell r="G115">
            <v>96.136231254562603</v>
          </cell>
          <cell r="I115">
            <v>9.58</v>
          </cell>
        </row>
        <row r="116">
          <cell r="A116">
            <v>40353</v>
          </cell>
          <cell r="B116">
            <v>9.15</v>
          </cell>
          <cell r="C116">
            <v>63936.7</v>
          </cell>
          <cell r="D116">
            <v>1.7924</v>
          </cell>
          <cell r="F116">
            <v>98.918918918918919</v>
          </cell>
          <cell r="G116">
            <v>94.330912333525518</v>
          </cell>
          <cell r="I116">
            <v>9.5549999999999997</v>
          </cell>
        </row>
        <row r="117">
          <cell r="A117">
            <v>40354</v>
          </cell>
          <cell r="B117">
            <v>8.5</v>
          </cell>
          <cell r="C117">
            <v>64823.83</v>
          </cell>
          <cell r="D117">
            <v>1.7867999999999999</v>
          </cell>
          <cell r="F117">
            <v>91.891891891891902</v>
          </cell>
          <cell r="G117">
            <v>95.639765969362855</v>
          </cell>
          <cell r="I117">
            <v>9.57</v>
          </cell>
        </row>
        <row r="118">
          <cell r="A118">
            <v>40355</v>
          </cell>
          <cell r="B118">
            <v>8.5</v>
          </cell>
          <cell r="C118">
            <v>64823.83</v>
          </cell>
          <cell r="D118">
            <v>1.7867999999999999</v>
          </cell>
          <cell r="F118">
            <v>91.891891891891902</v>
          </cell>
          <cell r="G118">
            <v>95.639765969362855</v>
          </cell>
          <cell r="I118">
            <v>9.57</v>
          </cell>
        </row>
        <row r="119">
          <cell r="A119">
            <v>40356</v>
          </cell>
          <cell r="B119">
            <v>8.5</v>
          </cell>
          <cell r="C119">
            <v>64823.83</v>
          </cell>
          <cell r="D119">
            <v>1.7867999999999999</v>
          </cell>
          <cell r="F119">
            <v>91.891891891891902</v>
          </cell>
          <cell r="G119">
            <v>95.639765969362855</v>
          </cell>
          <cell r="I119">
            <v>9.57</v>
          </cell>
        </row>
        <row r="120">
          <cell r="A120">
            <v>40357</v>
          </cell>
          <cell r="B120">
            <v>8.9</v>
          </cell>
          <cell r="C120">
            <v>64225.22</v>
          </cell>
          <cell r="D120">
            <v>1.7789999999999999</v>
          </cell>
          <cell r="F120">
            <v>96.216216216216225</v>
          </cell>
          <cell r="G120">
            <v>94.756588898416567</v>
          </cell>
          <cell r="I120">
            <v>9.5500000000000007</v>
          </cell>
        </row>
        <row r="121">
          <cell r="A121">
            <v>40358</v>
          </cell>
          <cell r="B121">
            <v>8.75</v>
          </cell>
          <cell r="C121">
            <v>61977.91</v>
          </cell>
          <cell r="D121">
            <v>1.8023</v>
          </cell>
          <cell r="F121">
            <v>94.594594594594597</v>
          </cell>
          <cell r="G121">
            <v>91.440953236953661</v>
          </cell>
          <cell r="I121">
            <v>9.4725000000000001</v>
          </cell>
        </row>
        <row r="122">
          <cell r="A122">
            <v>40359</v>
          </cell>
          <cell r="B122">
            <v>8.64</v>
          </cell>
          <cell r="C122">
            <v>60935.9</v>
          </cell>
          <cell r="D122">
            <v>1.8025</v>
          </cell>
          <cell r="F122">
            <v>93.405405405405403</v>
          </cell>
          <cell r="G122">
            <v>89.903592785747122</v>
          </cell>
          <cell r="I122">
            <v>9.4849999999999994</v>
          </cell>
        </row>
        <row r="123">
          <cell r="A123">
            <v>40360</v>
          </cell>
          <cell r="B123">
            <v>8.6</v>
          </cell>
          <cell r="C123">
            <v>61236.2</v>
          </cell>
          <cell r="D123">
            <v>1.8050999999999999</v>
          </cell>
          <cell r="F123">
            <v>92.972972972972968</v>
          </cell>
          <cell r="G123">
            <v>90.346649324069517</v>
          </cell>
          <cell r="I123">
            <v>9.5350000000000001</v>
          </cell>
        </row>
        <row r="124">
          <cell r="A124">
            <v>40361</v>
          </cell>
          <cell r="B124">
            <v>8.49</v>
          </cell>
          <cell r="C124">
            <v>61429.79</v>
          </cell>
          <cell r="D124">
            <v>1.7716000000000001</v>
          </cell>
          <cell r="F124">
            <v>91.78378378378379</v>
          </cell>
          <cell r="G124">
            <v>90.632268089483546</v>
          </cell>
          <cell r="I124">
            <v>9.6274999999999995</v>
          </cell>
        </row>
        <row r="125">
          <cell r="A125">
            <v>40362</v>
          </cell>
          <cell r="B125">
            <v>8.49</v>
          </cell>
          <cell r="C125">
            <v>61429.79</v>
          </cell>
          <cell r="D125">
            <v>1.7716000000000001</v>
          </cell>
          <cell r="F125">
            <v>91.78378378378379</v>
          </cell>
          <cell r="G125">
            <v>90.632268089483546</v>
          </cell>
          <cell r="I125">
            <v>9.6274999999999995</v>
          </cell>
        </row>
        <row r="126">
          <cell r="A126">
            <v>40363</v>
          </cell>
          <cell r="B126">
            <v>8.49</v>
          </cell>
          <cell r="C126">
            <v>61429.79</v>
          </cell>
          <cell r="D126">
            <v>1.7716000000000001</v>
          </cell>
          <cell r="F126">
            <v>91.78378378378379</v>
          </cell>
          <cell r="G126">
            <v>90.632268089483546</v>
          </cell>
          <cell r="I126">
            <v>9.6274999999999995</v>
          </cell>
        </row>
        <row r="127">
          <cell r="A127">
            <v>40364</v>
          </cell>
          <cell r="B127">
            <v>8.49</v>
          </cell>
          <cell r="C127">
            <v>61429.79</v>
          </cell>
          <cell r="D127">
            <v>1.7716000000000001</v>
          </cell>
          <cell r="F127">
            <v>91.78378378378379</v>
          </cell>
          <cell r="G127">
            <v>90.632268089483546</v>
          </cell>
          <cell r="I127">
            <v>9.6274999999999995</v>
          </cell>
        </row>
        <row r="128">
          <cell r="A128">
            <v>40365</v>
          </cell>
          <cell r="B128">
            <v>8.9</v>
          </cell>
          <cell r="C128">
            <v>62064.75</v>
          </cell>
          <cell r="D128">
            <v>1.7646500000000001</v>
          </cell>
          <cell r="F128">
            <v>96.216216216216225</v>
          </cell>
          <cell r="G128">
            <v>91.56907521426939</v>
          </cell>
          <cell r="I128">
            <v>9.6425000000000001</v>
          </cell>
        </row>
        <row r="129">
          <cell r="A129">
            <v>40366</v>
          </cell>
          <cell r="B129">
            <v>8.9</v>
          </cell>
          <cell r="C129">
            <v>63283.8</v>
          </cell>
          <cell r="D129">
            <v>1.7698</v>
          </cell>
          <cell r="F129">
            <v>96.216216216216225</v>
          </cell>
          <cell r="G129">
            <v>93.367636896060674</v>
          </cell>
          <cell r="I129">
            <v>9.93</v>
          </cell>
        </row>
        <row r="130">
          <cell r="A130">
            <v>40367</v>
          </cell>
          <cell r="B130">
            <v>9.08</v>
          </cell>
          <cell r="C130">
            <v>63476.32</v>
          </cell>
          <cell r="D130">
            <v>1.7686999999999999</v>
          </cell>
          <cell r="F130">
            <v>98.162162162162161</v>
          </cell>
          <cell r="G130">
            <v>93.65167700514435</v>
          </cell>
          <cell r="I130">
            <v>10.125</v>
          </cell>
        </row>
        <row r="131">
          <cell r="A131">
            <v>40368</v>
          </cell>
          <cell r="B131">
            <v>9.08</v>
          </cell>
          <cell r="C131">
            <v>63476.32</v>
          </cell>
          <cell r="D131">
            <v>1.76075</v>
          </cell>
          <cell r="F131">
            <v>98.162162162162161</v>
          </cell>
          <cell r="G131">
            <v>93.65167700514435</v>
          </cell>
          <cell r="I131">
            <v>10.255000000000001</v>
          </cell>
        </row>
        <row r="132">
          <cell r="A132">
            <v>40369</v>
          </cell>
          <cell r="B132">
            <v>9.08</v>
          </cell>
          <cell r="C132">
            <v>63476.32</v>
          </cell>
          <cell r="D132">
            <v>1.76075</v>
          </cell>
          <cell r="F132">
            <v>98.162162162162161</v>
          </cell>
          <cell r="G132">
            <v>93.65167700514435</v>
          </cell>
          <cell r="I132">
            <v>10.255000000000001</v>
          </cell>
        </row>
        <row r="133">
          <cell r="A133">
            <v>40370</v>
          </cell>
          <cell r="B133">
            <v>9.08</v>
          </cell>
          <cell r="C133">
            <v>63476.32</v>
          </cell>
          <cell r="D133">
            <v>1.76075</v>
          </cell>
          <cell r="F133">
            <v>98.162162162162161</v>
          </cell>
          <cell r="G133">
            <v>93.65167700514435</v>
          </cell>
          <cell r="I133">
            <v>10.255000000000001</v>
          </cell>
        </row>
        <row r="134">
          <cell r="A134">
            <v>40371</v>
          </cell>
          <cell r="B134">
            <v>8.6999999999999993</v>
          </cell>
          <cell r="C134">
            <v>62960.1</v>
          </cell>
          <cell r="D134">
            <v>1.76315</v>
          </cell>
          <cell r="F134">
            <v>94.054054054054049</v>
          </cell>
          <cell r="G134">
            <v>92.890056471635233</v>
          </cell>
          <cell r="I134">
            <v>10.317500000000001</v>
          </cell>
        </row>
        <row r="135">
          <cell r="A135">
            <v>40372</v>
          </cell>
          <cell r="B135">
            <v>8.6999999999999993</v>
          </cell>
          <cell r="C135">
            <v>63685.56</v>
          </cell>
          <cell r="D135">
            <v>1.7516499999999999</v>
          </cell>
          <cell r="F135">
            <v>94.054054054054049</v>
          </cell>
          <cell r="G135">
            <v>93.960385463614472</v>
          </cell>
          <cell r="I135">
            <v>10.305</v>
          </cell>
        </row>
        <row r="136">
          <cell r="A136">
            <v>40373</v>
          </cell>
          <cell r="B136">
            <v>8.89</v>
          </cell>
          <cell r="C136">
            <v>63479.46</v>
          </cell>
          <cell r="D136">
            <v>1.7649999999999999</v>
          </cell>
          <cell r="F136">
            <v>96.108108108108112</v>
          </cell>
          <cell r="G136">
            <v>93.656309697553041</v>
          </cell>
          <cell r="I136">
            <v>10.36</v>
          </cell>
        </row>
        <row r="137">
          <cell r="A137">
            <v>40374</v>
          </cell>
          <cell r="B137">
            <v>8.81</v>
          </cell>
          <cell r="C137">
            <v>63489.37</v>
          </cell>
          <cell r="D137">
            <v>1.7693000000000001</v>
          </cell>
          <cell r="F137">
            <v>95.243243243243242</v>
          </cell>
          <cell r="G137">
            <v>93.670930710855671</v>
          </cell>
          <cell r="I137">
            <v>10.19</v>
          </cell>
        </row>
        <row r="138">
          <cell r="A138">
            <v>40375</v>
          </cell>
          <cell r="B138">
            <v>9.08</v>
          </cell>
          <cell r="C138">
            <v>62339.27</v>
          </cell>
          <cell r="D138">
            <v>1.7783500000000001</v>
          </cell>
          <cell r="F138">
            <v>98.162162162162161</v>
          </cell>
          <cell r="G138">
            <v>91.974096462688522</v>
          </cell>
          <cell r="I138">
            <v>10.195</v>
          </cell>
        </row>
        <row r="139">
          <cell r="A139">
            <v>40376</v>
          </cell>
          <cell r="B139">
            <v>9.08</v>
          </cell>
          <cell r="C139">
            <v>62339.27</v>
          </cell>
          <cell r="D139">
            <v>1.7783500000000001</v>
          </cell>
          <cell r="F139">
            <v>98.162162162162161</v>
          </cell>
          <cell r="G139">
            <v>91.974096462688522</v>
          </cell>
          <cell r="I139">
            <v>10.195</v>
          </cell>
        </row>
        <row r="140">
          <cell r="A140">
            <v>40377</v>
          </cell>
          <cell r="B140">
            <v>9.08</v>
          </cell>
          <cell r="C140">
            <v>62339.27</v>
          </cell>
          <cell r="D140">
            <v>1.7783500000000001</v>
          </cell>
          <cell r="F140">
            <v>98.162162162162161</v>
          </cell>
          <cell r="G140">
            <v>91.974096462688522</v>
          </cell>
          <cell r="I140">
            <v>10.195</v>
          </cell>
        </row>
        <row r="141">
          <cell r="A141">
            <v>40378</v>
          </cell>
          <cell r="B141">
            <v>9.35</v>
          </cell>
          <cell r="C141">
            <v>63297.04</v>
          </cell>
          <cell r="D141">
            <v>1.7847999999999999</v>
          </cell>
          <cell r="F141">
            <v>101.08108108108107</v>
          </cell>
          <cell r="G141">
            <v>93.387170923924103</v>
          </cell>
          <cell r="I141">
            <v>10.08</v>
          </cell>
        </row>
        <row r="142">
          <cell r="A142">
            <v>40379</v>
          </cell>
          <cell r="B142">
            <v>9.35</v>
          </cell>
          <cell r="C142">
            <v>64462.5</v>
          </cell>
          <cell r="D142">
            <v>1.7808999999999999</v>
          </cell>
          <cell r="F142">
            <v>101.08108108108107</v>
          </cell>
          <cell r="G142">
            <v>95.106667005020412</v>
          </cell>
          <cell r="I142">
            <v>10.1175</v>
          </cell>
        </row>
        <row r="143">
          <cell r="A143">
            <v>40380</v>
          </cell>
          <cell r="B143">
            <v>8.82</v>
          </cell>
          <cell r="C143">
            <v>64476.84</v>
          </cell>
          <cell r="D143">
            <v>1.77495</v>
          </cell>
          <cell r="F143">
            <v>95.351351351351354</v>
          </cell>
          <cell r="G143">
            <v>95.12782395060664</v>
          </cell>
          <cell r="I143">
            <v>10.1525</v>
          </cell>
        </row>
        <row r="144">
          <cell r="A144">
            <v>40381</v>
          </cell>
          <cell r="B144">
            <v>9</v>
          </cell>
          <cell r="C144">
            <v>65748.100000000006</v>
          </cell>
          <cell r="D144">
            <v>1.7615000000000001</v>
          </cell>
          <cell r="F144">
            <v>97.297297297297305</v>
          </cell>
          <cell r="G144">
            <v>97.003415209040654</v>
          </cell>
          <cell r="I144">
            <v>10.16</v>
          </cell>
        </row>
        <row r="145">
          <cell r="A145">
            <v>40382</v>
          </cell>
          <cell r="B145">
            <v>9</v>
          </cell>
          <cell r="C145">
            <v>66322.990000000005</v>
          </cell>
          <cell r="D145">
            <v>1.7618</v>
          </cell>
          <cell r="F145">
            <v>97.297297297297305</v>
          </cell>
          <cell r="G145">
            <v>97.851596272364546</v>
          </cell>
          <cell r="I145">
            <v>10.17</v>
          </cell>
        </row>
        <row r="146">
          <cell r="A146">
            <v>40383</v>
          </cell>
          <cell r="B146">
            <v>9</v>
          </cell>
          <cell r="C146">
            <v>66322.990000000005</v>
          </cell>
          <cell r="D146">
            <v>1.7618</v>
          </cell>
          <cell r="F146">
            <v>97.297297297297305</v>
          </cell>
          <cell r="G146">
            <v>97.851596272364546</v>
          </cell>
          <cell r="I146">
            <v>10.17</v>
          </cell>
        </row>
        <row r="147">
          <cell r="A147">
            <v>40384</v>
          </cell>
          <cell r="B147">
            <v>9</v>
          </cell>
          <cell r="C147">
            <v>66322.990000000005</v>
          </cell>
          <cell r="D147">
            <v>1.7618</v>
          </cell>
          <cell r="F147">
            <v>97.297297297297305</v>
          </cell>
          <cell r="G147">
            <v>97.851596272364546</v>
          </cell>
          <cell r="I147">
            <v>10.17</v>
          </cell>
        </row>
        <row r="148">
          <cell r="A148">
            <v>40385</v>
          </cell>
          <cell r="B148">
            <v>9.4</v>
          </cell>
          <cell r="C148">
            <v>66443.259999999995</v>
          </cell>
          <cell r="D148">
            <v>1.7714000000000001</v>
          </cell>
          <cell r="F148">
            <v>101.62162162162163</v>
          </cell>
          <cell r="G148">
            <v>98.029040194655693</v>
          </cell>
          <cell r="I148">
            <v>9.9824999999999999</v>
          </cell>
        </row>
        <row r="149">
          <cell r="A149">
            <v>40386</v>
          </cell>
          <cell r="B149">
            <v>9.4</v>
          </cell>
          <cell r="C149">
            <v>66674.44</v>
          </cell>
          <cell r="D149">
            <v>1.76675</v>
          </cell>
          <cell r="F149">
            <v>101.62162162162163</v>
          </cell>
          <cell r="G149">
            <v>98.370118484796791</v>
          </cell>
          <cell r="I149">
            <v>9.98</v>
          </cell>
        </row>
        <row r="150">
          <cell r="A150">
            <v>40387</v>
          </cell>
          <cell r="B150">
            <v>9.3800000000000008</v>
          </cell>
          <cell r="C150">
            <v>66808.25</v>
          </cell>
          <cell r="D150">
            <v>1.7639</v>
          </cell>
          <cell r="F150">
            <v>101.40540540540542</v>
          </cell>
          <cell r="G150">
            <v>98.567539048875787</v>
          </cell>
          <cell r="I150">
            <v>10.105</v>
          </cell>
        </row>
        <row r="151">
          <cell r="A151">
            <v>40388</v>
          </cell>
          <cell r="B151">
            <v>9.25</v>
          </cell>
          <cell r="C151">
            <v>66953.83</v>
          </cell>
          <cell r="D151">
            <v>1.7637499999999999</v>
          </cell>
          <cell r="F151">
            <v>100</v>
          </cell>
          <cell r="G151">
            <v>98.782324832588657</v>
          </cell>
          <cell r="I151">
            <v>10.2675</v>
          </cell>
        </row>
        <row r="152">
          <cell r="A152">
            <v>40389</v>
          </cell>
          <cell r="B152">
            <v>9.24</v>
          </cell>
          <cell r="C152">
            <v>67515.399999999994</v>
          </cell>
          <cell r="D152">
            <v>1.75925</v>
          </cell>
          <cell r="F152">
            <v>99.891891891891888</v>
          </cell>
          <cell r="G152">
            <v>99.610853837669268</v>
          </cell>
          <cell r="I152">
            <v>10.525</v>
          </cell>
        </row>
        <row r="153">
          <cell r="A153">
            <v>40390</v>
          </cell>
          <cell r="B153">
            <v>9.24</v>
          </cell>
          <cell r="C153">
            <v>67515.399999999994</v>
          </cell>
          <cell r="D153">
            <v>1.75925</v>
          </cell>
          <cell r="F153">
            <v>99.891891891891888</v>
          </cell>
          <cell r="G153">
            <v>99.610853837669268</v>
          </cell>
          <cell r="I153">
            <v>10.525</v>
          </cell>
        </row>
        <row r="154">
          <cell r="A154">
            <v>40391</v>
          </cell>
          <cell r="B154">
            <v>9.24</v>
          </cell>
          <cell r="C154">
            <v>67515.399999999994</v>
          </cell>
          <cell r="D154">
            <v>1.75925</v>
          </cell>
          <cell r="F154">
            <v>99.891891891891888</v>
          </cell>
          <cell r="G154">
            <v>99.610853837669268</v>
          </cell>
          <cell r="I154">
            <v>10.525</v>
          </cell>
        </row>
        <row r="155">
          <cell r="A155">
            <v>40392</v>
          </cell>
          <cell r="B155">
            <v>9.24</v>
          </cell>
          <cell r="C155">
            <v>68517.460000000006</v>
          </cell>
          <cell r="D155">
            <v>1.7472000000000001</v>
          </cell>
          <cell r="F155">
            <v>99.891891891891888</v>
          </cell>
          <cell r="G155">
            <v>101.08927286794349</v>
          </cell>
          <cell r="I155">
            <v>10.532500000000001</v>
          </cell>
        </row>
        <row r="156">
          <cell r="A156">
            <v>40393</v>
          </cell>
          <cell r="B156">
            <v>9.24</v>
          </cell>
          <cell r="C156">
            <v>67997.36</v>
          </cell>
          <cell r="D156">
            <v>1.7615000000000001</v>
          </cell>
          <cell r="F156">
            <v>99.891891891891888</v>
          </cell>
          <cell r="G156">
            <v>100.32192786101216</v>
          </cell>
          <cell r="I156">
            <v>10.535</v>
          </cell>
        </row>
        <row r="157">
          <cell r="A157">
            <v>40394</v>
          </cell>
          <cell r="B157">
            <v>9.25</v>
          </cell>
          <cell r="C157">
            <v>68272</v>
          </cell>
          <cell r="D157">
            <v>1.75925</v>
          </cell>
          <cell r="F157">
            <v>100</v>
          </cell>
          <cell r="G157">
            <v>100.72712615500103</v>
          </cell>
          <cell r="I157">
            <v>10.53</v>
          </cell>
        </row>
        <row r="158">
          <cell r="A158">
            <v>40395</v>
          </cell>
          <cell r="B158">
            <v>9.35</v>
          </cell>
          <cell r="C158">
            <v>68411.72</v>
          </cell>
          <cell r="D158">
            <v>1.7563500000000001</v>
          </cell>
          <cell r="F158">
            <v>101.08108108108107</v>
          </cell>
          <cell r="G158">
            <v>100.93326621339067</v>
          </cell>
          <cell r="I158">
            <v>10.55</v>
          </cell>
        </row>
        <row r="159">
          <cell r="A159">
            <v>40396</v>
          </cell>
          <cell r="B159">
            <v>9.35</v>
          </cell>
          <cell r="C159">
            <v>68094.759999999995</v>
          </cell>
          <cell r="D159">
            <v>1.75875</v>
          </cell>
          <cell r="F159">
            <v>101.08108108108107</v>
          </cell>
          <cell r="G159">
            <v>100.46562984846668</v>
          </cell>
          <cell r="I159">
            <v>10.59</v>
          </cell>
        </row>
        <row r="160">
          <cell r="A160">
            <v>40397</v>
          </cell>
          <cell r="B160">
            <v>9.35</v>
          </cell>
          <cell r="C160">
            <v>68094.759999999995</v>
          </cell>
          <cell r="D160">
            <v>1.75875</v>
          </cell>
          <cell r="F160">
            <v>101.08108108108107</v>
          </cell>
          <cell r="G160">
            <v>100.46562984846668</v>
          </cell>
          <cell r="I160">
            <v>10.59</v>
          </cell>
        </row>
        <row r="161">
          <cell r="A161">
            <v>40398</v>
          </cell>
          <cell r="B161">
            <v>9.35</v>
          </cell>
          <cell r="C161">
            <v>68094.759999999995</v>
          </cell>
          <cell r="D161">
            <v>1.75875</v>
          </cell>
          <cell r="F161">
            <v>101.08108108108107</v>
          </cell>
          <cell r="G161">
            <v>100.46562984846668</v>
          </cell>
          <cell r="I161">
            <v>10.59</v>
          </cell>
        </row>
        <row r="162">
          <cell r="A162">
            <v>40399</v>
          </cell>
          <cell r="B162">
            <v>9.35</v>
          </cell>
          <cell r="C162">
            <v>67862.28</v>
          </cell>
          <cell r="D162">
            <v>1.7544999999999999</v>
          </cell>
          <cell r="F162">
            <v>101.08108108108107</v>
          </cell>
          <cell r="G162">
            <v>100.12263356465321</v>
          </cell>
          <cell r="I162">
            <v>10.484999999999999</v>
          </cell>
        </row>
        <row r="163">
          <cell r="A163">
            <v>40400</v>
          </cell>
          <cell r="B163">
            <v>9.4</v>
          </cell>
          <cell r="C163">
            <v>67223.23</v>
          </cell>
          <cell r="D163">
            <v>1.7614000000000001</v>
          </cell>
          <cell r="F163">
            <v>101.62162162162163</v>
          </cell>
          <cell r="G163">
            <v>99.179792136698055</v>
          </cell>
          <cell r="I163">
            <v>10.362500000000001</v>
          </cell>
        </row>
        <row r="164">
          <cell r="A164">
            <v>40401</v>
          </cell>
          <cell r="B164">
            <v>9.4</v>
          </cell>
          <cell r="C164">
            <v>65790.289999999994</v>
          </cell>
          <cell r="D164">
            <v>1.7721</v>
          </cell>
          <cell r="F164">
            <v>101.62162162162163</v>
          </cell>
          <cell r="G164">
            <v>97.065661480608483</v>
          </cell>
          <cell r="I164">
            <v>10.445</v>
          </cell>
        </row>
        <row r="165">
          <cell r="A165">
            <v>40402</v>
          </cell>
          <cell r="B165">
            <v>9.4</v>
          </cell>
          <cell r="C165">
            <v>65966.17</v>
          </cell>
          <cell r="D165">
            <v>1.76925</v>
          </cell>
          <cell r="F165">
            <v>101.62162162162163</v>
          </cell>
          <cell r="G165">
            <v>97.325151270685552</v>
          </cell>
          <cell r="I165">
            <v>10.57</v>
          </cell>
        </row>
        <row r="166">
          <cell r="A166">
            <v>40403</v>
          </cell>
          <cell r="B166">
            <v>9.6</v>
          </cell>
          <cell r="C166">
            <v>66264.429999999993</v>
          </cell>
          <cell r="D166">
            <v>1.7709999999999999</v>
          </cell>
          <cell r="F166">
            <v>103.78378378378379</v>
          </cell>
          <cell r="G166">
            <v>97.76519803432204</v>
          </cell>
          <cell r="I166">
            <v>10.52</v>
          </cell>
        </row>
        <row r="167">
          <cell r="A167">
            <v>40404</v>
          </cell>
          <cell r="B167">
            <v>9.6</v>
          </cell>
          <cell r="C167">
            <v>66264.429999999993</v>
          </cell>
          <cell r="D167">
            <v>1.7709999999999999</v>
          </cell>
          <cell r="F167">
            <v>103.78378378378379</v>
          </cell>
          <cell r="G167">
            <v>97.76519803432204</v>
          </cell>
          <cell r="I167">
            <v>10.52</v>
          </cell>
        </row>
        <row r="168">
          <cell r="A168">
            <v>40405</v>
          </cell>
          <cell r="B168">
            <v>9.6</v>
          </cell>
          <cell r="C168">
            <v>66264.429999999993</v>
          </cell>
          <cell r="D168">
            <v>1.7709999999999999</v>
          </cell>
          <cell r="F168">
            <v>103.78378378378379</v>
          </cell>
          <cell r="G168">
            <v>97.76519803432204</v>
          </cell>
          <cell r="I168">
            <v>10.52</v>
          </cell>
        </row>
        <row r="169">
          <cell r="A169">
            <v>40406</v>
          </cell>
          <cell r="B169">
            <v>9.5</v>
          </cell>
          <cell r="C169">
            <v>66701.89</v>
          </cell>
          <cell r="D169">
            <v>1.76315</v>
          </cell>
          <cell r="F169">
            <v>102.70270270270269</v>
          </cell>
          <cell r="G169">
            <v>98.410617658879218</v>
          </cell>
          <cell r="I169">
            <v>10.34</v>
          </cell>
        </row>
        <row r="170">
          <cell r="A170">
            <v>40407</v>
          </cell>
          <cell r="B170">
            <v>9.6</v>
          </cell>
          <cell r="C170">
            <v>67583.77</v>
          </cell>
          <cell r="D170">
            <v>1.75065</v>
          </cell>
          <cell r="F170">
            <v>103.78378378378379</v>
          </cell>
          <cell r="G170">
            <v>99.711725551039592</v>
          </cell>
          <cell r="I170">
            <v>10.452500000000001</v>
          </cell>
        </row>
        <row r="171">
          <cell r="A171">
            <v>40408</v>
          </cell>
          <cell r="B171">
            <v>9.6</v>
          </cell>
          <cell r="C171">
            <v>67638.38</v>
          </cell>
          <cell r="D171">
            <v>1.7533000000000001</v>
          </cell>
          <cell r="F171">
            <v>103.78378378378379</v>
          </cell>
          <cell r="G171">
            <v>99.792296039077499</v>
          </cell>
          <cell r="I171">
            <v>10.352499999999999</v>
          </cell>
        </row>
        <row r="172">
          <cell r="A172">
            <v>40409</v>
          </cell>
          <cell r="B172">
            <v>9.75</v>
          </cell>
          <cell r="C172">
            <v>66887.13</v>
          </cell>
          <cell r="D172">
            <v>1.76325</v>
          </cell>
          <cell r="F172">
            <v>105.40540540540539</v>
          </cell>
          <cell r="G172">
            <v>98.683917003397497</v>
          </cell>
          <cell r="I172">
            <v>10.1675</v>
          </cell>
        </row>
        <row r="173">
          <cell r="A173">
            <v>40410</v>
          </cell>
          <cell r="B173">
            <v>9.75</v>
          </cell>
          <cell r="C173">
            <v>66677.16</v>
          </cell>
          <cell r="D173">
            <v>1.764</v>
          </cell>
          <cell r="F173">
            <v>105.40540540540539</v>
          </cell>
          <cell r="G173">
            <v>98.374131517711334</v>
          </cell>
          <cell r="I173">
            <v>10.092499999999999</v>
          </cell>
        </row>
        <row r="174">
          <cell r="A174">
            <v>40411</v>
          </cell>
          <cell r="B174">
            <v>9.75</v>
          </cell>
          <cell r="C174">
            <v>66677.16</v>
          </cell>
          <cell r="D174">
            <v>1.764</v>
          </cell>
          <cell r="F174">
            <v>105.40540540540539</v>
          </cell>
          <cell r="G174">
            <v>98.374131517711334</v>
          </cell>
          <cell r="I174">
            <v>10.092499999999999</v>
          </cell>
        </row>
        <row r="175">
          <cell r="A175">
            <v>40412</v>
          </cell>
          <cell r="B175">
            <v>9.75</v>
          </cell>
          <cell r="C175">
            <v>66677.16</v>
          </cell>
          <cell r="D175">
            <v>1.764</v>
          </cell>
          <cell r="F175">
            <v>105.40540540540539</v>
          </cell>
          <cell r="G175">
            <v>98.374131517711334</v>
          </cell>
          <cell r="I175">
            <v>10.092499999999999</v>
          </cell>
        </row>
        <row r="176">
          <cell r="A176">
            <v>40413</v>
          </cell>
          <cell r="B176">
            <v>9.7200000000000006</v>
          </cell>
          <cell r="C176">
            <v>65981.86</v>
          </cell>
          <cell r="D176">
            <v>1.7623</v>
          </cell>
          <cell r="F176">
            <v>105.08108108108109</v>
          </cell>
          <cell r="G176">
            <v>97.348299978931578</v>
          </cell>
          <cell r="I176">
            <v>10.07</v>
          </cell>
        </row>
        <row r="177">
          <cell r="A177">
            <v>40414</v>
          </cell>
          <cell r="B177">
            <v>9.7200000000000006</v>
          </cell>
          <cell r="C177">
            <v>65156.36</v>
          </cell>
          <cell r="D177">
            <v>1.768</v>
          </cell>
          <cell r="F177">
            <v>105.08108108108109</v>
          </cell>
          <cell r="G177">
            <v>96.130373996963073</v>
          </cell>
          <cell r="I177">
            <v>9.9949999999999992</v>
          </cell>
        </row>
        <row r="178">
          <cell r="A178">
            <v>40415</v>
          </cell>
          <cell r="B178">
            <v>9.65</v>
          </cell>
          <cell r="C178">
            <v>64803.43</v>
          </cell>
          <cell r="D178">
            <v>1.7704</v>
          </cell>
          <cell r="F178">
            <v>104.32432432432432</v>
          </cell>
          <cell r="G178">
            <v>95.609668222503785</v>
          </cell>
          <cell r="I178">
            <v>10</v>
          </cell>
        </row>
        <row r="179">
          <cell r="A179">
            <v>40416</v>
          </cell>
          <cell r="B179">
            <v>9.6</v>
          </cell>
          <cell r="C179">
            <v>63867.48</v>
          </cell>
          <cell r="D179">
            <v>1.7578</v>
          </cell>
          <cell r="F179">
            <v>103.78378378378379</v>
          </cell>
          <cell r="G179">
            <v>94.228786547369424</v>
          </cell>
          <cell r="I179">
            <v>10.130000000000001</v>
          </cell>
        </row>
        <row r="180">
          <cell r="A180">
            <v>40417</v>
          </cell>
          <cell r="B180">
            <v>9.6999999999999993</v>
          </cell>
          <cell r="C180">
            <v>65585.14</v>
          </cell>
          <cell r="D180">
            <v>1.75265</v>
          </cell>
          <cell r="F180">
            <v>104.86486486486486</v>
          </cell>
          <cell r="G180">
            <v>96.762987325307662</v>
          </cell>
          <cell r="I180">
            <v>10.220000000000001</v>
          </cell>
        </row>
        <row r="181">
          <cell r="A181">
            <v>40418</v>
          </cell>
          <cell r="B181">
            <v>9.6999999999999993</v>
          </cell>
          <cell r="C181">
            <v>65585.14</v>
          </cell>
          <cell r="D181">
            <v>1.75265</v>
          </cell>
          <cell r="F181">
            <v>104.86486486486486</v>
          </cell>
          <cell r="G181">
            <v>96.762987325307662</v>
          </cell>
          <cell r="I181">
            <v>10.220000000000001</v>
          </cell>
        </row>
        <row r="182">
          <cell r="A182">
            <v>40419</v>
          </cell>
          <cell r="B182">
            <v>9.6999999999999993</v>
          </cell>
          <cell r="C182">
            <v>65585.14</v>
          </cell>
          <cell r="D182">
            <v>1.75265</v>
          </cell>
          <cell r="F182">
            <v>104.86486486486486</v>
          </cell>
          <cell r="G182">
            <v>96.762987325307662</v>
          </cell>
          <cell r="I182">
            <v>10.220000000000001</v>
          </cell>
        </row>
        <row r="183">
          <cell r="A183">
            <v>40420</v>
          </cell>
          <cell r="B183">
            <v>9.8000000000000007</v>
          </cell>
          <cell r="C183">
            <v>64260.79</v>
          </cell>
          <cell r="D183">
            <v>1.7556</v>
          </cell>
          <cell r="F183">
            <v>105.94594594594595</v>
          </cell>
          <cell r="G183">
            <v>94.809068156052675</v>
          </cell>
          <cell r="I183">
            <v>10.18</v>
          </cell>
        </row>
        <row r="184">
          <cell r="A184">
            <v>40421</v>
          </cell>
          <cell r="B184">
            <v>9.8000000000000007</v>
          </cell>
          <cell r="C184">
            <v>65145.45</v>
          </cell>
          <cell r="D184">
            <v>1.7539499999999999</v>
          </cell>
          <cell r="F184">
            <v>105.94594594594595</v>
          </cell>
          <cell r="G184">
            <v>96.114277603912456</v>
          </cell>
          <cell r="I184">
            <v>10.08</v>
          </cell>
        </row>
        <row r="185">
          <cell r="A185">
            <v>40422</v>
          </cell>
          <cell r="B185">
            <v>9.8000000000000007</v>
          </cell>
          <cell r="C185">
            <v>67072.53</v>
          </cell>
          <cell r="D185">
            <v>1.7400500000000001</v>
          </cell>
          <cell r="F185">
            <v>105.94594594594595</v>
          </cell>
          <cell r="G185">
            <v>98.957452408675465</v>
          </cell>
          <cell r="I185">
            <v>10.045</v>
          </cell>
        </row>
        <row r="186">
          <cell r="A186">
            <v>40423</v>
          </cell>
          <cell r="B186">
            <v>9.5</v>
          </cell>
          <cell r="C186">
            <v>66808.08</v>
          </cell>
          <cell r="D186">
            <v>1.7364999999999999</v>
          </cell>
          <cell r="F186">
            <v>102.70270270270269</v>
          </cell>
          <cell r="G186">
            <v>98.567288234318625</v>
          </cell>
          <cell r="I186">
            <v>10.074999999999999</v>
          </cell>
        </row>
        <row r="187">
          <cell r="A187">
            <v>40424</v>
          </cell>
          <cell r="B187">
            <v>9.5</v>
          </cell>
          <cell r="C187">
            <v>66678.62</v>
          </cell>
          <cell r="D187">
            <v>1.72525</v>
          </cell>
          <cell r="F187">
            <v>102.70270270270269</v>
          </cell>
          <cell r="G187">
            <v>98.376285572143402</v>
          </cell>
          <cell r="I187">
            <v>10.297499999999999</v>
          </cell>
        </row>
        <row r="188">
          <cell r="A188">
            <v>40425</v>
          </cell>
          <cell r="B188">
            <v>9.5</v>
          </cell>
          <cell r="C188">
            <v>66678.62</v>
          </cell>
          <cell r="D188">
            <v>1.72525</v>
          </cell>
          <cell r="F188">
            <v>102.70270270270269</v>
          </cell>
          <cell r="G188">
            <v>98.376285572143402</v>
          </cell>
          <cell r="I188">
            <v>10.297499999999999</v>
          </cell>
        </row>
        <row r="189">
          <cell r="A189">
            <v>40426</v>
          </cell>
          <cell r="B189">
            <v>9.5</v>
          </cell>
          <cell r="C189">
            <v>66678.62</v>
          </cell>
          <cell r="D189">
            <v>1.72525</v>
          </cell>
          <cell r="F189">
            <v>102.70270270270269</v>
          </cell>
          <cell r="G189">
            <v>98.376285572143402</v>
          </cell>
          <cell r="I189">
            <v>10.297499999999999</v>
          </cell>
        </row>
        <row r="190">
          <cell r="A190">
            <v>40427</v>
          </cell>
          <cell r="B190">
            <v>9.5</v>
          </cell>
          <cell r="C190">
            <v>66678.62</v>
          </cell>
          <cell r="D190">
            <v>1.72525</v>
          </cell>
          <cell r="F190">
            <v>102.70270270270269</v>
          </cell>
          <cell r="G190">
            <v>98.376285572143402</v>
          </cell>
          <cell r="I190">
            <v>10.297499999999999</v>
          </cell>
        </row>
        <row r="191">
          <cell r="A191">
            <v>40428</v>
          </cell>
          <cell r="B191">
            <v>9.5</v>
          </cell>
          <cell r="C191">
            <v>66747.3</v>
          </cell>
          <cell r="D191">
            <v>1.72695</v>
          </cell>
          <cell r="F191">
            <v>102.70270270270269</v>
          </cell>
          <cell r="G191">
            <v>98.477614653235591</v>
          </cell>
          <cell r="I191">
            <v>10.4375</v>
          </cell>
        </row>
        <row r="192">
          <cell r="A192">
            <v>40429</v>
          </cell>
          <cell r="B192">
            <v>9.8000000000000007</v>
          </cell>
          <cell r="C192">
            <v>66407.28</v>
          </cell>
          <cell r="D192">
            <v>1.7230000000000001</v>
          </cell>
          <cell r="F192">
            <v>105.94594594594595</v>
          </cell>
          <cell r="G192">
            <v>97.975956031322895</v>
          </cell>
          <cell r="I192">
            <v>10.4125</v>
          </cell>
        </row>
        <row r="193">
          <cell r="A193">
            <v>40430</v>
          </cell>
          <cell r="B193">
            <v>9.4</v>
          </cell>
          <cell r="C193">
            <v>66624.100000000006</v>
          </cell>
          <cell r="D193">
            <v>1.722</v>
          </cell>
          <cell r="F193">
            <v>101.62162162162163</v>
          </cell>
          <cell r="G193">
            <v>98.29584786828282</v>
          </cell>
          <cell r="I193">
            <v>10.3775</v>
          </cell>
        </row>
        <row r="194">
          <cell r="A194">
            <v>40431</v>
          </cell>
          <cell r="B194">
            <v>9.74</v>
          </cell>
          <cell r="C194">
            <v>66806.789999999994</v>
          </cell>
          <cell r="D194">
            <v>1.7174</v>
          </cell>
          <cell r="F194">
            <v>105.29729729729731</v>
          </cell>
          <cell r="G194">
            <v>98.565384994443704</v>
          </cell>
          <cell r="I194">
            <v>10.234999999999999</v>
          </cell>
        </row>
        <row r="195">
          <cell r="A195">
            <v>40432</v>
          </cell>
          <cell r="B195">
            <v>9.74</v>
          </cell>
          <cell r="C195">
            <v>66806.789999999994</v>
          </cell>
          <cell r="D195">
            <v>1.7174</v>
          </cell>
          <cell r="F195">
            <v>105.29729729729731</v>
          </cell>
          <cell r="G195">
            <v>98.565384994443704</v>
          </cell>
          <cell r="I195">
            <v>10.234999999999999</v>
          </cell>
        </row>
        <row r="196">
          <cell r="A196">
            <v>40433</v>
          </cell>
          <cell r="B196">
            <v>9.74</v>
          </cell>
          <cell r="C196">
            <v>66806.789999999994</v>
          </cell>
          <cell r="D196">
            <v>1.7174</v>
          </cell>
          <cell r="F196">
            <v>105.29729729729731</v>
          </cell>
          <cell r="G196">
            <v>98.565384994443704</v>
          </cell>
          <cell r="I196">
            <v>10.234999999999999</v>
          </cell>
        </row>
        <row r="197">
          <cell r="A197">
            <v>40434</v>
          </cell>
          <cell r="B197">
            <v>9.65</v>
          </cell>
          <cell r="C197">
            <v>68030.58</v>
          </cell>
          <cell r="D197">
            <v>1.7152000000000001</v>
          </cell>
          <cell r="F197">
            <v>104.32432432432432</v>
          </cell>
          <cell r="G197">
            <v>100.37093997624049</v>
          </cell>
          <cell r="I197">
            <v>10.2525</v>
          </cell>
        </row>
        <row r="198">
          <cell r="A198">
            <v>40435</v>
          </cell>
          <cell r="B198">
            <v>9.3000000000000007</v>
          </cell>
          <cell r="C198">
            <v>67691.850000000006</v>
          </cell>
          <cell r="D198">
            <v>1.70675</v>
          </cell>
          <cell r="F198">
            <v>100.54054054054056</v>
          </cell>
          <cell r="G198">
            <v>99.871184594202703</v>
          </cell>
          <cell r="I198">
            <v>10.25</v>
          </cell>
        </row>
        <row r="199">
          <cell r="A199">
            <v>40436</v>
          </cell>
          <cell r="B199">
            <v>9.3000000000000007</v>
          </cell>
          <cell r="C199">
            <v>68106.850000000006</v>
          </cell>
          <cell r="D199">
            <v>1.7116</v>
          </cell>
          <cell r="F199">
            <v>100.54054054054056</v>
          </cell>
          <cell r="G199">
            <v>100.48346718961993</v>
          </cell>
          <cell r="I199">
            <v>10.425000000000001</v>
          </cell>
        </row>
        <row r="200">
          <cell r="A200">
            <v>40437</v>
          </cell>
          <cell r="B200">
            <v>9.74</v>
          </cell>
          <cell r="C200">
            <v>67662.990000000005</v>
          </cell>
          <cell r="D200">
            <v>1.71715</v>
          </cell>
          <cell r="F200">
            <v>105.29729729729731</v>
          </cell>
          <cell r="G200">
            <v>99.828605134675612</v>
          </cell>
          <cell r="I200">
            <v>10.362500000000001</v>
          </cell>
        </row>
        <row r="201">
          <cell r="A201">
            <v>40438</v>
          </cell>
          <cell r="B201">
            <v>9.49</v>
          </cell>
          <cell r="C201">
            <v>67089.119999999995</v>
          </cell>
          <cell r="D201">
            <v>1.7159</v>
          </cell>
          <cell r="F201">
            <v>102.5945945945946</v>
          </cell>
          <cell r="G201">
            <v>98.981928958694667</v>
          </cell>
          <cell r="I201">
            <v>10.69</v>
          </cell>
        </row>
        <row r="202">
          <cell r="A202">
            <v>40439</v>
          </cell>
          <cell r="B202">
            <v>9.49</v>
          </cell>
          <cell r="C202">
            <v>67089.119999999995</v>
          </cell>
          <cell r="D202">
            <v>1.7159</v>
          </cell>
          <cell r="F202">
            <v>102.5945945945946</v>
          </cell>
          <cell r="G202">
            <v>98.981928958694667</v>
          </cell>
          <cell r="I202">
            <v>10.69</v>
          </cell>
        </row>
        <row r="203">
          <cell r="A203">
            <v>40440</v>
          </cell>
          <cell r="B203">
            <v>9.49</v>
          </cell>
          <cell r="C203">
            <v>67089.119999999995</v>
          </cell>
          <cell r="D203">
            <v>1.7159</v>
          </cell>
          <cell r="F203">
            <v>102.5945945945946</v>
          </cell>
          <cell r="G203">
            <v>98.981928958694667</v>
          </cell>
          <cell r="I203">
            <v>10.69</v>
          </cell>
        </row>
        <row r="204">
          <cell r="A204">
            <v>40441</v>
          </cell>
          <cell r="B204">
            <v>9.5</v>
          </cell>
          <cell r="C204">
            <v>68190.460000000006</v>
          </cell>
          <cell r="D204">
            <v>1.7173</v>
          </cell>
          <cell r="F204">
            <v>102.70270270270269</v>
          </cell>
          <cell r="G204">
            <v>100.60682369034966</v>
          </cell>
          <cell r="I204">
            <v>10.845000000000001</v>
          </cell>
        </row>
        <row r="205">
          <cell r="A205">
            <v>40442</v>
          </cell>
          <cell r="B205">
            <v>9.5</v>
          </cell>
          <cell r="C205">
            <v>67719.13</v>
          </cell>
          <cell r="D205">
            <v>1.7299</v>
          </cell>
          <cell r="F205">
            <v>102.70270270270269</v>
          </cell>
          <cell r="G205">
            <v>99.911432953727967</v>
          </cell>
          <cell r="I205">
            <v>10.8</v>
          </cell>
        </row>
        <row r="206">
          <cell r="A206">
            <v>40443</v>
          </cell>
          <cell r="B206">
            <v>9.5</v>
          </cell>
          <cell r="C206">
            <v>68325.179999999993</v>
          </cell>
          <cell r="D206">
            <v>1.7190000000000001</v>
          </cell>
          <cell r="F206">
            <v>102.70270270270269</v>
          </cell>
          <cell r="G206">
            <v>100.8055868499993</v>
          </cell>
          <cell r="I206">
            <v>10.885</v>
          </cell>
        </row>
        <row r="207">
          <cell r="A207">
            <v>40444</v>
          </cell>
          <cell r="B207">
            <v>9.6</v>
          </cell>
          <cell r="C207">
            <v>68794.320000000007</v>
          </cell>
          <cell r="D207">
            <v>1.7211000000000001</v>
          </cell>
          <cell r="F207">
            <v>103.78378378378379</v>
          </cell>
          <cell r="G207">
            <v>101.49774650497292</v>
          </cell>
          <cell r="I207">
            <v>10.935</v>
          </cell>
        </row>
        <row r="208">
          <cell r="A208">
            <v>40445</v>
          </cell>
          <cell r="B208">
            <v>9.77</v>
          </cell>
          <cell r="C208">
            <v>68196.479999999996</v>
          </cell>
          <cell r="D208">
            <v>1.7124999999999999</v>
          </cell>
          <cell r="F208">
            <v>105.62162162162161</v>
          </cell>
          <cell r="G208">
            <v>100.61570547643257</v>
          </cell>
          <cell r="I208">
            <v>11.26</v>
          </cell>
        </row>
        <row r="209">
          <cell r="A209">
            <v>40446</v>
          </cell>
          <cell r="B209">
            <v>9.77</v>
          </cell>
          <cell r="C209">
            <v>68196.479999999996</v>
          </cell>
          <cell r="D209">
            <v>1.7124999999999999</v>
          </cell>
          <cell r="F209">
            <v>105.62162162162161</v>
          </cell>
          <cell r="G209">
            <v>100.61570547643257</v>
          </cell>
          <cell r="I209">
            <v>11.26</v>
          </cell>
        </row>
        <row r="210">
          <cell r="A210">
            <v>40447</v>
          </cell>
          <cell r="B210">
            <v>9.77</v>
          </cell>
          <cell r="C210">
            <v>68196.479999999996</v>
          </cell>
          <cell r="D210">
            <v>1.7124999999999999</v>
          </cell>
          <cell r="F210">
            <v>105.62162162162161</v>
          </cell>
          <cell r="G210">
            <v>100.61570547643257</v>
          </cell>
          <cell r="I210">
            <v>11.26</v>
          </cell>
        </row>
        <row r="211">
          <cell r="A211">
            <v>40448</v>
          </cell>
          <cell r="B211">
            <v>9.77</v>
          </cell>
          <cell r="C211">
            <v>68815.97</v>
          </cell>
          <cell r="D211">
            <v>1.7117500000000001</v>
          </cell>
          <cell r="F211">
            <v>105.62162162162161</v>
          </cell>
          <cell r="G211">
            <v>101.52968847651698</v>
          </cell>
          <cell r="I211">
            <v>11.285</v>
          </cell>
        </row>
        <row r="212">
          <cell r="A212">
            <v>40449</v>
          </cell>
          <cell r="B212">
            <v>9.8000000000000007</v>
          </cell>
          <cell r="C212">
            <v>69227.63</v>
          </cell>
          <cell r="D212">
            <v>1.7088000000000001</v>
          </cell>
          <cell r="F212">
            <v>105.94594594594595</v>
          </cell>
          <cell r="G212">
            <v>102.13704330357591</v>
          </cell>
          <cell r="I212">
            <v>11.1</v>
          </cell>
        </row>
        <row r="213">
          <cell r="A213">
            <v>40450</v>
          </cell>
          <cell r="B213">
            <v>9.8000000000000007</v>
          </cell>
          <cell r="C213">
            <v>69228.240000000005</v>
          </cell>
          <cell r="D213">
            <v>1.7072499999999999</v>
          </cell>
          <cell r="F213">
            <v>105.94594594594595</v>
          </cell>
          <cell r="G213">
            <v>102.13794328522219</v>
          </cell>
          <cell r="I213">
            <v>10.99</v>
          </cell>
        </row>
        <row r="214">
          <cell r="A214">
            <v>40451</v>
          </cell>
          <cell r="B214">
            <v>9.85</v>
          </cell>
          <cell r="C214">
            <v>69429.78</v>
          </cell>
          <cell r="D214">
            <v>1.6941999999999999</v>
          </cell>
          <cell r="F214">
            <v>106.48648648648648</v>
          </cell>
          <cell r="G214">
            <v>102.43529131963275</v>
          </cell>
          <cell r="I214">
            <v>11.067500000000001</v>
          </cell>
        </row>
        <row r="215">
          <cell r="A215">
            <v>40452</v>
          </cell>
          <cell r="B215">
            <v>9.85</v>
          </cell>
          <cell r="C215">
            <v>70229.350000000006</v>
          </cell>
          <cell r="D215">
            <v>1.6854</v>
          </cell>
          <cell r="F215">
            <v>106.48648648648648</v>
          </cell>
          <cell r="G215">
            <v>103.61496070473579</v>
          </cell>
          <cell r="I215">
            <v>10.57</v>
          </cell>
        </row>
        <row r="216">
          <cell r="A216">
            <v>40453</v>
          </cell>
          <cell r="B216">
            <v>9.85</v>
          </cell>
          <cell r="C216">
            <v>70229.350000000006</v>
          </cell>
          <cell r="D216">
            <v>1.6854</v>
          </cell>
          <cell r="F216">
            <v>106.48648648648648</v>
          </cell>
          <cell r="G216">
            <v>103.61496070473579</v>
          </cell>
          <cell r="I216">
            <v>10.57</v>
          </cell>
        </row>
        <row r="217">
          <cell r="A217">
            <v>40454</v>
          </cell>
          <cell r="B217">
            <v>9.85</v>
          </cell>
          <cell r="C217">
            <v>70229.350000000006</v>
          </cell>
          <cell r="D217">
            <v>1.6854</v>
          </cell>
          <cell r="F217">
            <v>106.48648648648648</v>
          </cell>
          <cell r="G217">
            <v>103.61496070473579</v>
          </cell>
          <cell r="I217">
            <v>10.57</v>
          </cell>
        </row>
        <row r="218">
          <cell r="A218">
            <v>40455</v>
          </cell>
          <cell r="B218">
            <v>9.85</v>
          </cell>
          <cell r="C218">
            <v>70384.92</v>
          </cell>
          <cell r="D218">
            <v>1.6857</v>
          </cell>
          <cell r="F218">
            <v>106.48648648648648</v>
          </cell>
          <cell r="G218">
            <v>103.8444855321311</v>
          </cell>
          <cell r="I218">
            <v>10.54</v>
          </cell>
        </row>
        <row r="219">
          <cell r="A219">
            <v>40456</v>
          </cell>
          <cell r="B219">
            <v>9.85</v>
          </cell>
          <cell r="C219">
            <v>71283.11</v>
          </cell>
          <cell r="D219">
            <v>1.6820999999999999</v>
          </cell>
          <cell r="F219">
            <v>106.48648648648648</v>
          </cell>
          <cell r="G219">
            <v>105.16965686798126</v>
          </cell>
          <cell r="I219">
            <v>10.717499999999999</v>
          </cell>
        </row>
        <row r="220">
          <cell r="A220">
            <v>40457</v>
          </cell>
          <cell r="B220">
            <v>9.8000000000000007</v>
          </cell>
          <cell r="C220">
            <v>70541.37</v>
          </cell>
          <cell r="D220">
            <v>1.6806000000000001</v>
          </cell>
          <cell r="F220">
            <v>105.94594594594595</v>
          </cell>
          <cell r="G220">
            <v>104.07530869370467</v>
          </cell>
          <cell r="I220">
            <v>10.62</v>
          </cell>
        </row>
        <row r="221">
          <cell r="A221">
            <v>40458</v>
          </cell>
          <cell r="B221">
            <v>9.8000000000000007</v>
          </cell>
          <cell r="C221">
            <v>69918.399999999994</v>
          </cell>
          <cell r="D221">
            <v>1.6775500000000001</v>
          </cell>
          <cell r="F221">
            <v>105.94594594594595</v>
          </cell>
          <cell r="G221">
            <v>103.15619137209725</v>
          </cell>
          <cell r="I221">
            <v>10.65</v>
          </cell>
        </row>
        <row r="222">
          <cell r="A222">
            <v>40459</v>
          </cell>
          <cell r="B222">
            <v>10</v>
          </cell>
          <cell r="C222">
            <v>70808.800000000003</v>
          </cell>
          <cell r="D222">
            <v>1.6810499999999999</v>
          </cell>
          <cell r="F222">
            <v>108.10810810810811</v>
          </cell>
          <cell r="G222">
            <v>104.46986949971053</v>
          </cell>
          <cell r="I222">
            <v>11.35</v>
          </cell>
        </row>
        <row r="223">
          <cell r="A223">
            <v>40460</v>
          </cell>
          <cell r="B223">
            <v>10</v>
          </cell>
          <cell r="C223">
            <v>70808.800000000003</v>
          </cell>
          <cell r="D223">
            <v>1.6810499999999999</v>
          </cell>
          <cell r="F223">
            <v>108.10810810810811</v>
          </cell>
          <cell r="G223">
            <v>104.46986949971053</v>
          </cell>
          <cell r="I223">
            <v>11.35</v>
          </cell>
        </row>
        <row r="224">
          <cell r="A224">
            <v>40461</v>
          </cell>
          <cell r="B224">
            <v>10</v>
          </cell>
          <cell r="C224">
            <v>70808.800000000003</v>
          </cell>
          <cell r="D224">
            <v>1.6810499999999999</v>
          </cell>
          <cell r="F224">
            <v>108.10810810810811</v>
          </cell>
          <cell r="G224">
            <v>104.46986949971053</v>
          </cell>
          <cell r="I224">
            <v>11.35</v>
          </cell>
        </row>
        <row r="225">
          <cell r="A225">
            <v>40462</v>
          </cell>
          <cell r="B225">
            <v>10.050000000000001</v>
          </cell>
          <cell r="C225">
            <v>70946.490000000005</v>
          </cell>
          <cell r="D225">
            <v>1.6640999999999999</v>
          </cell>
          <cell r="F225">
            <v>108.64864864864865</v>
          </cell>
          <cell r="G225">
            <v>104.67301453721174</v>
          </cell>
          <cell r="I225">
            <v>11.525</v>
          </cell>
        </row>
        <row r="226">
          <cell r="A226">
            <v>40463</v>
          </cell>
          <cell r="B226">
            <v>10.050000000000001</v>
          </cell>
          <cell r="C226">
            <v>70946.490000000005</v>
          </cell>
          <cell r="D226">
            <v>1.66995</v>
          </cell>
          <cell r="F226">
            <v>108.64864864864865</v>
          </cell>
          <cell r="G226">
            <v>104.67301453721174</v>
          </cell>
          <cell r="I226">
            <v>11.785</v>
          </cell>
        </row>
        <row r="227">
          <cell r="A227">
            <v>40464</v>
          </cell>
          <cell r="B227">
            <v>10.06</v>
          </cell>
          <cell r="C227">
            <v>71674.899999999994</v>
          </cell>
          <cell r="D227">
            <v>1.6567000000000001</v>
          </cell>
          <cell r="F227">
            <v>108.75675675675676</v>
          </cell>
          <cell r="G227">
            <v>105.74769589944755</v>
          </cell>
          <cell r="I227">
            <v>11.765000000000001</v>
          </cell>
        </row>
        <row r="228">
          <cell r="A228">
            <v>40465</v>
          </cell>
          <cell r="B228">
            <v>10.06</v>
          </cell>
          <cell r="C228">
            <v>71692.289999999994</v>
          </cell>
          <cell r="D228">
            <v>1.65615</v>
          </cell>
          <cell r="F228">
            <v>108.75675675675676</v>
          </cell>
          <cell r="G228">
            <v>105.77335275326514</v>
          </cell>
          <cell r="I228">
            <v>11.885</v>
          </cell>
        </row>
        <row r="229">
          <cell r="A229">
            <v>40466</v>
          </cell>
          <cell r="B229">
            <v>10.28</v>
          </cell>
          <cell r="C229">
            <v>71830.179999999993</v>
          </cell>
          <cell r="D229">
            <v>1.66235</v>
          </cell>
          <cell r="F229">
            <v>111.13513513513513</v>
          </cell>
          <cell r="G229">
            <v>105.97679286671595</v>
          </cell>
          <cell r="I229">
            <v>11.85</v>
          </cell>
        </row>
        <row r="230">
          <cell r="A230">
            <v>40467</v>
          </cell>
          <cell r="B230">
            <v>10.28</v>
          </cell>
          <cell r="C230">
            <v>71830.179999999993</v>
          </cell>
          <cell r="D230">
            <v>1.66235</v>
          </cell>
          <cell r="F230">
            <v>111.13513513513513</v>
          </cell>
          <cell r="G230">
            <v>105.97679286671595</v>
          </cell>
          <cell r="I230">
            <v>11.85</v>
          </cell>
        </row>
        <row r="231">
          <cell r="A231">
            <v>40468</v>
          </cell>
          <cell r="B231">
            <v>10.28</v>
          </cell>
          <cell r="C231">
            <v>71830.179999999993</v>
          </cell>
          <cell r="D231">
            <v>1.66235</v>
          </cell>
          <cell r="F231">
            <v>111.13513513513513</v>
          </cell>
          <cell r="G231">
            <v>105.97679286671595</v>
          </cell>
          <cell r="I231">
            <v>11.85</v>
          </cell>
        </row>
        <row r="232">
          <cell r="A232">
            <v>40469</v>
          </cell>
          <cell r="B232">
            <v>10.19</v>
          </cell>
          <cell r="C232">
            <v>71735.53</v>
          </cell>
          <cell r="D232">
            <v>1.6594500000000001</v>
          </cell>
          <cell r="F232">
            <v>110.16216216216215</v>
          </cell>
          <cell r="G232">
            <v>105.83714817356839</v>
          </cell>
          <cell r="I232">
            <v>11.84</v>
          </cell>
        </row>
        <row r="233">
          <cell r="A233">
            <v>40470</v>
          </cell>
          <cell r="B233">
            <v>10.5</v>
          </cell>
          <cell r="C233">
            <v>69863.58</v>
          </cell>
          <cell r="D233">
            <v>1.6898500000000001</v>
          </cell>
          <cell r="F233">
            <v>113.51351351351352</v>
          </cell>
          <cell r="G233">
            <v>103.07531105431227</v>
          </cell>
          <cell r="I233">
            <v>11.8</v>
          </cell>
        </row>
        <row r="234">
          <cell r="A234">
            <v>40471</v>
          </cell>
          <cell r="B234">
            <v>10.199999999999999</v>
          </cell>
          <cell r="C234">
            <v>70404.679999999993</v>
          </cell>
          <cell r="D234">
            <v>1.6756500000000001</v>
          </cell>
          <cell r="F234">
            <v>110.27027027027026</v>
          </cell>
          <cell r="G234">
            <v>103.87363903595144</v>
          </cell>
          <cell r="I234">
            <v>12.12</v>
          </cell>
        </row>
        <row r="235">
          <cell r="A235">
            <v>40472</v>
          </cell>
          <cell r="B235">
            <v>10.3</v>
          </cell>
          <cell r="C235">
            <v>69652.100000000006</v>
          </cell>
          <cell r="D235">
            <v>1.69085</v>
          </cell>
          <cell r="F235">
            <v>111.35135135135137</v>
          </cell>
          <cell r="G235">
            <v>102.76329774520664</v>
          </cell>
          <cell r="I235">
            <v>12.015000000000001</v>
          </cell>
        </row>
        <row r="236">
          <cell r="A236">
            <v>40473</v>
          </cell>
          <cell r="B236">
            <v>10.5</v>
          </cell>
          <cell r="C236">
            <v>69529.73</v>
          </cell>
          <cell r="D236">
            <v>1.69495</v>
          </cell>
          <cell r="F236">
            <v>113.51351351351352</v>
          </cell>
          <cell r="G236">
            <v>102.5827555254447</v>
          </cell>
          <cell r="I236">
            <v>11.994999999999999</v>
          </cell>
        </row>
        <row r="237">
          <cell r="A237">
            <v>40474</v>
          </cell>
          <cell r="B237">
            <v>10.5</v>
          </cell>
          <cell r="C237">
            <v>69529.73</v>
          </cell>
          <cell r="D237">
            <v>1.69495</v>
          </cell>
          <cell r="F237">
            <v>113.51351351351352</v>
          </cell>
          <cell r="G237">
            <v>102.5827555254447</v>
          </cell>
          <cell r="I237">
            <v>11.994999999999999</v>
          </cell>
        </row>
        <row r="238">
          <cell r="A238">
            <v>40475</v>
          </cell>
          <cell r="B238">
            <v>10.5</v>
          </cell>
          <cell r="C238">
            <v>69529.73</v>
          </cell>
          <cell r="D238">
            <v>1.69495</v>
          </cell>
          <cell r="F238">
            <v>113.51351351351352</v>
          </cell>
          <cell r="G238">
            <v>102.5827555254447</v>
          </cell>
          <cell r="I238">
            <v>11.994999999999999</v>
          </cell>
        </row>
        <row r="239">
          <cell r="A239">
            <v>40476</v>
          </cell>
          <cell r="B239">
            <v>10.7</v>
          </cell>
          <cell r="C239">
            <v>69580.28</v>
          </cell>
          <cell r="D239">
            <v>1.7056500000000001</v>
          </cell>
          <cell r="F239">
            <v>115.67567567567568</v>
          </cell>
          <cell r="G239">
            <v>102.65733597170575</v>
          </cell>
          <cell r="I239">
            <v>12.1775</v>
          </cell>
        </row>
        <row r="240">
          <cell r="A240">
            <v>40477</v>
          </cell>
          <cell r="B240">
            <v>10.7</v>
          </cell>
          <cell r="C240">
            <v>70740.39</v>
          </cell>
          <cell r="D240">
            <v>1.70705</v>
          </cell>
          <cell r="F240">
            <v>115.67567567567568</v>
          </cell>
          <cell r="G240">
            <v>104.3689387711503</v>
          </cell>
          <cell r="I240">
            <v>12.19</v>
          </cell>
        </row>
        <row r="241">
          <cell r="A241">
            <v>40478</v>
          </cell>
          <cell r="B241">
            <v>10.75</v>
          </cell>
          <cell r="C241">
            <v>70568.94</v>
          </cell>
          <cell r="D241">
            <v>1.7161500000000001</v>
          </cell>
          <cell r="F241">
            <v>116.21621621621621</v>
          </cell>
          <cell r="G241">
            <v>104.11598491335685</v>
          </cell>
          <cell r="I241">
            <v>12.237500000000001</v>
          </cell>
        </row>
        <row r="242">
          <cell r="A242">
            <v>40479</v>
          </cell>
          <cell r="B242">
            <v>10.5</v>
          </cell>
          <cell r="C242">
            <v>70320.13</v>
          </cell>
          <cell r="D242">
            <v>1.7134</v>
          </cell>
          <cell r="F242">
            <v>113.51351351351352</v>
          </cell>
          <cell r="G242">
            <v>103.74889567825862</v>
          </cell>
          <cell r="I242">
            <v>12.25</v>
          </cell>
        </row>
        <row r="243">
          <cell r="A243">
            <v>40480</v>
          </cell>
          <cell r="B243">
            <v>10.01</v>
          </cell>
          <cell r="C243">
            <v>70673.3</v>
          </cell>
          <cell r="D243">
            <v>1.69665</v>
          </cell>
          <cell r="F243">
            <v>108.21621621621622</v>
          </cell>
          <cell r="G243">
            <v>104.26995554385744</v>
          </cell>
          <cell r="I243">
            <v>12.26</v>
          </cell>
        </row>
        <row r="244">
          <cell r="A244">
            <v>40481</v>
          </cell>
          <cell r="B244">
            <v>10.01</v>
          </cell>
          <cell r="C244">
            <v>70673.3</v>
          </cell>
          <cell r="D244">
            <v>1.69665</v>
          </cell>
          <cell r="F244">
            <v>108.21621621621622</v>
          </cell>
          <cell r="G244">
            <v>104.26995554385744</v>
          </cell>
          <cell r="I244">
            <v>12.26</v>
          </cell>
        </row>
        <row r="245">
          <cell r="A245">
            <v>40482</v>
          </cell>
          <cell r="B245">
            <v>10.01</v>
          </cell>
          <cell r="C245">
            <v>70673.3</v>
          </cell>
          <cell r="D245">
            <v>1.69665</v>
          </cell>
          <cell r="F245">
            <v>108.21621621621622</v>
          </cell>
          <cell r="G245">
            <v>104.26995554385744</v>
          </cell>
          <cell r="I245">
            <v>12.26</v>
          </cell>
        </row>
        <row r="246">
          <cell r="A246">
            <v>40483</v>
          </cell>
          <cell r="B246">
            <v>10.01</v>
          </cell>
          <cell r="C246">
            <v>71560.929999999993</v>
          </cell>
          <cell r="D246">
            <v>1.7047000000000001</v>
          </cell>
          <cell r="F246">
            <v>108.21621621621622</v>
          </cell>
          <cell r="G246">
            <v>105.57954686956874</v>
          </cell>
          <cell r="I246">
            <v>12.2525</v>
          </cell>
        </row>
        <row r="247">
          <cell r="A247">
            <v>40484</v>
          </cell>
          <cell r="B247">
            <v>10.01</v>
          </cell>
          <cell r="C247">
            <v>71560.929999999993</v>
          </cell>
          <cell r="D247">
            <v>1.7038</v>
          </cell>
          <cell r="F247">
            <v>108.21621621621622</v>
          </cell>
          <cell r="G247">
            <v>105.57954686956874</v>
          </cell>
          <cell r="I247">
            <v>12.237500000000001</v>
          </cell>
        </row>
        <row r="248">
          <cell r="A248">
            <v>40485</v>
          </cell>
          <cell r="B248">
            <v>10.35</v>
          </cell>
          <cell r="C248">
            <v>71904.77</v>
          </cell>
          <cell r="D248">
            <v>1.6991499999999999</v>
          </cell>
          <cell r="F248">
            <v>111.89189189189189</v>
          </cell>
          <cell r="G248">
            <v>106.0868414421188</v>
          </cell>
          <cell r="I248">
            <v>12.275</v>
          </cell>
        </row>
      </sheetData>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summary"/>
      <sheetName val="COVER SHEET"/>
      <sheetName val="__FDSCACHE__"/>
      <sheetName val="IS-ANNUAL"/>
      <sheetName val="IS-QTRLY"/>
      <sheetName val="REV-ANNUAL"/>
      <sheetName val="REV-QTRLY"/>
      <sheetName val="FOOTNOTES"/>
      <sheetName val="PIPELINE"/>
      <sheetName val="PIPELINE_UNADJ"/>
      <sheetName val="MGMT PROJECTIONS"/>
      <sheetName val="AF_MKT_MODEL"/>
      <sheetName val="APIXABAN"/>
      <sheetName val="PREVNAR 13 ADULT"/>
      <sheetName val="CFBS"/>
      <sheetName val="DCF"/>
      <sheetName val="DEBT"/>
      <sheetName val="AGREEMENTS"/>
      <sheetName val="PREVNAR 13 ADULT (2)"/>
      <sheetName val="Var-YOY"/>
      <sheetName val="Var-Seq"/>
      <sheetName val="calendar"/>
      <sheetName val="launches"/>
      <sheetName val="patents"/>
      <sheetName val="patent expirations"/>
      <sheetName val="pipeline-handout"/>
      <sheetName val="sotp1"/>
      <sheetName val="sotp2"/>
      <sheetName val="sotp3"/>
      <sheetName val="Product Mix"/>
      <sheetName val="REV-ANNUAL_old"/>
      <sheetName val="REV-ANNUAL New"/>
      <sheetName val="ebitda"/>
      <sheetName val="cost saving"/>
      <sheetName val="consensus"/>
      <sheetName val="2010-15 Growth"/>
      <sheetName val="revenue snapshot"/>
      <sheetName val="Vaccination rates"/>
      <sheetName val="Vaccination rates (2)"/>
      <sheetName val="cost savings"/>
      <sheetName val="rev contribution analysis"/>
      <sheetName val="rev change analysis"/>
      <sheetName val="2015 rev change"/>
      <sheetName val="MW-Cache"/>
      <sheetName val="mwareDates"/>
      <sheetName val="MWA RR"/>
      <sheetName val="MW Valuation"/>
      <sheetName val="mwareSettings"/>
      <sheetName val="king synergy"/>
      <sheetName val="2010 guidance"/>
      <sheetName val="breakup value"/>
      <sheetName val="#REF"/>
      <sheetName val="Variation"/>
      <sheetName val="Seq Variation"/>
      <sheetName val="REV-ANNUAL (2)"/>
      <sheetName val="FCF vs Guidance"/>
      <sheetName val="Gaap Adj"/>
      <sheetName val="ANOMALIES"/>
      <sheetName val="ASSUMPTIONS"/>
      <sheetName val="WYE_MERGER"/>
      <sheetName val="mgmt guidance"/>
      <sheetName val="CDK4_6_MKT_MODEL"/>
      <sheetName val="ELIQUIS_ALLIANCE"/>
      <sheetName val="REV-SEGMENT"/>
      <sheetName val="UPD from master_PALBO MKT MODEL"/>
      <sheetName val="modified revs"/>
      <sheetName val="SEGMENTS"/>
      <sheetName val="Other biopharma+animal"/>
      <sheetName val="sotp"/>
      <sheetName val="Var-YOYold"/>
      <sheetName val="Var-Seqold"/>
      <sheetName val="Var-YOY (2)"/>
      <sheetName val="Var-Seq (2)"/>
      <sheetName val="Actemra sales"/>
      <sheetName val="Var-YOY_old"/>
      <sheetName val="Var-Seq_old"/>
      <sheetName val="TR Convert"/>
      <sheetName val="Var-YOY ex-animal health"/>
      <sheetName val="Var-Seq ex-animal health"/>
      <sheetName val="PALBO MKT MODEL"/>
      <sheetName val="REV-ANNUAL_new"/>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C6">
            <v>-8.9761056293229169E-2</v>
          </cell>
        </row>
      </sheetData>
      <sheetData sheetId="21"/>
      <sheetData sheetId="22"/>
      <sheetData sheetId="23"/>
      <sheetData sheetId="24"/>
      <sheetData sheetId="25"/>
      <sheetData sheetId="26" refreshError="1">
        <row r="1">
          <cell r="E1" t="str">
            <v>2015E Sales ($M)</v>
          </cell>
        </row>
        <row r="2">
          <cell r="A2" t="str">
            <v>News Timeline</v>
          </cell>
          <cell r="B2" t="str">
            <v xml:space="preserve">Product </v>
          </cell>
          <cell r="C2" t="str">
            <v>Initial phase III indication</v>
          </cell>
          <cell r="D2" t="str">
            <v>Launch probability</v>
          </cell>
          <cell r="E2" t="str">
            <v>Unadjusted</v>
          </cell>
          <cell r="F2" t="str">
            <v xml:space="preserve">Adjusted </v>
          </cell>
        </row>
        <row r="3">
          <cell r="A3" t="str">
            <v>1Q:11</v>
          </cell>
          <cell r="B3" t="str">
            <v xml:space="preserve">Xiaflex </v>
          </cell>
          <cell r="C3" t="str">
            <v>Dupuytren's contracture</v>
          </cell>
          <cell r="D3">
            <v>0.75</v>
          </cell>
          <cell r="E3">
            <v>271.6875</v>
          </cell>
          <cell r="F3">
            <v>203.765625</v>
          </cell>
          <cell r="G3" t="str">
            <v xml:space="preserve">Adjusted </v>
          </cell>
        </row>
        <row r="4">
          <cell r="A4" t="str">
            <v>2Q:11</v>
          </cell>
          <cell r="B4" t="str">
            <v>Apixaban†</v>
          </cell>
          <cell r="C4" t="str">
            <v>Atrial fibrillation</v>
          </cell>
          <cell r="D4" t="str">
            <v>50%(VTE) / 60% (AF/ACS)</v>
          </cell>
          <cell r="E4">
            <v>1142.5</v>
          </cell>
          <cell r="F4">
            <v>895.25</v>
          </cell>
        </row>
        <row r="5">
          <cell r="A5" t="str">
            <v>mid '11</v>
          </cell>
          <cell r="B5" t="str">
            <v>Tasocitinib (JAK)</v>
          </cell>
          <cell r="C5" t="str">
            <v xml:space="preserve">Rheumatoid arthritis </v>
          </cell>
          <cell r="D5">
            <v>0.5</v>
          </cell>
          <cell r="E5">
            <v>1950</v>
          </cell>
          <cell r="F5">
            <v>975</v>
          </cell>
          <cell r="G5">
            <v>135.84375</v>
          </cell>
        </row>
        <row r="6">
          <cell r="A6" t="str">
            <v>Late '11</v>
          </cell>
          <cell r="B6" t="str">
            <v>Prevnar-13 for adults</v>
          </cell>
          <cell r="C6" t="str">
            <v>Pneumococcal vaccine</v>
          </cell>
          <cell r="D6">
            <v>0.85</v>
          </cell>
          <cell r="E6">
            <v>1553.3228598895296</v>
          </cell>
          <cell r="F6">
            <v>1320.3244309061001</v>
          </cell>
          <cell r="G6">
            <v>895.25</v>
          </cell>
        </row>
        <row r="7">
          <cell r="A7" t="str">
            <v>late '11</v>
          </cell>
          <cell r="B7" t="str">
            <v>Crizotinib (PF-2341066)</v>
          </cell>
          <cell r="C7" t="str">
            <v>NSCLC</v>
          </cell>
          <cell r="D7">
            <v>0.75</v>
          </cell>
          <cell r="E7">
            <v>348.75</v>
          </cell>
          <cell r="F7">
            <v>261.5625</v>
          </cell>
          <cell r="G7">
            <v>2057.859375</v>
          </cell>
        </row>
        <row r="8">
          <cell r="A8" t="str">
            <v>late '11</v>
          </cell>
          <cell r="B8" t="str">
            <v>Inotuzumab (CD22 mAb)</v>
          </cell>
          <cell r="C8" t="str">
            <v>Cancer</v>
          </cell>
          <cell r="D8">
            <v>0.15</v>
          </cell>
          <cell r="E8">
            <v>141.25</v>
          </cell>
          <cell r="F8">
            <v>21.1875</v>
          </cell>
          <cell r="G8">
            <v>1397.9905739005767</v>
          </cell>
        </row>
        <row r="9">
          <cell r="A9">
            <v>2011</v>
          </cell>
          <cell r="B9" t="str">
            <v>PF-5,230,895 (SBI-087)</v>
          </cell>
          <cell r="C9" t="str">
            <v>Rheumatoid arthritis</v>
          </cell>
          <cell r="D9">
            <v>0.1</v>
          </cell>
          <cell r="E9">
            <v>220</v>
          </cell>
          <cell r="F9">
            <v>22</v>
          </cell>
          <cell r="G9">
            <v>313.875</v>
          </cell>
        </row>
        <row r="10">
          <cell r="A10">
            <v>2011</v>
          </cell>
          <cell r="B10" t="str">
            <v>Neratinib</v>
          </cell>
          <cell r="C10" t="str">
            <v xml:space="preserve">2nd line breast cancer </v>
          </cell>
          <cell r="D10">
            <v>0.6</v>
          </cell>
          <cell r="E10">
            <v>303.75</v>
          </cell>
          <cell r="F10">
            <v>182.25</v>
          </cell>
          <cell r="G10">
            <v>28.25</v>
          </cell>
        </row>
        <row r="11">
          <cell r="A11" t="str">
            <v>late '11</v>
          </cell>
          <cell r="B11" t="str">
            <v>Bosutinib</v>
          </cell>
          <cell r="C11" t="str">
            <v>CML</v>
          </cell>
          <cell r="D11">
            <v>0.67</v>
          </cell>
          <cell r="E11">
            <v>366.24374999999998</v>
          </cell>
          <cell r="F11">
            <v>245.38331250000005</v>
          </cell>
          <cell r="G11">
            <v>33</v>
          </cell>
        </row>
        <row r="12">
          <cell r="A12">
            <v>2011</v>
          </cell>
          <cell r="B12" t="str">
            <v>MnB rLP2086</v>
          </cell>
          <cell r="C12" t="str">
            <v>Meningococcal B vaccine</v>
          </cell>
          <cell r="D12">
            <v>0.5</v>
          </cell>
          <cell r="E12">
            <v>825</v>
          </cell>
          <cell r="F12">
            <v>412.5</v>
          </cell>
          <cell r="G12">
            <v>182.25</v>
          </cell>
        </row>
        <row r="13">
          <cell r="A13">
            <v>2011</v>
          </cell>
          <cell r="B13" t="str">
            <v>Axitinib</v>
          </cell>
          <cell r="C13" t="str">
            <v>Renal cell cancer</v>
          </cell>
          <cell r="D13">
            <v>0.65</v>
          </cell>
          <cell r="E13">
            <v>372.375</v>
          </cell>
          <cell r="F13">
            <v>242.04374999999999</v>
          </cell>
          <cell r="G13">
            <v>205.17187499999997</v>
          </cell>
        </row>
        <row r="14">
          <cell r="A14">
            <v>2012</v>
          </cell>
          <cell r="B14" t="str">
            <v>Bapineuzumab</v>
          </cell>
          <cell r="C14" t="str">
            <v>Alzheimer's disease</v>
          </cell>
          <cell r="D14">
            <v>0.1</v>
          </cell>
          <cell r="E14">
            <v>1000</v>
          </cell>
          <cell r="F14">
            <v>100</v>
          </cell>
          <cell r="G14">
            <v>412.5</v>
          </cell>
        </row>
        <row r="15">
          <cell r="A15">
            <v>2012</v>
          </cell>
          <cell r="B15" t="str">
            <v>Tremelimumab (CP-675,206)</v>
          </cell>
          <cell r="C15" t="str">
            <v>Melanoma</v>
          </cell>
          <cell r="D15">
            <v>0.2</v>
          </cell>
          <cell r="E15">
            <v>250</v>
          </cell>
          <cell r="F15">
            <v>50</v>
          </cell>
          <cell r="G15">
            <v>279.28125</v>
          </cell>
        </row>
        <row r="16">
          <cell r="A16">
            <v>2012</v>
          </cell>
          <cell r="B16" t="str">
            <v>PF-5,236,806 (ACC-001)</v>
          </cell>
          <cell r="C16" t="str">
            <v>Alzheimer's disease</v>
          </cell>
          <cell r="D16">
            <v>0.02</v>
          </cell>
          <cell r="E16">
            <v>50</v>
          </cell>
          <cell r="F16">
            <v>1</v>
          </cell>
          <cell r="G16">
            <v>150</v>
          </cell>
        </row>
        <row r="17">
          <cell r="A17">
            <v>2012</v>
          </cell>
          <cell r="B17">
            <v>2012</v>
          </cell>
          <cell r="C17" t="str">
            <v>Tremelimumab (CP-675,206)</v>
          </cell>
          <cell r="D17" t="str">
            <v>Melanoma</v>
          </cell>
          <cell r="E17">
            <v>0.2</v>
          </cell>
          <cell r="F17">
            <v>162.5</v>
          </cell>
          <cell r="G17">
            <v>32.5</v>
          </cell>
        </row>
        <row r="18">
          <cell r="A18">
            <v>2012</v>
          </cell>
          <cell r="B18">
            <v>2012</v>
          </cell>
          <cell r="C18" t="str">
            <v>PF-5,236,806 (ACC-001)</v>
          </cell>
          <cell r="D18" t="str">
            <v>Alzheimer's disease</v>
          </cell>
          <cell r="E18">
            <v>0.02</v>
          </cell>
          <cell r="F18">
            <v>60</v>
          </cell>
          <cell r="G18">
            <v>1.2</v>
          </cell>
        </row>
        <row r="19">
          <cell r="B19" t="str">
            <v>†Revenue estimates are total end-user sales. PFE receives 50% economics.</v>
          </cell>
        </row>
        <row r="21">
          <cell r="B21" t="str">
            <v>DO NOT LINK TO CLIENT/WORKING MODEL!!!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sheetData sheetId="54"/>
      <sheetData sheetId="55"/>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short IS"/>
      <sheetName val="Product Mix 100%"/>
      <sheetName val="cost savings"/>
      <sheetName val="Per Pharma Traditional &amp; Biolog"/>
    </sheetNames>
    <sheetDataSet>
      <sheetData sheetId="0" refreshError="1"/>
      <sheetData sheetId="1">
        <row r="1">
          <cell r="R1" t="str">
            <v>SmartCharts</v>
          </cell>
          <cell r="BA1" t="str">
            <v>.</v>
          </cell>
        </row>
        <row r="2">
          <cell r="BA2" t="str">
            <v>.</v>
          </cell>
        </row>
        <row r="3">
          <cell r="BA3" t="str">
            <v>.</v>
          </cell>
        </row>
        <row r="4">
          <cell r="BA4" t="str">
            <v>.</v>
          </cell>
        </row>
        <row r="5">
          <cell r="C5" t="str">
            <v>Define value axis here:</v>
          </cell>
        </row>
        <row r="6">
          <cell r="C6" t="str">
            <v>Eli Lilly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781.72624304999954</v>
          </cell>
          <cell r="E12">
            <v>628.01563373899808</v>
          </cell>
          <cell r="F12">
            <v>619.00336252127454</v>
          </cell>
          <cell r="G12">
            <v>650.37276247114823</v>
          </cell>
          <cell r="H12">
            <v>535.71762648130425</v>
          </cell>
          <cell r="BA12" t="str">
            <v>.</v>
          </cell>
        </row>
        <row r="13">
          <cell r="C13" t="str">
            <v>Pipeline products launching 2010–2015</v>
          </cell>
          <cell r="D13">
            <v>94.75</v>
          </cell>
          <cell r="E13">
            <v>176.17500000000001</v>
          </cell>
          <cell r="F13">
            <v>330.42500000000001</v>
          </cell>
          <cell r="G13">
            <v>642.0732999999999</v>
          </cell>
          <cell r="H13">
            <v>950.38365750000003</v>
          </cell>
          <cell r="BA13" t="str">
            <v>.</v>
          </cell>
        </row>
        <row r="14">
          <cell r="C14" t="str">
            <v>Products expiring 2010–2015</v>
          </cell>
          <cell r="D14">
            <v>-371.49615019999874</v>
          </cell>
          <cell r="E14">
            <v>-2226.0126789459991</v>
          </cell>
          <cell r="F14">
            <v>-713.0858879557818</v>
          </cell>
          <cell r="G14">
            <v>-2566.7028729389294</v>
          </cell>
          <cell r="H14">
            <v>-2382.3369144914741</v>
          </cell>
          <cell r="BA14" t="str">
            <v>.</v>
          </cell>
        </row>
        <row r="15">
          <cell r="C15" t="str">
            <v>Net YOY change</v>
          </cell>
          <cell r="D15">
            <v>504.9800928500008</v>
          </cell>
          <cell r="E15">
            <v>-1421.8220452070018</v>
          </cell>
          <cell r="F15">
            <v>236.34247456549201</v>
          </cell>
          <cell r="G15">
            <v>-1274.2568104677812</v>
          </cell>
          <cell r="H15">
            <v>-896.23563051016754</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Cover"/>
      <sheetName val="Results"/>
      <sheetName val="Intrinsic Value"/>
      <sheetName val="Charts"/>
      <sheetName val="Changes to the Model"/>
      <sheetName val="Acq"/>
      <sheetName val="MWA RR"/>
      <sheetName val="Financial Tables"/>
      <sheetName val="Valuation Summary"/>
      <sheetName val="Cash Flow Statement"/>
      <sheetName val="Segment Reporting"/>
      <sheetName val="Balance Sheet"/>
      <sheetName val="Annual"/>
    </sheetNames>
    <sheetDataSet>
      <sheetData sheetId="0"/>
      <sheetData sheetId="1"/>
      <sheetData sheetId="2"/>
      <sheetData sheetId="3"/>
      <sheetData sheetId="4"/>
      <sheetData sheetId="5"/>
      <sheetData sheetId="6"/>
      <sheetData sheetId="7"/>
      <sheetData sheetId="8" refreshError="1">
        <row r="2">
          <cell r="B2" t="str">
            <v>DAEGU BANK (005270.KS)</v>
          </cell>
          <cell r="N2" t="str">
            <v>Foreign exchange rate</v>
          </cell>
          <cell r="U2">
            <v>950</v>
          </cell>
        </row>
        <row r="3">
          <cell r="N3" t="str">
            <v>Current share price</v>
          </cell>
          <cell r="U3">
            <v>15550</v>
          </cell>
          <cell r="V3">
            <v>16.368421052631579</v>
          </cell>
        </row>
        <row r="5">
          <cell r="B5" t="str">
            <v>Profit and Loss Statements</v>
          </cell>
          <cell r="N5" t="str">
            <v>Per Share Data and Valuations</v>
          </cell>
        </row>
        <row r="6">
          <cell r="B6" t="str">
            <v>Won billions, Year ending Dec 31</v>
          </cell>
          <cell r="C6">
            <v>2000</v>
          </cell>
          <cell r="D6">
            <v>2001</v>
          </cell>
          <cell r="E6">
            <v>2002</v>
          </cell>
          <cell r="F6">
            <v>2003</v>
          </cell>
          <cell r="G6">
            <v>2004</v>
          </cell>
          <cell r="H6">
            <v>2005</v>
          </cell>
          <cell r="I6">
            <v>2006</v>
          </cell>
          <cell r="J6" t="str">
            <v>2007E</v>
          </cell>
          <cell r="K6" t="str">
            <v>2008E</v>
          </cell>
          <cell r="L6" t="str">
            <v>2009E</v>
          </cell>
          <cell r="N6" t="str">
            <v>Won billions, Year ending Dec 31</v>
          </cell>
          <cell r="O6">
            <v>2000</v>
          </cell>
          <cell r="P6">
            <v>2001</v>
          </cell>
          <cell r="Q6">
            <v>2002</v>
          </cell>
          <cell r="R6">
            <v>2003</v>
          </cell>
          <cell r="S6">
            <v>2004</v>
          </cell>
          <cell r="T6">
            <v>2005</v>
          </cell>
          <cell r="U6">
            <v>2006</v>
          </cell>
          <cell r="V6" t="str">
            <v>2007E</v>
          </cell>
          <cell r="W6" t="str">
            <v>2008E</v>
          </cell>
          <cell r="X6" t="str">
            <v>2009E</v>
          </cell>
        </row>
        <row r="7">
          <cell r="B7" t="str">
            <v>Avg Earning Assets</v>
          </cell>
          <cell r="C7">
            <v>10876.642941</v>
          </cell>
          <cell r="D7">
            <v>12521.9778905</v>
          </cell>
          <cell r="E7">
            <v>0</v>
          </cell>
          <cell r="F7">
            <v>14850.105514125002</v>
          </cell>
          <cell r="G7">
            <v>15778.461823125001</v>
          </cell>
          <cell r="H7">
            <v>16905.104000000003</v>
          </cell>
          <cell r="I7">
            <v>17900.141749999999</v>
          </cell>
          <cell r="J7">
            <v>19424.187022748716</v>
          </cell>
          <cell r="K7">
            <v>20886.251253226379</v>
          </cell>
          <cell r="L7">
            <v>22978.112528650723</v>
          </cell>
          <cell r="N7" t="str">
            <v>Book Value Per Share (Won)</v>
          </cell>
          <cell r="O7">
            <v>4421.4323036040523</v>
          </cell>
          <cell r="P7">
            <v>4653.9481813652219</v>
          </cell>
          <cell r="Q7">
            <v>5390.1464522232745</v>
          </cell>
          <cell r="R7">
            <v>6340.5455439924317</v>
          </cell>
          <cell r="S7">
            <v>7183.136673604542</v>
          </cell>
          <cell r="T7">
            <v>8151.0177937559129</v>
          </cell>
          <cell r="U7">
            <v>9549.4567733737003</v>
          </cell>
          <cell r="V7">
            <v>11089.965393373248</v>
          </cell>
          <cell r="W7">
            <v>12521.100614957122</v>
          </cell>
          <cell r="X7">
            <v>13949.1718208866</v>
          </cell>
        </row>
        <row r="8">
          <cell r="B8" t="str">
            <v>Net Interest Margin (%)</v>
          </cell>
          <cell r="C8">
            <v>3.133845754144629</v>
          </cell>
          <cell r="D8">
            <v>2.7259491350720646</v>
          </cell>
          <cell r="E8">
            <v>0</v>
          </cell>
          <cell r="F8">
            <v>3.6148878531085753</v>
          </cell>
          <cell r="G8">
            <v>3.6718091186233002</v>
          </cell>
          <cell r="H8">
            <v>3.6994744309174301</v>
          </cell>
          <cell r="I8">
            <v>3.6095189022734968</v>
          </cell>
          <cell r="J8">
            <v>3.212361822242952</v>
          </cell>
          <cell r="K8">
            <v>3.198760314972767</v>
          </cell>
          <cell r="L8">
            <v>3.2055997459453631</v>
          </cell>
          <cell r="N8" t="str">
            <v>Price/Book (x)</v>
          </cell>
          <cell r="O8">
            <v>3.5169598745919264</v>
          </cell>
          <cell r="P8">
            <v>3.3412490629490534</v>
          </cell>
          <cell r="Q8">
            <v>2.8848937849520007</v>
          </cell>
          <cell r="R8">
            <v>2.4524703579699674</v>
          </cell>
          <cell r="S8">
            <v>2.164792444662885</v>
          </cell>
          <cell r="T8">
            <v>1.9077372168064799</v>
          </cell>
          <cell r="U8">
            <v>1.6283648765610763</v>
          </cell>
          <cell r="V8">
            <v>1.4021684873148317</v>
          </cell>
          <cell r="W8">
            <v>1.2419036056163222</v>
          </cell>
          <cell r="X8">
            <v>1.1147615213052593</v>
          </cell>
        </row>
        <row r="9">
          <cell r="B9" t="str">
            <v xml:space="preserve">  Interest Income</v>
          </cell>
          <cell r="C9">
            <v>962.41628200000002</v>
          </cell>
          <cell r="D9">
            <v>974.62154499999997</v>
          </cell>
          <cell r="E9">
            <v>1044.7103439201844</v>
          </cell>
          <cell r="F9">
            <v>1067.6685094039115</v>
          </cell>
          <cell r="G9">
            <v>1065.3353559889999</v>
          </cell>
          <cell r="H9">
            <v>1079.683486593</v>
          </cell>
          <cell r="I9">
            <v>1192.4292037959999</v>
          </cell>
          <cell r="J9">
            <v>1309.4957610066626</v>
          </cell>
          <cell r="K9">
            <v>1431.6881993266018</v>
          </cell>
          <cell r="L9">
            <v>1592.9042170498849</v>
          </cell>
          <cell r="N9" t="str">
            <v>ROAA (%)</v>
          </cell>
          <cell r="O9">
            <v>0.1408711340867197</v>
          </cell>
          <cell r="P9">
            <v>0.24070869709340612</v>
          </cell>
          <cell r="Q9">
            <v>0.87580725543439397</v>
          </cell>
          <cell r="R9">
            <v>0.68953083953879213</v>
          </cell>
          <cell r="S9">
            <v>0.71064558434927894</v>
          </cell>
          <cell r="T9">
            <v>0.94407916117783819</v>
          </cell>
          <cell r="U9">
            <v>1.196952139593618</v>
          </cell>
          <cell r="V9">
            <v>1.3215035069615046</v>
          </cell>
          <cell r="W9">
            <v>1.1811256691630632</v>
          </cell>
          <cell r="X9">
            <v>1.0991814697822027</v>
          </cell>
        </row>
        <row r="10">
          <cell r="B10" t="str">
            <v xml:space="preserve">  Interest Expense</v>
          </cell>
          <cell r="C10">
            <v>621.55906900000002</v>
          </cell>
          <cell r="D10">
            <v>633.27879700000005</v>
          </cell>
          <cell r="E10">
            <v>545.01550299999997</v>
          </cell>
          <cell r="F10">
            <v>493.19239600000003</v>
          </cell>
          <cell r="G10">
            <v>442.64955300000003</v>
          </cell>
          <cell r="H10">
            <v>412.93019300000003</v>
          </cell>
          <cell r="I10">
            <v>492.508482125</v>
          </cell>
          <cell r="J10">
            <v>631.86276332977968</v>
          </cell>
          <cell r="K10">
            <v>709.72075518826659</v>
          </cell>
          <cell r="L10">
            <v>797.55471412586621</v>
          </cell>
          <cell r="N10" t="str">
            <v>ROAE (Reported, %)</v>
          </cell>
          <cell r="P10">
            <v>5.6151531393231648</v>
          </cell>
          <cell r="Q10">
            <v>20.619111304862965</v>
          </cell>
          <cell r="R10">
            <v>14.164653812958742</v>
          </cell>
          <cell r="S10">
            <v>13.658188833718956</v>
          </cell>
          <cell r="T10">
            <v>17.302085635156715</v>
          </cell>
          <cell r="U10">
            <v>20.570191768106923</v>
          </cell>
          <cell r="V10">
            <v>21.019498350202458</v>
          </cell>
          <cell r="W10">
            <v>17.628473198538476</v>
          </cell>
          <cell r="X10">
            <v>16.078949608613247</v>
          </cell>
        </row>
        <row r="11">
          <cell r="B11" t="str">
            <v>Net Interest Income (NII)</v>
          </cell>
          <cell r="C11">
            <v>340.857213</v>
          </cell>
          <cell r="D11">
            <v>341.34274799999992</v>
          </cell>
          <cell r="E11">
            <v>499.69484092018445</v>
          </cell>
          <cell r="F11">
            <v>574.47611340391143</v>
          </cell>
          <cell r="G11">
            <v>622.68580298899997</v>
          </cell>
          <cell r="H11">
            <v>666.75329359299997</v>
          </cell>
          <cell r="I11">
            <v>699.92072167099991</v>
          </cell>
          <cell r="J11">
            <v>677.63299767688295</v>
          </cell>
          <cell r="K11">
            <v>721.96744413833517</v>
          </cell>
          <cell r="L11">
            <v>795.34950292401868</v>
          </cell>
          <cell r="N11" t="str">
            <v>ROAE (ModelWare, %)</v>
          </cell>
          <cell r="S11">
            <v>14.116520505741065</v>
          </cell>
          <cell r="T11">
            <v>17.804435270588858</v>
          </cell>
          <cell r="U11">
            <v>21.230659633058355</v>
          </cell>
          <cell r="V11">
            <v>21.68615959544616</v>
          </cell>
          <cell r="W11">
            <v>18.154805510269618</v>
          </cell>
          <cell r="X11">
            <v>16.499322831883184</v>
          </cell>
        </row>
        <row r="12">
          <cell r="B12" t="str">
            <v>Loan Loss Prov Exp (LLPE)</v>
          </cell>
          <cell r="C12">
            <v>147.41081100000002</v>
          </cell>
          <cell r="D12">
            <v>81.180222999999998</v>
          </cell>
          <cell r="E12">
            <v>156.232</v>
          </cell>
          <cell r="F12">
            <v>210.03299999999999</v>
          </cell>
          <cell r="G12">
            <v>205.31800000000001</v>
          </cell>
          <cell r="H12">
            <v>145.05799999999999</v>
          </cell>
          <cell r="I12">
            <v>45.858999999999995</v>
          </cell>
          <cell r="J12">
            <v>45.635595124963444</v>
          </cell>
          <cell r="K12">
            <v>54.008218881334287</v>
          </cell>
          <cell r="L12">
            <v>87.629025355635321</v>
          </cell>
        </row>
        <row r="13">
          <cell r="B13" t="str">
            <v>NII After LLPE</v>
          </cell>
          <cell r="C13">
            <v>193.44640199999998</v>
          </cell>
          <cell r="D13">
            <v>260.1625249999999</v>
          </cell>
          <cell r="E13">
            <v>343.46284092018448</v>
          </cell>
          <cell r="F13">
            <v>364.44311340391141</v>
          </cell>
          <cell r="G13">
            <v>417.36780298899998</v>
          </cell>
          <cell r="H13">
            <v>521.69529359299997</v>
          </cell>
          <cell r="I13">
            <v>654.06172167099987</v>
          </cell>
          <cell r="J13">
            <v>631.99740255191955</v>
          </cell>
          <cell r="K13">
            <v>667.95922525700087</v>
          </cell>
          <cell r="L13">
            <v>707.72047756838333</v>
          </cell>
          <cell r="N13" t="str">
            <v>MW EPS Growth (%)</v>
          </cell>
          <cell r="P13" t="e">
            <v>#DIV/0!</v>
          </cell>
          <cell r="Q13" t="e">
            <v>#DIV/0!</v>
          </cell>
          <cell r="R13">
            <v>-15.197789596206668</v>
          </cell>
          <cell r="S13">
            <v>11.088495224403317</v>
          </cell>
          <cell r="T13">
            <v>43.009673934216394</v>
          </cell>
          <cell r="U13">
            <v>37.644975038390818</v>
          </cell>
          <cell r="V13">
            <v>19.105491529498252</v>
          </cell>
          <cell r="W13">
            <v>-4.230545840138622</v>
          </cell>
          <cell r="X13">
            <v>1.8866622550749668</v>
          </cell>
        </row>
        <row r="14">
          <cell r="N14" t="str">
            <v>Current P/MW EPS</v>
          </cell>
          <cell r="O14" t="e">
            <v>#DIV/0!</v>
          </cell>
          <cell r="P14" t="e">
            <v>#DIV/0!</v>
          </cell>
          <cell r="Q14">
            <v>15.346665423621943</v>
          </cell>
          <cell r="R14">
            <v>18.097011092691357</v>
          </cell>
          <cell r="S14">
            <v>16.29062582595493</v>
          </cell>
          <cell r="T14">
            <v>11.391275413611895</v>
          </cell>
          <cell r="U14">
            <v>8.2758381920115376</v>
          </cell>
          <cell r="V14">
            <v>6.948326299431713</v>
          </cell>
          <cell r="W14">
            <v>7.2552635497257283</v>
          </cell>
          <cell r="X14">
            <v>7.1209159169058411</v>
          </cell>
        </row>
        <row r="15">
          <cell r="B15" t="str">
            <v>Non-interest Income</v>
          </cell>
        </row>
        <row r="16">
          <cell r="B16" t="str">
            <v>Fees and Commissions</v>
          </cell>
          <cell r="C16">
            <v>103.07806399999998</v>
          </cell>
          <cell r="D16">
            <v>133.91564500000001</v>
          </cell>
          <cell r="E16">
            <v>55.181206079815574</v>
          </cell>
          <cell r="F16">
            <v>62.822131596088454</v>
          </cell>
          <cell r="G16">
            <v>70.036566660999995</v>
          </cell>
          <cell r="H16">
            <v>68.159051552000008</v>
          </cell>
          <cell r="I16">
            <v>79.126403209999992</v>
          </cell>
          <cell r="J16">
            <v>100.50380461772258</v>
          </cell>
          <cell r="K16">
            <v>112.66122624755279</v>
          </cell>
          <cell r="L16">
            <v>126.58243507012459</v>
          </cell>
          <cell r="N16" t="str">
            <v>Gross Dividends</v>
          </cell>
          <cell r="O16">
            <v>0</v>
          </cell>
          <cell r="P16">
            <v>0</v>
          </cell>
          <cell r="Q16">
            <v>33.030999999999999</v>
          </cell>
          <cell r="R16">
            <v>33.030999999999999</v>
          </cell>
          <cell r="S16">
            <v>36.334000000000003</v>
          </cell>
          <cell r="T16">
            <v>52.85</v>
          </cell>
          <cell r="U16">
            <v>74.650625000000005</v>
          </cell>
          <cell r="V16">
            <v>85.881249999999994</v>
          </cell>
          <cell r="W16">
            <v>92.487499999999997</v>
          </cell>
          <cell r="X16">
            <v>99.09375</v>
          </cell>
        </row>
        <row r="17">
          <cell r="B17" t="str">
            <v>Dividend Income</v>
          </cell>
          <cell r="C17">
            <v>0.72631199999999996</v>
          </cell>
          <cell r="D17">
            <v>0.71033299999999999</v>
          </cell>
          <cell r="E17">
            <v>0.70518199999999998</v>
          </cell>
          <cell r="F17">
            <v>0.63218899999999989</v>
          </cell>
          <cell r="G17">
            <v>0.462148</v>
          </cell>
          <cell r="H17">
            <v>0.30597599999999997</v>
          </cell>
          <cell r="I17">
            <v>0.64043965999999997</v>
          </cell>
          <cell r="J17">
            <v>3.5075542206751638</v>
          </cell>
          <cell r="K17">
            <v>3.6432191430697647</v>
          </cell>
          <cell r="L17">
            <v>3.678517134913927</v>
          </cell>
          <cell r="N17" t="str">
            <v>Gross DPS (Won)</v>
          </cell>
          <cell r="O17">
            <v>0</v>
          </cell>
          <cell r="P17">
            <v>0</v>
          </cell>
          <cell r="Q17">
            <v>249.99810785241249</v>
          </cell>
          <cell r="R17">
            <v>249.99810785241249</v>
          </cell>
          <cell r="S17">
            <v>274.9971617786187</v>
          </cell>
          <cell r="T17">
            <v>400</v>
          </cell>
          <cell r="U17">
            <v>565</v>
          </cell>
          <cell r="V17">
            <v>650</v>
          </cell>
          <cell r="W17">
            <v>700</v>
          </cell>
          <cell r="X17">
            <v>750</v>
          </cell>
        </row>
        <row r="18">
          <cell r="B18" t="str">
            <v>Forex Income</v>
          </cell>
          <cell r="C18">
            <v>10.437694</v>
          </cell>
          <cell r="D18">
            <v>8.31785</v>
          </cell>
          <cell r="E18">
            <v>9.5970379999999977</v>
          </cell>
          <cell r="F18">
            <v>13.608292000000002</v>
          </cell>
          <cell r="G18">
            <v>7.1083060000000025</v>
          </cell>
          <cell r="H18">
            <v>4.5471849999999989</v>
          </cell>
          <cell r="I18">
            <v>15.406931695999987</v>
          </cell>
          <cell r="J18">
            <v>-3.8355512954730671</v>
          </cell>
          <cell r="K18">
            <v>0</v>
          </cell>
          <cell r="L18">
            <v>0</v>
          </cell>
          <cell r="N18" t="str">
            <v>Dividend Yield (Current Price, %)</v>
          </cell>
          <cell r="O18">
            <v>0</v>
          </cell>
          <cell r="P18">
            <v>0</v>
          </cell>
          <cell r="Q18">
            <v>1.607704873648955</v>
          </cell>
          <cell r="R18">
            <v>1.607704873648955</v>
          </cell>
          <cell r="S18">
            <v>1.768470493753175</v>
          </cell>
          <cell r="T18">
            <v>2.572347266881029</v>
          </cell>
          <cell r="U18">
            <v>3.6334405144694535</v>
          </cell>
          <cell r="V18">
            <v>4.180064308681672</v>
          </cell>
          <cell r="W18">
            <v>4.501607717041801</v>
          </cell>
          <cell r="X18">
            <v>4.823151125401929</v>
          </cell>
        </row>
        <row r="19">
          <cell r="B19" t="str">
            <v>Other trading income</v>
          </cell>
          <cell r="C19">
            <v>-11.660423000000002</v>
          </cell>
          <cell r="D19">
            <v>-2.2122909999999996</v>
          </cell>
          <cell r="E19">
            <v>-3.9779139999999988</v>
          </cell>
          <cell r="F19">
            <v>-3.9950099999999988</v>
          </cell>
          <cell r="G19">
            <v>2.0797100000000048</v>
          </cell>
          <cell r="H19">
            <v>1.5335300000000007</v>
          </cell>
          <cell r="I19">
            <v>-22.448308368000006</v>
          </cell>
          <cell r="J19">
            <v>-34.01717750433744</v>
          </cell>
          <cell r="K19">
            <v>9.3283227146442016</v>
          </cell>
          <cell r="L19">
            <v>8.0241691532975921</v>
          </cell>
          <cell r="N19" t="str">
            <v>Dividend Payout Ratio (%)</v>
          </cell>
          <cell r="O19">
            <v>0</v>
          </cell>
          <cell r="P19">
            <v>0</v>
          </cell>
          <cell r="Q19">
            <v>25.176150737817981</v>
          </cell>
          <cell r="R19">
            <v>30.091034636678405</v>
          </cell>
          <cell r="S19">
            <v>29.776259268029794</v>
          </cell>
          <cell r="T19">
            <v>30.153081116569329</v>
          </cell>
          <cell r="U19">
            <v>31.035246033502716</v>
          </cell>
          <cell r="V19">
            <v>29.965634015222548</v>
          </cell>
          <cell r="W19">
            <v>33.635488590080953</v>
          </cell>
          <cell r="X19">
            <v>35.243186961121928</v>
          </cell>
        </row>
        <row r="20">
          <cell r="B20" t="str">
            <v>Other Income</v>
          </cell>
          <cell r="C20">
            <v>-31.74471999999999</v>
          </cell>
          <cell r="D20">
            <v>-53.083737999999919</v>
          </cell>
          <cell r="E20">
            <v>-30.191082000000012</v>
          </cell>
          <cell r="F20">
            <v>-34.419654000000001</v>
          </cell>
          <cell r="G20">
            <v>-38.341280650000151</v>
          </cell>
          <cell r="H20">
            <v>-42.036997144999923</v>
          </cell>
          <cell r="I20">
            <v>-32.725466197999978</v>
          </cell>
          <cell r="J20">
            <v>78.425313035345653</v>
          </cell>
          <cell r="K20">
            <v>-4.3323700938881586</v>
          </cell>
          <cell r="L20">
            <v>-14.656612198602346</v>
          </cell>
        </row>
        <row r="21">
          <cell r="B21" t="str">
            <v>Total Non-interest Income</v>
          </cell>
          <cell r="C21">
            <v>70.836926999999989</v>
          </cell>
          <cell r="D21">
            <v>87.647799000000077</v>
          </cell>
          <cell r="E21">
            <v>31.314430079815562</v>
          </cell>
          <cell r="F21">
            <v>38.647948596088462</v>
          </cell>
          <cell r="G21">
            <v>41.345450010999848</v>
          </cell>
          <cell r="H21">
            <v>32.508745407000085</v>
          </cell>
          <cell r="I21">
            <v>39.999999999999986</v>
          </cell>
          <cell r="J21">
            <v>144.58394307393289</v>
          </cell>
          <cell r="K21">
            <v>121.3003980113786</v>
          </cell>
          <cell r="L21">
            <v>123.62850915973374</v>
          </cell>
          <cell r="N21" t="str">
            <v>Issued Shares (m)</v>
          </cell>
          <cell r="O21">
            <v>120.42</v>
          </cell>
          <cell r="P21">
            <v>120.42</v>
          </cell>
          <cell r="Q21">
            <v>132.125</v>
          </cell>
          <cell r="R21">
            <v>132.125</v>
          </cell>
          <cell r="S21">
            <v>132.125</v>
          </cell>
          <cell r="T21">
            <v>132.125</v>
          </cell>
          <cell r="U21">
            <v>132.125</v>
          </cell>
          <cell r="V21">
            <v>132.125</v>
          </cell>
          <cell r="W21">
            <v>132.125</v>
          </cell>
          <cell r="X21">
            <v>132.125</v>
          </cell>
        </row>
        <row r="22">
          <cell r="N22" t="str">
            <v>Market Cap (Wonbn)</v>
          </cell>
          <cell r="O22">
            <v>1872.5309999999999</v>
          </cell>
          <cell r="P22">
            <v>1872.5309999999999</v>
          </cell>
          <cell r="Q22">
            <v>2054.5437499999998</v>
          </cell>
          <cell r="R22">
            <v>2054.5437499999998</v>
          </cell>
          <cell r="S22">
            <v>2054.5437499999998</v>
          </cell>
          <cell r="T22">
            <v>2054.5437499999998</v>
          </cell>
          <cell r="U22">
            <v>2054.5437499999998</v>
          </cell>
          <cell r="V22">
            <v>2054.5437499999998</v>
          </cell>
          <cell r="W22">
            <v>2054.5437499999998</v>
          </cell>
          <cell r="X22">
            <v>2054.5437499999998</v>
          </cell>
        </row>
        <row r="23">
          <cell r="B23" t="str">
            <v>Non-interest Expense</v>
          </cell>
          <cell r="N23" t="str">
            <v>Market Cap (US$mn)</v>
          </cell>
          <cell r="O23">
            <v>1971.0852631578948</v>
          </cell>
          <cell r="P23">
            <v>1971.0852631578948</v>
          </cell>
          <cell r="Q23">
            <v>2162.6776315789475</v>
          </cell>
          <cell r="R23">
            <v>2162.6776315789475</v>
          </cell>
          <cell r="S23">
            <v>2162.6776315789475</v>
          </cell>
          <cell r="T23">
            <v>2162.6776315789475</v>
          </cell>
          <cell r="U23">
            <v>2162.6776315789475</v>
          </cell>
          <cell r="V23">
            <v>2162.6776315789475</v>
          </cell>
          <cell r="W23">
            <v>2162.6776315789475</v>
          </cell>
          <cell r="X23">
            <v>2162.6776315789475</v>
          </cell>
        </row>
        <row r="24">
          <cell r="B24" t="str">
            <v>Salaries &amp; Benefits</v>
          </cell>
          <cell r="C24">
            <v>107.16847300000001</v>
          </cell>
          <cell r="D24">
            <v>98.766052000000002</v>
          </cell>
          <cell r="E24">
            <v>132.53890000000001</v>
          </cell>
          <cell r="F24">
            <v>139.87535099999999</v>
          </cell>
          <cell r="G24">
            <v>158.067294</v>
          </cell>
          <cell r="H24">
            <v>169.01070299999998</v>
          </cell>
          <cell r="I24">
            <v>187.733122804</v>
          </cell>
          <cell r="J24">
            <v>203.09288603685599</v>
          </cell>
          <cell r="K24">
            <v>219.35530669151098</v>
          </cell>
          <cell r="L24">
            <v>236.59153547192719</v>
          </cell>
        </row>
        <row r="25">
          <cell r="B25" t="str">
            <v>Net Occupancy &amp; Equipment</v>
          </cell>
          <cell r="C25">
            <v>1.828999</v>
          </cell>
          <cell r="D25">
            <v>1.9287479999999999</v>
          </cell>
          <cell r="E25">
            <v>2.0369389999999998</v>
          </cell>
          <cell r="F25">
            <v>2.4119800000000002</v>
          </cell>
          <cell r="G25">
            <v>2.779687</v>
          </cell>
          <cell r="H25">
            <v>3.0314130000000001</v>
          </cell>
          <cell r="I25">
            <v>4.3649731559999996</v>
          </cell>
          <cell r="J25">
            <v>5.2695198666551688</v>
          </cell>
          <cell r="K25">
            <v>6.2981784696932053</v>
          </cell>
          <cell r="L25">
            <v>7.6112275624581436</v>
          </cell>
          <cell r="N25" t="str">
            <v>PERFORMANCE RATIOS</v>
          </cell>
        </row>
        <row r="26">
          <cell r="B26" t="str">
            <v>Other Expenses</v>
          </cell>
          <cell r="C26">
            <v>90.402039000000002</v>
          </cell>
          <cell r="D26">
            <v>91.705391000000006</v>
          </cell>
          <cell r="E26">
            <v>102.241602</v>
          </cell>
          <cell r="F26">
            <v>119.61654499999995</v>
          </cell>
          <cell r="G26">
            <v>135.650407</v>
          </cell>
          <cell r="H26">
            <v>149.20329899999996</v>
          </cell>
          <cell r="I26">
            <v>169.20190403999999</v>
          </cell>
          <cell r="J26">
            <v>181.58327820243341</v>
          </cell>
          <cell r="K26">
            <v>189.39679184728826</v>
          </cell>
          <cell r="L26">
            <v>204.83751875790622</v>
          </cell>
          <cell r="N26" t="str">
            <v>Won billions, Year ending Dec 31</v>
          </cell>
          <cell r="O26">
            <v>2000</v>
          </cell>
          <cell r="P26">
            <v>2001</v>
          </cell>
          <cell r="Q26">
            <v>2002</v>
          </cell>
          <cell r="R26">
            <v>2003</v>
          </cell>
          <cell r="S26">
            <v>2004</v>
          </cell>
          <cell r="T26">
            <v>2005</v>
          </cell>
          <cell r="U26">
            <v>2006</v>
          </cell>
          <cell r="V26" t="str">
            <v>2007E</v>
          </cell>
          <cell r="W26" t="str">
            <v>2008E</v>
          </cell>
          <cell r="X26" t="str">
            <v>2009E</v>
          </cell>
        </row>
        <row r="27">
          <cell r="B27" t="str">
            <v>Total Non-interest Expense</v>
          </cell>
          <cell r="C27">
            <v>199.39951100000002</v>
          </cell>
          <cell r="D27">
            <v>192.40019100000001</v>
          </cell>
          <cell r="E27">
            <v>236.817441</v>
          </cell>
          <cell r="F27">
            <v>261.90387599999997</v>
          </cell>
          <cell r="G27">
            <v>296.497388</v>
          </cell>
          <cell r="H27">
            <v>321.24541499999992</v>
          </cell>
          <cell r="I27">
            <v>361.29999999999995</v>
          </cell>
          <cell r="J27">
            <v>389.94568410594457</v>
          </cell>
          <cell r="K27">
            <v>415.05027700849246</v>
          </cell>
          <cell r="L27">
            <v>449.04028179229158</v>
          </cell>
          <cell r="N27" t="str">
            <v>Growth (%)</v>
          </cell>
        </row>
        <row r="28">
          <cell r="N28" t="str">
            <v>Net Interest Income</v>
          </cell>
          <cell r="O28">
            <v>19.194092588123702</v>
          </cell>
          <cell r="P28">
            <v>0.14244527663842543</v>
          </cell>
          <cell r="Q28">
            <v>46.390935166486848</v>
          </cell>
          <cell r="R28">
            <v>14.965388144896163</v>
          </cell>
          <cell r="S28">
            <v>8.3919397970151124</v>
          </cell>
          <cell r="T28">
            <v>7.0770026219432625</v>
          </cell>
          <cell r="U28">
            <v>4.9744678274129317</v>
          </cell>
          <cell r="V28">
            <v>-3.1843212101089091</v>
          </cell>
          <cell r="W28">
            <v>6.5425453915973986</v>
          </cell>
          <cell r="X28">
            <v>10.164178368633326</v>
          </cell>
        </row>
        <row r="29">
          <cell r="B29" t="str">
            <v>Pre-tax Operating Profit</v>
          </cell>
          <cell r="C29">
            <v>64.883817999999962</v>
          </cell>
          <cell r="D29">
            <v>155.41013299999997</v>
          </cell>
          <cell r="E29">
            <v>137.95983000000004</v>
          </cell>
          <cell r="F29">
            <v>141.18718599999988</v>
          </cell>
          <cell r="G29">
            <v>162.21586499999984</v>
          </cell>
          <cell r="H29">
            <v>232.95862400000016</v>
          </cell>
          <cell r="I29">
            <v>332.76172167099992</v>
          </cell>
          <cell r="J29">
            <v>386.6356615199079</v>
          </cell>
          <cell r="K29">
            <v>374.20934625988707</v>
          </cell>
          <cell r="L29">
            <v>382.30870493582552</v>
          </cell>
          <cell r="N29" t="str">
            <v>Non-interest Income</v>
          </cell>
          <cell r="O29">
            <v>21.880539673415122</v>
          </cell>
          <cell r="P29">
            <v>23.731791753191224</v>
          </cell>
          <cell r="Q29">
            <v>-64.272428472715518</v>
          </cell>
          <cell r="R29">
            <v>23.418974886596743</v>
          </cell>
          <cell r="S29">
            <v>6.979675540099417</v>
          </cell>
          <cell r="T29">
            <v>-21.372858686140273</v>
          </cell>
          <cell r="U29">
            <v>23.043813285353099</v>
          </cell>
          <cell r="V29">
            <v>261.45985768483234</v>
          </cell>
          <cell r="W29">
            <v>-16.103824925184295</v>
          </cell>
          <cell r="X29">
            <v>1.9192939071285942</v>
          </cell>
        </row>
        <row r="30">
          <cell r="B30" t="str">
            <v>Associate Profit/Loss</v>
          </cell>
          <cell r="C30">
            <v>-49.278655000000001</v>
          </cell>
          <cell r="D30">
            <v>-124.727327</v>
          </cell>
          <cell r="E30">
            <v>-6.7602659999999659</v>
          </cell>
          <cell r="F30">
            <v>-27.030004999999996</v>
          </cell>
          <cell r="G30">
            <v>8.7279590000001619</v>
          </cell>
          <cell r="H30">
            <v>10.438885999999876</v>
          </cell>
          <cell r="I30">
            <v>1.8062432330000284</v>
          </cell>
          <cell r="J30">
            <v>9.8666032890097899</v>
          </cell>
          <cell r="K30">
            <v>5.0596070528982828</v>
          </cell>
          <cell r="L30">
            <v>5.5138680725025155</v>
          </cell>
          <cell r="N30" t="str">
            <v>Non-interest Expense</v>
          </cell>
          <cell r="O30">
            <v>-1.5725118144990224</v>
          </cell>
          <cell r="P30">
            <v>-3.5101991799769361</v>
          </cell>
          <cell r="Q30">
            <v>23.085865855507382</v>
          </cell>
          <cell r="R30">
            <v>10.593153483150752</v>
          </cell>
          <cell r="S30">
            <v>13.208476532817738</v>
          </cell>
          <cell r="T30">
            <v>8.3467942726024766</v>
          </cell>
          <cell r="U30">
            <v>12.468531262928707</v>
          </cell>
          <cell r="V30">
            <v>7.9285037658302304</v>
          </cell>
          <cell r="W30">
            <v>6.4379717293465921</v>
          </cell>
          <cell r="X30">
            <v>8.1893704610402231</v>
          </cell>
        </row>
        <row r="31">
          <cell r="N31" t="str">
            <v>Recurrent Net Profit After Tax (FD)</v>
          </cell>
          <cell r="O31">
            <v>145.97713062876463</v>
          </cell>
          <cell r="P31">
            <v>139.52063517593874</v>
          </cell>
          <cell r="Q31">
            <v>-11.228549041908298</v>
          </cell>
          <cell r="R31">
            <v>-1.5934519963194727</v>
          </cell>
          <cell r="S31">
            <v>-14.708384897943461</v>
          </cell>
          <cell r="T31">
            <v>44.874840425669625</v>
          </cell>
          <cell r="U31">
            <v>42.610435609727901</v>
          </cell>
          <cell r="V31">
            <v>16.816410990975328</v>
          </cell>
          <cell r="W31">
            <v>-2.9218449036519822</v>
          </cell>
          <cell r="X31">
            <v>2.1643924067875853</v>
          </cell>
        </row>
        <row r="32">
          <cell r="B32" t="str">
            <v>Profit Before Tax</v>
          </cell>
          <cell r="C32">
            <v>15.605162999999962</v>
          </cell>
          <cell r="D32">
            <v>30.682805999999971</v>
          </cell>
          <cell r="E32">
            <v>131.19956400000007</v>
          </cell>
          <cell r="F32">
            <v>114.15718099999989</v>
          </cell>
          <cell r="G32">
            <v>170.94382400000001</v>
          </cell>
          <cell r="H32">
            <v>243.39751000000004</v>
          </cell>
          <cell r="I32">
            <v>334.56796490399995</v>
          </cell>
          <cell r="J32">
            <v>396.50226480891769</v>
          </cell>
          <cell r="K32">
            <v>379.26895331278536</v>
          </cell>
          <cell r="L32">
            <v>387.82257300832805</v>
          </cell>
          <cell r="N32" t="str">
            <v>Net Profit</v>
          </cell>
          <cell r="O32">
            <v>-49.275592820892655</v>
          </cell>
          <cell r="P32">
            <v>96.61958032735734</v>
          </cell>
          <cell r="Q32">
            <v>327.5996269702328</v>
          </cell>
          <cell r="R32">
            <v>-16.333382877003487</v>
          </cell>
          <cell r="S32">
            <v>11.162542960894672</v>
          </cell>
          <cell r="T32">
            <v>43.638288281194917</v>
          </cell>
          <cell r="U32">
            <v>37.235023144900211</v>
          </cell>
          <cell r="V32">
            <v>19.15070887583985</v>
          </cell>
          <cell r="W32">
            <v>-4.0576363289669848</v>
          </cell>
          <cell r="X32">
            <v>2.2552912968039518</v>
          </cell>
        </row>
        <row r="33">
          <cell r="B33" t="str">
            <v>Effective Tax</v>
          </cell>
          <cell r="C33">
            <v>0</v>
          </cell>
          <cell r="D33">
            <v>0</v>
          </cell>
          <cell r="E33">
            <v>-2.8421709430404007E-14</v>
          </cell>
          <cell r="F33">
            <v>4.3869441210790487</v>
          </cell>
          <cell r="G33">
            <v>48.920437271193769</v>
          </cell>
          <cell r="H33">
            <v>68.125206000000034</v>
          </cell>
          <cell r="I33">
            <v>94.032977943000049</v>
          </cell>
          <cell r="J33">
            <v>109.90312275047734</v>
          </cell>
          <cell r="K33">
            <v>104.29896216101602</v>
          </cell>
          <cell r="L33">
            <v>106.65120757729024</v>
          </cell>
        </row>
        <row r="34">
          <cell r="B34" t="str">
            <v xml:space="preserve">Minority Interests </v>
          </cell>
          <cell r="C34">
            <v>0</v>
          </cell>
          <cell r="D34">
            <v>0</v>
          </cell>
          <cell r="E34">
            <v>0</v>
          </cell>
          <cell r="F34">
            <v>0</v>
          </cell>
          <cell r="G34">
            <v>0</v>
          </cell>
          <cell r="H34">
            <v>0</v>
          </cell>
          <cell r="I34">
            <v>0</v>
          </cell>
          <cell r="J34">
            <v>0</v>
          </cell>
          <cell r="K34">
            <v>0</v>
          </cell>
          <cell r="L34">
            <v>0</v>
          </cell>
          <cell r="N34" t="str">
            <v>Gross Customer Loans</v>
          </cell>
          <cell r="O34">
            <v>16.874829523661859</v>
          </cell>
          <cell r="P34">
            <v>20.584814639195592</v>
          </cell>
          <cell r="Q34">
            <v>8.8731818019098121</v>
          </cell>
          <cell r="R34">
            <v>14.302398892121237</v>
          </cell>
          <cell r="S34">
            <v>11.831625407317304</v>
          </cell>
          <cell r="T34">
            <v>5.5445705283399871</v>
          </cell>
          <cell r="U34">
            <v>16.873281626857949</v>
          </cell>
          <cell r="V34">
            <v>13.046403006933804</v>
          </cell>
          <cell r="W34">
            <v>11.364094532789881</v>
          </cell>
          <cell r="X34">
            <v>12.402616335753702</v>
          </cell>
        </row>
        <row r="35">
          <cell r="B35" t="str">
            <v>Preference Dividend</v>
          </cell>
          <cell r="C35">
            <v>0</v>
          </cell>
          <cell r="D35">
            <v>0</v>
          </cell>
          <cell r="E35">
            <v>0</v>
          </cell>
          <cell r="F35">
            <v>0</v>
          </cell>
          <cell r="G35">
            <v>0</v>
          </cell>
          <cell r="H35">
            <v>0</v>
          </cell>
          <cell r="I35">
            <v>0</v>
          </cell>
          <cell r="J35">
            <v>0</v>
          </cell>
          <cell r="K35">
            <v>0</v>
          </cell>
          <cell r="L35">
            <v>0</v>
          </cell>
          <cell r="N35" t="str">
            <v>Total Deposits</v>
          </cell>
          <cell r="O35">
            <v>20.305498208291262</v>
          </cell>
          <cell r="P35">
            <v>15.389922871921913</v>
          </cell>
          <cell r="Q35">
            <v>12.258937954969706</v>
          </cell>
          <cell r="R35">
            <v>7.7654261897086796</v>
          </cell>
          <cell r="S35">
            <v>4.8546454824977658</v>
          </cell>
          <cell r="T35">
            <v>9.18769091004914</v>
          </cell>
          <cell r="U35">
            <v>5.172830838689757</v>
          </cell>
          <cell r="V35">
            <v>4.9417379524641092</v>
          </cell>
          <cell r="W35">
            <v>6.1302533287015626</v>
          </cell>
          <cell r="X35">
            <v>8.4709729103287437</v>
          </cell>
        </row>
        <row r="36">
          <cell r="B36" t="str">
            <v>Net Profit</v>
          </cell>
          <cell r="C36">
            <v>15.605162999999962</v>
          </cell>
          <cell r="D36">
            <v>30.682805999999971</v>
          </cell>
          <cell r="E36">
            <v>131.19956400000009</v>
          </cell>
          <cell r="F36">
            <v>109.77023687892084</v>
          </cell>
          <cell r="G36">
            <v>122.02338672880623</v>
          </cell>
          <cell r="H36">
            <v>175.27230400000002</v>
          </cell>
          <cell r="I36">
            <v>240.5349869609999</v>
          </cell>
          <cell r="J36">
            <v>286.59914205844035</v>
          </cell>
          <cell r="K36">
            <v>274.96999115176936</v>
          </cell>
          <cell r="L36">
            <v>281.17136543103783</v>
          </cell>
          <cell r="N36" t="str">
            <v>Avg Earning Assets</v>
          </cell>
          <cell r="O36">
            <v>15.97959103957065</v>
          </cell>
          <cell r="P36">
            <v>15.127231430001586</v>
          </cell>
          <cell r="Q36">
            <v>-100</v>
          </cell>
          <cell r="R36" t="e">
            <v>#DIV/0!</v>
          </cell>
          <cell r="T36">
            <v>7.1403802823402529</v>
          </cell>
          <cell r="U36">
            <v>5.8860196896747707</v>
          </cell>
          <cell r="V36">
            <v>8.5141519773088703</v>
          </cell>
          <cell r="W36">
            <v>7.5270292072731726</v>
          </cell>
          <cell r="X36">
            <v>10.015494164378612</v>
          </cell>
        </row>
        <row r="37">
          <cell r="B37" t="str">
            <v>EPS - Reported (Won)</v>
          </cell>
          <cell r="C37">
            <v>129.58946188340775</v>
          </cell>
          <cell r="D37">
            <v>254.79825610363704</v>
          </cell>
          <cell r="E37">
            <v>992.99575402081427</v>
          </cell>
          <cell r="F37">
            <v>830.8059555642069</v>
          </cell>
          <cell r="G37">
            <v>923.5450272757331</v>
          </cell>
          <cell r="H37">
            <v>1326.5642686849574</v>
          </cell>
          <cell r="I37">
            <v>1820.5107811617777</v>
          </cell>
          <cell r="J37">
            <v>2169.1515009153482</v>
          </cell>
          <cell r="K37">
            <v>2081.1352215838742</v>
          </cell>
          <cell r="L37">
            <v>2128.0708831109769</v>
          </cell>
          <cell r="N37" t="str">
            <v>Total Interest-bearing Liab</v>
          </cell>
          <cell r="O37" t="e">
            <v>#DIV/0!</v>
          </cell>
          <cell r="P37" t="e">
            <v>#DIV/0!</v>
          </cell>
          <cell r="Q37" t="e">
            <v>#DIV/0!</v>
          </cell>
          <cell r="R37" t="e">
            <v>#DIV/0!</v>
          </cell>
          <cell r="T37">
            <v>6.8990393616055412</v>
          </cell>
          <cell r="U37">
            <v>5.858411532772978</v>
          </cell>
          <cell r="V37">
            <v>8.0595637119371908</v>
          </cell>
          <cell r="W37">
            <v>9.5304438500316557</v>
          </cell>
          <cell r="X37">
            <v>9.6424978769059635</v>
          </cell>
        </row>
        <row r="38">
          <cell r="B38" t="str">
            <v>EPS - ModelWare (Won)</v>
          </cell>
          <cell r="E38">
            <v>1013.2494304635768</v>
          </cell>
          <cell r="F38">
            <v>859.25791393695999</v>
          </cell>
          <cell r="G38">
            <v>954.53668668916737</v>
          </cell>
          <cell r="H38">
            <v>1365.079803216651</v>
          </cell>
          <cell r="I38">
            <v>1878.9637543916738</v>
          </cell>
          <cell r="J38">
            <v>2237.9490153293173</v>
          </cell>
          <cell r="K38">
            <v>2143.2715563568795</v>
          </cell>
          <cell r="L38">
            <v>2183.7078518344224</v>
          </cell>
          <cell r="N38" t="str">
            <v>Risk-weighted Assets</v>
          </cell>
          <cell r="O38" t="e">
            <v>#DIV/0!</v>
          </cell>
          <cell r="P38" t="e">
            <v>#DIV/0!</v>
          </cell>
          <cell r="Q38" t="e">
            <v>#DIV/0!</v>
          </cell>
          <cell r="R38">
            <v>7.5781305462630622</v>
          </cell>
          <cell r="S38">
            <v>6.3495368218855486</v>
          </cell>
          <cell r="T38">
            <v>14.964237479913445</v>
          </cell>
          <cell r="U38">
            <v>15.931281422262543</v>
          </cell>
          <cell r="V38">
            <v>7.1373663922500885</v>
          </cell>
          <cell r="W38">
            <v>19.287010129767346</v>
          </cell>
          <cell r="X38">
            <v>9.5031871878697327</v>
          </cell>
        </row>
        <row r="40">
          <cell r="B40" t="str">
            <v>Selective Balance Sheet Data</v>
          </cell>
          <cell r="N40" t="str">
            <v>Revenue Breakdown (%)</v>
          </cell>
        </row>
        <row r="41">
          <cell r="B41" t="str">
            <v>Won billions, Year ending Dec 31</v>
          </cell>
          <cell r="C41">
            <v>2000</v>
          </cell>
          <cell r="D41">
            <v>2001</v>
          </cell>
          <cell r="E41">
            <v>2002</v>
          </cell>
          <cell r="F41">
            <v>2003</v>
          </cell>
          <cell r="G41">
            <v>2004</v>
          </cell>
          <cell r="H41">
            <v>2005</v>
          </cell>
          <cell r="I41">
            <v>2006</v>
          </cell>
          <cell r="J41" t="str">
            <v>2007E</v>
          </cell>
          <cell r="K41" t="str">
            <v>2008E</v>
          </cell>
          <cell r="L41" t="str">
            <v>2009E</v>
          </cell>
          <cell r="N41" t="str">
            <v>NII/Operating Income</v>
          </cell>
          <cell r="O41">
            <v>82.793797599353738</v>
          </cell>
          <cell r="P41">
            <v>79.568827422204222</v>
          </cell>
          <cell r="Q41">
            <v>94.102846825848445</v>
          </cell>
          <cell r="R41">
            <v>93.696553276669732</v>
          </cell>
          <cell r="S41">
            <v>93.773568664997782</v>
          </cell>
          <cell r="T41">
            <v>95.35099238999301</v>
          </cell>
          <cell r="U41">
            <v>94.594015435915082</v>
          </cell>
          <cell r="V41">
            <v>82.415353429484853</v>
          </cell>
          <cell r="W41">
            <v>85.615436525819405</v>
          </cell>
          <cell r="X41">
            <v>86.547174411778343</v>
          </cell>
        </row>
        <row r="42">
          <cell r="B42" t="str">
            <v>Total Assets</v>
          </cell>
          <cell r="C42">
            <v>13028.76828</v>
          </cell>
          <cell r="D42">
            <v>14551.469909000001</v>
          </cell>
          <cell r="E42">
            <v>16020.457914000001</v>
          </cell>
          <cell r="F42">
            <v>16909.019744999998</v>
          </cell>
          <cell r="G42">
            <v>18584.948699</v>
          </cell>
          <cell r="H42">
            <v>19623.959286000001</v>
          </cell>
          <cell r="I42">
            <v>21857.747097563002</v>
          </cell>
          <cell r="J42">
            <v>22892.646994126611</v>
          </cell>
          <cell r="K42">
            <v>25058.178523756134</v>
          </cell>
          <cell r="L42">
            <v>27439.504134739251</v>
          </cell>
          <cell r="N42" t="str">
            <v>Non-interest Inc/Opg Income</v>
          </cell>
          <cell r="O42">
            <v>17.206202400646266</v>
          </cell>
          <cell r="P42">
            <v>20.43117257779577</v>
          </cell>
          <cell r="Q42">
            <v>5.897153174151561</v>
          </cell>
          <cell r="R42">
            <v>6.3034467233302722</v>
          </cell>
          <cell r="S42">
            <v>6.2264313350022187</v>
          </cell>
          <cell r="T42">
            <v>4.6490076100069953</v>
          </cell>
          <cell r="U42">
            <v>5.4059845640849185</v>
          </cell>
          <cell r="V42">
            <v>17.584646570515144</v>
          </cell>
          <cell r="W42">
            <v>14.384563474180595</v>
          </cell>
          <cell r="X42">
            <v>13.452825588221653</v>
          </cell>
        </row>
        <row r="43">
          <cell r="B43" t="str">
            <v>RWA</v>
          </cell>
          <cell r="C43">
            <v>0</v>
          </cell>
          <cell r="D43">
            <v>0</v>
          </cell>
          <cell r="E43">
            <v>9000.9930000000004</v>
          </cell>
          <cell r="F43">
            <v>9683.1</v>
          </cell>
          <cell r="G43">
            <v>10297.932000000001</v>
          </cell>
          <cell r="H43">
            <v>11838.939</v>
          </cell>
          <cell r="I43">
            <v>13725.033689499996</v>
          </cell>
          <cell r="J43">
            <v>14704.63963137937</v>
          </cell>
          <cell r="K43">
            <v>17540.724966629292</v>
          </cell>
          <cell r="L43">
            <v>19207.652894317474</v>
          </cell>
          <cell r="N43" t="str">
            <v>Forex Income/Operating Income</v>
          </cell>
          <cell r="O43">
            <v>2.5353030286027392</v>
          </cell>
          <cell r="P43">
            <v>1.9389354982686833</v>
          </cell>
          <cell r="Q43">
            <v>1.8073202341508645</v>
          </cell>
          <cell r="R43">
            <v>2.2195005616987196</v>
          </cell>
          <cell r="S43">
            <v>1.0704776270522924</v>
          </cell>
          <cell r="T43">
            <v>0.65028340541735008</v>
          </cell>
          <cell r="U43">
            <v>2.0822408732121653</v>
          </cell>
          <cell r="V43">
            <v>-0.46648896481877328</v>
          </cell>
          <cell r="W43">
            <v>0</v>
          </cell>
          <cell r="X43">
            <v>0</v>
          </cell>
        </row>
        <row r="44">
          <cell r="B44" t="str">
            <v>Total Liquid Assets</v>
          </cell>
          <cell r="C44">
            <v>5962.1525149999998</v>
          </cell>
          <cell r="D44">
            <v>6459.7277969999996</v>
          </cell>
          <cell r="E44">
            <v>6806.4684619999998</v>
          </cell>
          <cell r="F44">
            <v>6392.2568350000001</v>
          </cell>
          <cell r="G44">
            <v>6306.6910909999997</v>
          </cell>
          <cell r="H44">
            <v>6990.019558</v>
          </cell>
          <cell r="I44">
            <v>6916.715082701</v>
          </cell>
          <cell r="J44">
            <v>6057.3941127551834</v>
          </cell>
          <cell r="K44">
            <v>6395.1286551307076</v>
          </cell>
          <cell r="L44">
            <v>6536.4936267440326</v>
          </cell>
        </row>
        <row r="45">
          <cell r="B45" t="str">
            <v>Gross Customer Loans</v>
          </cell>
          <cell r="C45">
            <v>6882.8090649999995</v>
          </cell>
          <cell r="D45">
            <v>8299.6225530000011</v>
          </cell>
          <cell r="E45">
            <v>9036.0631510000003</v>
          </cell>
          <cell r="F45">
            <v>10328.436947</v>
          </cell>
          <cell r="G45">
            <v>11550.458917</v>
          </cell>
          <cell r="H45">
            <v>12190.882258</v>
          </cell>
          <cell r="I45">
            <v>14247.884154190999</v>
          </cell>
          <cell r="J45">
            <v>16106.72054090782</v>
          </cell>
          <cell r="K45">
            <v>17937.103489308869</v>
          </cell>
          <cell r="L45">
            <v>20161.773616834937</v>
          </cell>
          <cell r="N45" t="str">
            <v>Efficiency (%)</v>
          </cell>
        </row>
        <row r="46">
          <cell r="B46" t="str">
            <v>Total Customer Deposits</v>
          </cell>
          <cell r="C46">
            <v>8873.0444650000009</v>
          </cell>
          <cell r="D46">
            <v>10182.091259999999</v>
          </cell>
          <cell r="E46">
            <v>11062.237114</v>
          </cell>
          <cell r="F46">
            <v>12168.536905000001</v>
          </cell>
          <cell r="G46">
            <v>12489.438663999999</v>
          </cell>
          <cell r="H46">
            <v>13424.226704999999</v>
          </cell>
          <cell r="I46">
            <v>13225.490707831001</v>
          </cell>
          <cell r="J46">
            <v>12431.96126536114</v>
          </cell>
          <cell r="K46">
            <v>12183.322040053918</v>
          </cell>
          <cell r="L46">
            <v>12426.988480854996</v>
          </cell>
          <cell r="N46" t="str">
            <v>Cost/Income</v>
          </cell>
          <cell r="O46">
            <v>48.433895852877576</v>
          </cell>
          <cell r="P46">
            <v>44.849517628182141</v>
          </cell>
          <cell r="Q46">
            <v>44.597609483168519</v>
          </cell>
          <cell r="R46">
            <v>37.9</v>
          </cell>
          <cell r="S46">
            <v>44.651119455668166</v>
          </cell>
          <cell r="T46">
            <v>45.940634137583992</v>
          </cell>
          <cell r="U46">
            <v>48.829555575097032</v>
          </cell>
          <cell r="V46">
            <v>47.426131082857722</v>
          </cell>
          <cell r="W46">
            <v>49.219270113564278</v>
          </cell>
          <cell r="X46">
            <v>48.863006066283077</v>
          </cell>
        </row>
        <row r="47">
          <cell r="B47" t="str">
            <v>Certificates of Deposits</v>
          </cell>
          <cell r="C47">
            <v>136.52538000000001</v>
          </cell>
          <cell r="D47">
            <v>225.59719999999999</v>
          </cell>
          <cell r="E47">
            <v>603.66183199999978</v>
          </cell>
          <cell r="F47">
            <v>432.89160899999843</v>
          </cell>
          <cell r="G47">
            <v>700.82924800000001</v>
          </cell>
          <cell r="H47">
            <v>976.23114500000156</v>
          </cell>
          <cell r="I47">
            <v>1899.911154224</v>
          </cell>
          <cell r="J47">
            <v>3419.8400776031999</v>
          </cell>
          <cell r="K47">
            <v>4616.7841047643205</v>
          </cell>
          <cell r="L47">
            <v>5770.9801309554005</v>
          </cell>
          <cell r="N47" t="str">
            <v>Expenses/Avg Assets</v>
          </cell>
          <cell r="O47">
            <v>1.639892993456421</v>
          </cell>
          <cell r="P47">
            <v>1.3952032588082299</v>
          </cell>
          <cell r="Q47">
            <v>1.5492476782693207</v>
          </cell>
          <cell r="R47">
            <v>1.5906955993176448</v>
          </cell>
          <cell r="S47">
            <v>1.6706916752224743</v>
          </cell>
          <cell r="T47">
            <v>1.6815210480556735</v>
          </cell>
          <cell r="U47">
            <v>1.7419726983225741</v>
          </cell>
          <cell r="V47">
            <v>1.7427586595415461</v>
          </cell>
          <cell r="W47">
            <v>1.7311496622876863</v>
          </cell>
          <cell r="X47">
            <v>1.710705155171744</v>
          </cell>
        </row>
        <row r="48">
          <cell r="B48" t="str">
            <v>Other Interest Bearing Liability</v>
          </cell>
          <cell r="C48">
            <v>2751.1073500000002</v>
          </cell>
          <cell r="D48">
            <v>2682.7817380000015</v>
          </cell>
          <cell r="E48">
            <v>2820.9569869999996</v>
          </cell>
          <cell r="F48">
            <v>2785.8668209999996</v>
          </cell>
          <cell r="G48">
            <v>3410.4945430000007</v>
          </cell>
          <cell r="H48">
            <v>3392.2359759999999</v>
          </cell>
          <cell r="I48">
            <v>4154.7991992440002</v>
          </cell>
          <cell r="J48">
            <v>4262.1623079020028</v>
          </cell>
          <cell r="K48">
            <v>5211.1648079020051</v>
          </cell>
          <cell r="L48">
            <v>5922.2201079020015</v>
          </cell>
        </row>
        <row r="49">
          <cell r="B49" t="str">
            <v>EOP Shareholders' Equity</v>
          </cell>
          <cell r="C49">
            <v>532.42887800000005</v>
          </cell>
          <cell r="D49">
            <v>560.42844000000002</v>
          </cell>
          <cell r="E49">
            <v>712.17310000000009</v>
          </cell>
          <cell r="F49">
            <v>837.74458000000004</v>
          </cell>
          <cell r="G49">
            <v>949.07193300000006</v>
          </cell>
          <cell r="H49">
            <v>1076.9532260000001</v>
          </cell>
          <cell r="I49">
            <v>1261.7219761820002</v>
          </cell>
          <cell r="J49">
            <v>1465.2616775994404</v>
          </cell>
          <cell r="K49">
            <v>1654.3504187512096</v>
          </cell>
          <cell r="L49">
            <v>1843.0343268346421</v>
          </cell>
          <cell r="N49" t="str">
            <v>Rev Per Employee</v>
          </cell>
          <cell r="O49">
            <v>2.0775844771901492E-2</v>
          </cell>
          <cell r="P49">
            <v>2.2419741670804044E-2</v>
          </cell>
          <cell r="Q49">
            <v>5.1016887255608399E-2</v>
          </cell>
          <cell r="R49">
            <v>0.29669686039196702</v>
          </cell>
          <cell r="S49">
            <v>0.32455095454545441</v>
          </cell>
          <cell r="T49">
            <v>0.35334110106114203</v>
          </cell>
          <cell r="U49">
            <v>0.38169756083105488</v>
          </cell>
          <cell r="V49">
            <v>0.42035630917730871</v>
          </cell>
          <cell r="W49">
            <v>0.427896724508951</v>
          </cell>
          <cell r="X49">
            <v>0.46286631176354937</v>
          </cell>
        </row>
        <row r="50">
          <cell r="N50" t="str">
            <v>Exp Per Employee</v>
          </cell>
          <cell r="O50">
            <v>1.0062551019378281E-2</v>
          </cell>
          <cell r="P50">
            <v>1.0055145992840159E-2</v>
          </cell>
          <cell r="Q50">
            <v>2.2752312148724599E-2</v>
          </cell>
          <cell r="R50">
            <v>0.12673790273409144</v>
          </cell>
          <cell r="S50">
            <v>0.14491563440860214</v>
          </cell>
          <cell r="T50">
            <v>0.16232714249621016</v>
          </cell>
          <cell r="U50">
            <v>0.18638122259478976</v>
          </cell>
          <cell r="V50">
            <v>0.19935873420549313</v>
          </cell>
          <cell r="W50">
            <v>0.2106076446431546</v>
          </cell>
          <cell r="X50">
            <v>0.22617039399580385</v>
          </cell>
        </row>
        <row r="51">
          <cell r="B51" t="str">
            <v>Avg Loans</v>
          </cell>
          <cell r="C51">
            <v>6385.9260744999992</v>
          </cell>
          <cell r="D51">
            <v>7591.2158090000003</v>
          </cell>
          <cell r="E51">
            <v>8667.8428520000016</v>
          </cell>
          <cell r="F51">
            <v>9682.2500490000002</v>
          </cell>
          <cell r="G51">
            <v>10939.447931999999</v>
          </cell>
          <cell r="H51">
            <v>11870.670587500001</v>
          </cell>
          <cell r="I51">
            <v>13219.383206095499</v>
          </cell>
          <cell r="J51">
            <v>15177.302347549408</v>
          </cell>
          <cell r="K51">
            <v>17021.912015108344</v>
          </cell>
          <cell r="L51">
            <v>19049.438553071901</v>
          </cell>
          <cell r="N51" t="str">
            <v>Rev Per Branch</v>
          </cell>
          <cell r="O51">
            <v>0.36066065703022337</v>
          </cell>
          <cell r="P51">
            <v>0.37597769237510953</v>
          </cell>
          <cell r="Q51">
            <v>0.82776191893998441</v>
          </cell>
          <cell r="R51">
            <v>3.9556391096774184</v>
          </cell>
          <cell r="S51">
            <v>4.2160714476190462</v>
          </cell>
          <cell r="T51">
            <v>4.3978744591194969</v>
          </cell>
          <cell r="U51">
            <v>4.3912209001246287</v>
          </cell>
          <cell r="V51">
            <v>4.5805957701995315</v>
          </cell>
          <cell r="W51">
            <v>4.5829774029875745</v>
          </cell>
          <cell r="X51">
            <v>4.9674487139662293</v>
          </cell>
        </row>
        <row r="52">
          <cell r="B52" t="str">
            <v>Avg Total Assets</v>
          </cell>
          <cell r="C52">
            <v>12159.300137</v>
          </cell>
          <cell r="D52">
            <v>13790.119094500002</v>
          </cell>
          <cell r="E52">
            <v>15285.963911500001</v>
          </cell>
          <cell r="F52">
            <v>16464.738829499998</v>
          </cell>
          <cell r="G52">
            <v>17746.984221999999</v>
          </cell>
          <cell r="H52">
            <v>19104.453992499999</v>
          </cell>
          <cell r="I52">
            <v>20740.853191781502</v>
          </cell>
          <cell r="J52">
            <v>22375.197045844805</v>
          </cell>
          <cell r="K52">
            <v>23975.412758941373</v>
          </cell>
          <cell r="L52">
            <v>26248.841329247691</v>
          </cell>
          <cell r="N52" t="str">
            <v>Exp Per Branch</v>
          </cell>
          <cell r="O52">
            <v>0.1746820070083224</v>
          </cell>
          <cell r="P52">
            <v>0.1686241814198072</v>
          </cell>
          <cell r="Q52">
            <v>0.36916202805923615</v>
          </cell>
          <cell r="R52">
            <v>1.6897024258064515</v>
          </cell>
          <cell r="S52">
            <v>1.8825230984126984</v>
          </cell>
          <cell r="T52">
            <v>2.0204114150943391</v>
          </cell>
          <cell r="U52">
            <v>2.1442136498516318</v>
          </cell>
          <cell r="V52">
            <v>2.1723993543506661</v>
          </cell>
          <cell r="W52">
            <v>2.2557080272200678</v>
          </cell>
          <cell r="X52">
            <v>2.4272447664448196</v>
          </cell>
        </row>
        <row r="53">
          <cell r="B53" t="str">
            <v>Avg Total Deposits</v>
          </cell>
          <cell r="C53">
            <v>8296.3607030000003</v>
          </cell>
          <cell r="D53">
            <v>9758.2770999999993</v>
          </cell>
          <cell r="E53">
            <v>11096.3880395</v>
          </cell>
          <cell r="F53">
            <v>12192.979877</v>
          </cell>
          <cell r="G53">
            <v>12955.728714000001</v>
          </cell>
          <cell r="H53">
            <v>13872.0239815</v>
          </cell>
          <cell r="I53">
            <v>14855.840814868501</v>
          </cell>
          <cell r="J53">
            <v>15606.71015915192</v>
          </cell>
          <cell r="K53">
            <v>16472.933281046091</v>
          </cell>
          <cell r="L53">
            <v>17681.292004386269</v>
          </cell>
          <cell r="N53" t="str">
            <v>Net Profit Per Branch</v>
          </cell>
          <cell r="O53">
            <v>1.3670751642575526E-2</v>
          </cell>
          <cell r="P53">
            <v>2.6891153374233104E-2</v>
          </cell>
          <cell r="Q53">
            <v>0.2045199750584569</v>
          </cell>
          <cell r="R53">
            <v>0.70819507663819892</v>
          </cell>
          <cell r="S53">
            <v>0.77475166177019827</v>
          </cell>
          <cell r="T53">
            <v>1.1023415345911951</v>
          </cell>
          <cell r="U53">
            <v>1.4275073410148362</v>
          </cell>
          <cell r="V53">
            <v>1.5966526019968821</v>
          </cell>
          <cell r="W53">
            <v>1.4944021258248334</v>
          </cell>
          <cell r="X53">
            <v>1.5198452185461504</v>
          </cell>
        </row>
        <row r="54">
          <cell r="B54" t="str">
            <v>Avg Shareholders' Equity</v>
          </cell>
          <cell r="D54">
            <v>546.42865900000004</v>
          </cell>
          <cell r="E54">
            <v>636.30077000000006</v>
          </cell>
          <cell r="F54">
            <v>774.95884000000001</v>
          </cell>
          <cell r="G54">
            <v>893.40825650000011</v>
          </cell>
          <cell r="H54">
            <v>1013.0125795000001</v>
          </cell>
          <cell r="I54">
            <v>1169.3376010910001</v>
          </cell>
          <cell r="J54">
            <v>1363.4918268907204</v>
          </cell>
          <cell r="K54">
            <v>1559.806048175325</v>
          </cell>
          <cell r="L54">
            <v>1748.6923727929259</v>
          </cell>
        </row>
        <row r="55">
          <cell r="B55" t="str">
            <v>Avg Equity/Avg Assets (%)</v>
          </cell>
          <cell r="C55">
            <v>4.2892668214757794</v>
          </cell>
          <cell r="D55">
            <v>3.96246511908614</v>
          </cell>
          <cell r="E55">
            <v>4.1626473389832848</v>
          </cell>
          <cell r="F55">
            <v>4.7067788200290206</v>
          </cell>
          <cell r="G55">
            <v>5.0341412677455875</v>
          </cell>
          <cell r="H55">
            <v>5.3024942764534764</v>
          </cell>
          <cell r="I55">
            <v>5.6378471525672174</v>
          </cell>
          <cell r="J55">
            <v>6.09376455589216</v>
          </cell>
          <cell r="K55">
            <v>6.5058569120717724</v>
          </cell>
          <cell r="L55">
            <v>6.6619792883751057</v>
          </cell>
          <cell r="N55" t="str">
            <v>Net Interest Margin Analysis (%)</v>
          </cell>
        </row>
        <row r="56">
          <cell r="B56" t="str">
            <v>Avg EA/Avg Assets (%)</v>
          </cell>
          <cell r="C56">
            <v>89.451225140031269</v>
          </cell>
          <cell r="D56">
            <v>90.803986569588204</v>
          </cell>
          <cell r="E56">
            <v>0</v>
          </cell>
          <cell r="F56">
            <v>90.19338641143797</v>
          </cell>
          <cell r="G56">
            <v>88.907848374403102</v>
          </cell>
          <cell r="H56">
            <v>88.487763150083154</v>
          </cell>
          <cell r="I56">
            <v>86.303786948807272</v>
          </cell>
          <cell r="J56">
            <v>86.811244535412442</v>
          </cell>
          <cell r="K56">
            <v>87.1152937520839</v>
          </cell>
          <cell r="L56">
            <v>87.539530756534518</v>
          </cell>
          <cell r="N56" t="str">
            <v>Int Income/Avg EA</v>
          </cell>
          <cell r="O56">
            <v>8.8484681093292874</v>
          </cell>
          <cell r="P56">
            <v>7.7832875406960449</v>
          </cell>
          <cell r="Q56" t="e">
            <v>#DIV/0!</v>
          </cell>
          <cell r="R56">
            <v>7.073698293959942</v>
          </cell>
          <cell r="S56">
            <v>6.6093197910558992</v>
          </cell>
          <cell r="T56">
            <v>6.2739572616648784</v>
          </cell>
          <cell r="U56">
            <v>6.4903620106807249</v>
          </cell>
          <cell r="V56">
            <v>6.573786887799991</v>
          </cell>
          <cell r="W56">
            <v>6.6962604360194078</v>
          </cell>
          <cell r="X56">
            <v>6.7695379261876809</v>
          </cell>
        </row>
        <row r="57">
          <cell r="B57" t="str">
            <v>Avg Loans/Avg EA (%)</v>
          </cell>
          <cell r="C57">
            <v>58.712289344609822</v>
          </cell>
          <cell r="D57">
            <v>60.623136978697254</v>
          </cell>
          <cell r="E57" t="e">
            <v>#DIV/0!</v>
          </cell>
          <cell r="F57">
            <v>65.199873763795935</v>
          </cell>
          <cell r="G57">
            <v>69.331523279202571</v>
          </cell>
          <cell r="H57">
            <v>70.219447259833473</v>
          </cell>
          <cell r="I57">
            <v>73.850718003925863</v>
          </cell>
          <cell r="J57">
            <v>78.136100778758205</v>
          </cell>
          <cell r="K57">
            <v>81.498167424749838</v>
          </cell>
          <cell r="L57">
            <v>82.902538358273432</v>
          </cell>
          <cell r="N57" t="str">
            <v>Int Exp/Avg Int Bearing Liab.</v>
          </cell>
          <cell r="O57" t="e">
            <v>#DIV/0!</v>
          </cell>
          <cell r="P57" t="e">
            <v>#DIV/0!</v>
          </cell>
          <cell r="Q57" t="e">
            <v>#DIV/0!</v>
          </cell>
          <cell r="R57">
            <v>3.4374982223136863</v>
          </cell>
          <cell r="S57">
            <v>2.9716624752967347</v>
          </cell>
          <cell r="T57">
            <v>2.6102938971449956</v>
          </cell>
          <cell r="U57">
            <v>2.9216774300978026</v>
          </cell>
          <cell r="V57">
            <v>3.4234127499754949</v>
          </cell>
          <cell r="W57">
            <v>3.4968448793650251</v>
          </cell>
          <cell r="X57">
            <v>3.5753924944599453</v>
          </cell>
        </row>
        <row r="58">
          <cell r="N58" t="str">
            <v xml:space="preserve">Net Interest Spread </v>
          </cell>
          <cell r="O58">
            <v>0</v>
          </cell>
          <cell r="P58">
            <v>0</v>
          </cell>
          <cell r="Q58">
            <v>0</v>
          </cell>
          <cell r="R58">
            <v>3.6362000716462552</v>
          </cell>
          <cell r="S58">
            <v>3.637657315759165</v>
          </cell>
          <cell r="T58">
            <v>3.6636633645198828</v>
          </cell>
          <cell r="U58">
            <v>3.5686845805829233</v>
          </cell>
          <cell r="V58">
            <v>3.1503741378244965</v>
          </cell>
          <cell r="W58">
            <v>3.1994155566543827</v>
          </cell>
          <cell r="X58">
            <v>3.194145431727736</v>
          </cell>
        </row>
        <row r="59">
          <cell r="B59" t="str">
            <v>Asset Quality</v>
          </cell>
          <cell r="N59" t="str">
            <v>Contribution From Free Funds</v>
          </cell>
          <cell r="O59">
            <v>3.133845754144629</v>
          </cell>
          <cell r="P59">
            <v>2.7259491350720646</v>
          </cell>
          <cell r="Q59">
            <v>0</v>
          </cell>
          <cell r="R59">
            <v>-2.131221853767995E-2</v>
          </cell>
          <cell r="S59">
            <v>3.4151802864135217E-2</v>
          </cell>
          <cell r="T59">
            <v>3.5811066397547275E-2</v>
          </cell>
          <cell r="U59">
            <v>4.083432169057355E-2</v>
          </cell>
          <cell r="V59">
            <v>6.198768441845548E-2</v>
          </cell>
          <cell r="W59">
            <v>-6.5524168161568141E-4</v>
          </cell>
          <cell r="X59">
            <v>1.1454314217627104E-2</v>
          </cell>
        </row>
        <row r="60">
          <cell r="B60" t="str">
            <v>Won billions, Year ending Dec 31</v>
          </cell>
          <cell r="C60">
            <v>2000</v>
          </cell>
          <cell r="D60">
            <v>2001</v>
          </cell>
          <cell r="E60">
            <v>2002</v>
          </cell>
          <cell r="F60">
            <v>2003</v>
          </cell>
          <cell r="G60">
            <v>2004</v>
          </cell>
          <cell r="H60">
            <v>2005</v>
          </cell>
          <cell r="I60">
            <v>2006</v>
          </cell>
          <cell r="J60" t="str">
            <v>2007E</v>
          </cell>
          <cell r="K60" t="str">
            <v>2008E</v>
          </cell>
          <cell r="L60" t="str">
            <v>2009E</v>
          </cell>
          <cell r="N60" t="str">
            <v>Net Interest Margin</v>
          </cell>
          <cell r="O60">
            <v>3.133845754144629</v>
          </cell>
          <cell r="P60">
            <v>2.7259491350720646</v>
          </cell>
          <cell r="Q60">
            <v>0</v>
          </cell>
          <cell r="R60">
            <v>3.6148878531085753</v>
          </cell>
          <cell r="S60">
            <v>3.6718091186233002</v>
          </cell>
          <cell r="T60">
            <v>3.6994744309174301</v>
          </cell>
          <cell r="U60">
            <v>3.6095189022734968</v>
          </cell>
          <cell r="V60">
            <v>3.212361822242952</v>
          </cell>
          <cell r="W60">
            <v>3.198760314972767</v>
          </cell>
          <cell r="X60">
            <v>3.2055997459453631</v>
          </cell>
        </row>
        <row r="61">
          <cell r="B61" t="str">
            <v>Non-performing Loans (NPL)</v>
          </cell>
          <cell r="C61">
            <v>0</v>
          </cell>
          <cell r="D61">
            <v>0</v>
          </cell>
          <cell r="E61">
            <v>217.649</v>
          </cell>
          <cell r="F61">
            <v>236.88145500000002</v>
          </cell>
          <cell r="G61">
            <v>159.47999999999999</v>
          </cell>
          <cell r="H61">
            <v>118.245</v>
          </cell>
          <cell r="I61">
            <v>105.184</v>
          </cell>
          <cell r="J61">
            <v>139.01811632209984</v>
          </cell>
          <cell r="K61">
            <v>186.72139276253719</v>
          </cell>
          <cell r="L61">
            <v>220.80719635920269</v>
          </cell>
        </row>
        <row r="62">
          <cell r="B62" t="str">
            <v>Gross NPL Ratio (%)</v>
          </cell>
          <cell r="C62">
            <v>0</v>
          </cell>
          <cell r="D62">
            <v>0</v>
          </cell>
          <cell r="E62">
            <v>2.2786147801066434</v>
          </cell>
          <cell r="F62">
            <v>2.2881009967990198</v>
          </cell>
          <cell r="G62">
            <v>1.4617314258233165</v>
          </cell>
          <cell r="H62">
            <v>0.9701441412097328</v>
          </cell>
          <cell r="I62">
            <v>0.74036252593246721</v>
          </cell>
          <cell r="J62">
            <v>0.8435448074458306</v>
          </cell>
          <cell r="K62">
            <v>1.0207228949849638</v>
          </cell>
          <cell r="L62">
            <v>1.0776770325315848</v>
          </cell>
          <cell r="N62" t="str">
            <v>Liquidity (%)</v>
          </cell>
        </row>
        <row r="63">
          <cell r="B63" t="str">
            <v>Loan Loss Reserve (LLR)</v>
          </cell>
          <cell r="C63">
            <v>289.37106899999998</v>
          </cell>
          <cell r="D63">
            <v>0</v>
          </cell>
          <cell r="E63">
            <v>154.84034800000003</v>
          </cell>
          <cell r="F63">
            <v>213.47799999999995</v>
          </cell>
          <cell r="G63">
            <v>168.25799999999995</v>
          </cell>
          <cell r="H63">
            <v>203.67199999999997</v>
          </cell>
          <cell r="I63">
            <v>199.94499999999999</v>
          </cell>
          <cell r="J63">
            <v>247.88861801459262</v>
          </cell>
          <cell r="K63">
            <v>323.02949627916291</v>
          </cell>
          <cell r="L63">
            <v>383.04120030021824</v>
          </cell>
          <cell r="N63" t="str">
            <v>Avg Loans/Avg EA</v>
          </cell>
          <cell r="O63">
            <v>58.712289344609822</v>
          </cell>
          <cell r="P63">
            <v>60.623136978697254</v>
          </cell>
          <cell r="Q63" t="e">
            <v>#DIV/0!</v>
          </cell>
          <cell r="R63">
            <v>65.199873763795935</v>
          </cell>
          <cell r="S63">
            <v>69.331523279202571</v>
          </cell>
          <cell r="T63">
            <v>70.219447259833473</v>
          </cell>
          <cell r="U63">
            <v>73.850718003925863</v>
          </cell>
          <cell r="V63">
            <v>78.136100778758205</v>
          </cell>
          <cell r="W63">
            <v>81.498167424749838</v>
          </cell>
          <cell r="X63">
            <v>82.902538358273432</v>
          </cell>
        </row>
        <row r="64">
          <cell r="B64" t="str">
            <v>LLR/NPL (%)</v>
          </cell>
          <cell r="C64" t="str">
            <v>na</v>
          </cell>
          <cell r="D64" t="str">
            <v>na</v>
          </cell>
          <cell r="E64">
            <v>71.142228082830627</v>
          </cell>
          <cell r="F64">
            <v>90.12018268800314</v>
          </cell>
          <cell r="G64">
            <v>105.50413844996235</v>
          </cell>
          <cell r="H64">
            <v>172.24576092012344</v>
          </cell>
          <cell r="I64">
            <v>190.09069820505019</v>
          </cell>
          <cell r="J64">
            <v>178.31389503238833</v>
          </cell>
          <cell r="K64">
            <v>173.00079626653999</v>
          </cell>
          <cell r="L64">
            <v>173.47315061104169</v>
          </cell>
          <cell r="N64" t="str">
            <v>Avg Liquid Assets/AEA</v>
          </cell>
          <cell r="O64">
            <v>50.307254156280393</v>
          </cell>
          <cell r="P64">
            <v>49.600312429173265</v>
          </cell>
          <cell r="Q64" t="e">
            <v>#DIV/0!</v>
          </cell>
          <cell r="R64">
            <v>44.439836755522528</v>
          </cell>
          <cell r="S64">
            <v>40.241400170542455</v>
          </cell>
          <cell r="T64">
            <v>39.327503246948368</v>
          </cell>
          <cell r="U64">
            <v>38.845319872120569</v>
          </cell>
          <cell r="V64">
            <v>33.396788190572671</v>
          </cell>
          <cell r="W64">
            <v>29.810334599805937</v>
          </cell>
          <cell r="X64">
            <v>28.139000245887662</v>
          </cell>
        </row>
        <row r="65">
          <cell r="B65" t="str">
            <v>LLR/Total Credit (%)</v>
          </cell>
          <cell r="C65">
            <v>3.0002086490841178</v>
          </cell>
          <cell r="D65">
            <v>0</v>
          </cell>
          <cell r="E65">
            <v>0</v>
          </cell>
          <cell r="F65">
            <v>2.0620407984012981</v>
          </cell>
          <cell r="G65">
            <v>1.5421871472672413</v>
          </cell>
          <cell r="H65">
            <v>1.6710321580487015</v>
          </cell>
          <cell r="I65">
            <v>1.4073602947935728</v>
          </cell>
          <cell r="J65">
            <v>1.5041576025001209</v>
          </cell>
          <cell r="K65">
            <v>1.7658587359988664</v>
          </cell>
          <cell r="L65">
            <v>1.8694803017441208</v>
          </cell>
          <cell r="N65" t="str">
            <v>Avg Loans/Avg Deposits</v>
          </cell>
          <cell r="O65">
            <v>76.972618514414648</v>
          </cell>
          <cell r="P65">
            <v>77.792582965285959</v>
          </cell>
          <cell r="Q65">
            <v>78.114092812408288</v>
          </cell>
          <cell r="R65">
            <v>79.408398493824564</v>
          </cell>
          <cell r="S65">
            <v>84.437148797186509</v>
          </cell>
          <cell r="T65">
            <v>85.572736922391115</v>
          </cell>
          <cell r="U65">
            <v>88.984416101610691</v>
          </cell>
          <cell r="V65">
            <v>97.248569319071365</v>
          </cell>
          <cell r="W65">
            <v>103.33261068138917</v>
          </cell>
          <cell r="X65">
            <v>107.7378199983702</v>
          </cell>
        </row>
        <row r="66">
          <cell r="N66" t="str">
            <v>Avg Loans/Avg Depo &amp; Equity</v>
          </cell>
          <cell r="O66">
            <v>74.465563103114533</v>
          </cell>
          <cell r="P66">
            <v>75.354560553984413</v>
          </cell>
          <cell r="Q66">
            <v>76.989561943884127</v>
          </cell>
          <cell r="R66">
            <v>78.143501130686502</v>
          </cell>
          <cell r="S66">
            <v>82.734232873368512</v>
          </cell>
          <cell r="T66">
            <v>84.973529507091044</v>
          </cell>
          <cell r="U66">
            <v>91.204665133790286</v>
          </cell>
          <cell r="V66">
            <v>106.94101899370862</v>
          </cell>
          <cell r="W66">
            <v>122.7472594976844</v>
          </cell>
          <cell r="X66">
            <v>135.54607286339422</v>
          </cell>
        </row>
        <row r="67">
          <cell r="B67" t="str">
            <v>Specific Reserve</v>
          </cell>
          <cell r="C67">
            <v>0</v>
          </cell>
          <cell r="D67">
            <v>0</v>
          </cell>
          <cell r="E67">
            <v>45.429604999999995</v>
          </cell>
          <cell r="F67">
            <v>49.084660000000007</v>
          </cell>
          <cell r="G67">
            <v>51.95835000000001</v>
          </cell>
          <cell r="H67">
            <v>59.055494999999993</v>
          </cell>
          <cell r="I67">
            <v>69.303245000000004</v>
          </cell>
          <cell r="J67">
            <v>80.388004878434941</v>
          </cell>
          <cell r="K67">
            <v>89.050561599431873</v>
          </cell>
          <cell r="L67">
            <v>99.538819781888293</v>
          </cell>
          <cell r="N67" t="str">
            <v>Period-End Loans/Deposits</v>
          </cell>
          <cell r="O67">
            <v>75.960525534395558</v>
          </cell>
          <cell r="P67">
            <v>79.380293040215051</v>
          </cell>
          <cell r="Q67">
            <v>76.9861646038636</v>
          </cell>
          <cell r="R67">
            <v>81.656089590686094</v>
          </cell>
          <cell r="S67">
            <v>87.089448267279749</v>
          </cell>
          <cell r="T67">
            <v>84.183650540723647</v>
          </cell>
          <cell r="U67">
            <v>93.549060337773042</v>
          </cell>
          <cell r="V67">
            <v>100.77386731153848</v>
          </cell>
          <cell r="W67">
            <v>105.74355693808555</v>
          </cell>
          <cell r="X67">
            <v>109.57634232999278</v>
          </cell>
        </row>
        <row r="68">
          <cell r="B68" t="str">
            <v>Specific Reserve/NPLs (%)</v>
          </cell>
          <cell r="C68" t="str">
            <v>na</v>
          </cell>
          <cell r="D68" t="str">
            <v>na</v>
          </cell>
          <cell r="E68">
            <v>20.872875593271733</v>
          </cell>
          <cell r="F68">
            <v>20.721191534390062</v>
          </cell>
          <cell r="G68">
            <v>32.579853273137701</v>
          </cell>
          <cell r="H68">
            <v>49.943333756184188</v>
          </cell>
          <cell r="I68">
            <v>65.887630247946461</v>
          </cell>
          <cell r="J68">
            <v>57.82556044147433</v>
          </cell>
          <cell r="K68">
            <v>47.691675968099631</v>
          </cell>
          <cell r="L68">
            <v>45.07951797909768</v>
          </cell>
        </row>
        <row r="69">
          <cell r="B69" t="str">
            <v>General Reserve</v>
          </cell>
          <cell r="C69">
            <v>289.37106899999998</v>
          </cell>
          <cell r="D69">
            <v>0</v>
          </cell>
          <cell r="E69">
            <v>109.41074300000004</v>
          </cell>
          <cell r="F69">
            <v>164.39333999999994</v>
          </cell>
          <cell r="G69">
            <v>116.29964999999994</v>
          </cell>
          <cell r="H69">
            <v>144.61650499999996</v>
          </cell>
          <cell r="I69">
            <v>130.64175499999999</v>
          </cell>
          <cell r="J69">
            <v>167.50061313615768</v>
          </cell>
          <cell r="K69">
            <v>233.97893467973103</v>
          </cell>
          <cell r="L69">
            <v>283.50238051832991</v>
          </cell>
          <cell r="N69" t="str">
            <v>Capital Information</v>
          </cell>
        </row>
        <row r="70">
          <cell r="B70" t="str">
            <v>General Reserve/NPLs (%)</v>
          </cell>
          <cell r="C70" t="e">
            <v>#DIV/0!</v>
          </cell>
          <cell r="D70" t="e">
            <v>#DIV/0!</v>
          </cell>
          <cell r="E70">
            <v>50.269352489558891</v>
          </cell>
          <cell r="F70">
            <v>69.398991153613068</v>
          </cell>
          <cell r="G70">
            <v>72.92428517682464</v>
          </cell>
          <cell r="H70">
            <v>122.30242716393924</v>
          </cell>
          <cell r="I70">
            <v>124.20306795710374</v>
          </cell>
          <cell r="J70">
            <v>120.48833459091399</v>
          </cell>
          <cell r="K70">
            <v>125.30912029844035</v>
          </cell>
          <cell r="L70">
            <v>128.393632631944</v>
          </cell>
          <cell r="N70" t="str">
            <v>Tier 1 Ratio (%)</v>
          </cell>
          <cell r="O70" t="e">
            <v>#DIV/0!</v>
          </cell>
          <cell r="P70" t="e">
            <v>#DIV/0!</v>
          </cell>
          <cell r="Q70">
            <v>7.8373241707887118</v>
          </cell>
          <cell r="R70">
            <v>8.216046514029598</v>
          </cell>
          <cell r="S70">
            <v>8.6523002870867654</v>
          </cell>
          <cell r="T70">
            <v>8.4983037753636523</v>
          </cell>
          <cell r="U70">
            <v>8.3964456923819952</v>
          </cell>
          <cell r="V70">
            <v>9.1468956970532549</v>
          </cell>
          <cell r="W70">
            <v>8.7207738728041839</v>
          </cell>
          <cell r="X70">
            <v>8.9232470121791341</v>
          </cell>
        </row>
        <row r="71">
          <cell r="B71" t="str">
            <v>Net Charge-offs (NCO)</v>
          </cell>
          <cell r="C71">
            <v>1255.2463950000001</v>
          </cell>
          <cell r="D71">
            <v>1785.11</v>
          </cell>
          <cell r="E71">
            <v>0</v>
          </cell>
          <cell r="F71">
            <v>194.10000000000002</v>
          </cell>
          <cell r="G71">
            <v>228.39999999999998</v>
          </cell>
          <cell r="H71">
            <v>119.703</v>
          </cell>
          <cell r="I71">
            <v>90.47</v>
          </cell>
          <cell r="J71">
            <v>9.9256817423708057</v>
          </cell>
          <cell r="K71">
            <v>-2.0443160381159666</v>
          </cell>
          <cell r="L71">
            <v>40.903874314268691</v>
          </cell>
          <cell r="N71" t="str">
            <v>Tier 2 Ratio (%)</v>
          </cell>
          <cell r="O71" t="e">
            <v>#DIV/0!</v>
          </cell>
          <cell r="P71" t="e">
            <v>#DIV/0!</v>
          </cell>
          <cell r="Q71">
            <v>3.0218999170424858</v>
          </cell>
          <cell r="R71">
            <v>2.3749315818281334</v>
          </cell>
          <cell r="S71">
            <v>2.016230054733319</v>
          </cell>
          <cell r="T71">
            <v>2.8430503780786434</v>
          </cell>
          <cell r="U71">
            <v>2.9330492668150629</v>
          </cell>
          <cell r="V71">
            <v>3.3622370699359112</v>
          </cell>
          <cell r="W71">
            <v>3.2036798405554903</v>
          </cell>
          <cell r="X71">
            <v>3.2063717469526436</v>
          </cell>
        </row>
        <row r="72">
          <cell r="B72" t="str">
            <v>NCO/Avg Total Credit (%)</v>
          </cell>
          <cell r="C72" t="e">
            <v>#DIV/0!</v>
          </cell>
          <cell r="D72" t="e">
            <v>#DIV/0!</v>
          </cell>
          <cell r="E72">
            <v>0</v>
          </cell>
          <cell r="F72">
            <v>1.9503063298600405</v>
          </cell>
          <cell r="G72">
            <v>2.1483224330350894</v>
          </cell>
          <cell r="H72">
            <v>1.0364459643346842</v>
          </cell>
          <cell r="I72">
            <v>0.68549591939743948</v>
          </cell>
          <cell r="J72">
            <v>6.4689133877418883E-2</v>
          </cell>
          <cell r="K72">
            <v>-1.1757969599729957E-2</v>
          </cell>
          <cell r="L72">
            <v>0.21094129416293961</v>
          </cell>
          <cell r="N72" t="str">
            <v>Total CAR (%)</v>
          </cell>
          <cell r="O72" t="e">
            <v>#DIV/0!</v>
          </cell>
          <cell r="P72" t="e">
            <v>#DIV/0!</v>
          </cell>
          <cell r="Q72">
            <v>10.859224087831198</v>
          </cell>
          <cell r="R72">
            <v>10.590978095857732</v>
          </cell>
          <cell r="S72">
            <v>10.668530341820084</v>
          </cell>
          <cell r="T72">
            <v>11.341354153442296</v>
          </cell>
          <cell r="U72">
            <v>11.329494959197058</v>
          </cell>
          <cell r="V72">
            <v>12.509132766989167</v>
          </cell>
          <cell r="W72">
            <v>11.924453713359675</v>
          </cell>
          <cell r="X72">
            <v>12.129618759131777</v>
          </cell>
        </row>
        <row r="73">
          <cell r="B73" t="str">
            <v>LLPE/Avg Loans (%)</v>
          </cell>
          <cell r="C73">
            <v>2.3083701452266165</v>
          </cell>
          <cell r="D73">
            <v>1.0693968534494078</v>
          </cell>
          <cell r="E73">
            <v>1.8024323083332243</v>
          </cell>
          <cell r="F73">
            <v>2.1692581676476386</v>
          </cell>
          <cell r="G73">
            <v>1.8768588805967545</v>
          </cell>
          <cell r="H73">
            <v>1.2219865670668033</v>
          </cell>
          <cell r="I73">
            <v>0.34690725947678308</v>
          </cell>
          <cell r="J73">
            <v>0.3006831786040815</v>
          </cell>
          <cell r="K73">
            <v>0.31728644134335532</v>
          </cell>
          <cell r="L73">
            <v>0.46000844125405632</v>
          </cell>
        </row>
        <row r="74">
          <cell r="B74" t="str">
            <v>*Note: we have applied accounting change about reclassification of credit card income, starting from 2004.</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rpage"/>
      <sheetName val="Aluminum"/>
      <sheetName val="Copper"/>
      <sheetName val="NF_INV_W"/>
      <sheetName val="PRICE_W"/>
      <sheetName val="Financials"/>
    </sheetNames>
    <sheetDataSet>
      <sheetData sheetId="0"/>
      <sheetData sheetId="1"/>
      <sheetData sheetId="2"/>
      <sheetData sheetId="3"/>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Cover"/>
      <sheetName val="PS 1yr forward"/>
      <sheetName val="FIM"/>
      <sheetName val="An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KOREA EXCHANGE BANK (004940.KS)</v>
          </cell>
          <cell r="O2" t="str">
            <v>Foreign exchange rate</v>
          </cell>
          <cell r="W2">
            <v>950</v>
          </cell>
        </row>
        <row r="3">
          <cell r="O3" t="str">
            <v>Current share price</v>
          </cell>
          <cell r="W3">
            <v>15400</v>
          </cell>
          <cell r="X3">
            <v>16.210526315789473</v>
          </cell>
        </row>
        <row r="5">
          <cell r="B5" t="str">
            <v>Profit and Loss Statements</v>
          </cell>
          <cell r="O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t="str">
            <v>2008E</v>
          </cell>
          <cell r="L6" t="str">
            <v>2009E</v>
          </cell>
          <cell r="M6" t="str">
            <v>2010E</v>
          </cell>
          <cell r="O6" t="str">
            <v>Won billions, Year ending Dec 31</v>
          </cell>
          <cell r="P6">
            <v>2000</v>
          </cell>
          <cell r="Q6">
            <v>2001</v>
          </cell>
          <cell r="R6">
            <v>2002</v>
          </cell>
          <cell r="S6">
            <v>2003</v>
          </cell>
          <cell r="T6">
            <v>2004</v>
          </cell>
          <cell r="U6">
            <v>2005</v>
          </cell>
          <cell r="V6">
            <v>2006</v>
          </cell>
          <cell r="W6">
            <v>2007</v>
          </cell>
          <cell r="X6" t="str">
            <v>2008E</v>
          </cell>
          <cell r="Y6" t="str">
            <v>2009E</v>
          </cell>
          <cell r="Z6" t="str">
            <v>2010E</v>
          </cell>
        </row>
        <row r="7">
          <cell r="B7" t="str">
            <v>Avg Earning Assets</v>
          </cell>
          <cell r="C7">
            <v>36712.699999999997</v>
          </cell>
          <cell r="D7">
            <v>39616.114000000001</v>
          </cell>
          <cell r="E7">
            <v>42159.420999999988</v>
          </cell>
          <cell r="F7">
            <v>48507.203999999998</v>
          </cell>
          <cell r="G7">
            <v>52412.587125000005</v>
          </cell>
          <cell r="H7">
            <v>51063.144948590008</v>
          </cell>
          <cell r="I7">
            <v>52715.690999999999</v>
          </cell>
          <cell r="J7">
            <v>58382.284</v>
          </cell>
          <cell r="K7">
            <v>67320.65325039516</v>
          </cell>
          <cell r="L7">
            <v>72942.624488928326</v>
          </cell>
          <cell r="M7">
            <v>79616.158262276629</v>
          </cell>
          <cell r="O7" t="str">
            <v>Book Value Per Share (Won)</v>
          </cell>
          <cell r="P7">
            <v>6359.8039330548954</v>
          </cell>
          <cell r="Q7">
            <v>7538.6002932977171</v>
          </cell>
          <cell r="R7">
            <v>8307.7824833441719</v>
          </cell>
          <cell r="S7">
            <v>4816.0286043251181</v>
          </cell>
          <cell r="T7">
            <v>4542.3460907824228</v>
          </cell>
          <cell r="U7">
            <v>8772.8471337346327</v>
          </cell>
          <cell r="V7">
            <v>9891.6071947422679</v>
          </cell>
          <cell r="W7">
            <v>10312.806023858087</v>
          </cell>
          <cell r="X7">
            <v>11262.703535205859</v>
          </cell>
          <cell r="Y7">
            <v>11981.349850223576</v>
          </cell>
          <cell r="Z7">
            <v>12811.132848086339</v>
          </cell>
        </row>
        <row r="8">
          <cell r="B8" t="str">
            <v>Net Interest Margin (%)</v>
          </cell>
          <cell r="C8">
            <v>1.7274648827245072</v>
          </cell>
          <cell r="D8">
            <v>2.4421123182349485</v>
          </cell>
          <cell r="E8">
            <v>2.1296948077156954</v>
          </cell>
          <cell r="F8">
            <v>2.1372474900841527</v>
          </cell>
          <cell r="G8">
            <v>2.8145910761507742</v>
          </cell>
          <cell r="H8">
            <v>3.2338862044191377</v>
          </cell>
          <cell r="I8">
            <v>3.4415844041577679</v>
          </cell>
          <cell r="J8">
            <v>3.2179282331605927</v>
          </cell>
          <cell r="K8">
            <v>3.0440189665379207</v>
          </cell>
          <cell r="L8">
            <v>2.9635093415166738</v>
          </cell>
          <cell r="M8">
            <v>2.9265281265900103</v>
          </cell>
          <cell r="O8" t="str">
            <v>Price/Book (x)</v>
          </cell>
          <cell r="P8">
            <v>2.4214582968444907</v>
          </cell>
          <cell r="Q8">
            <v>2.0428195422022246</v>
          </cell>
          <cell r="R8">
            <v>1.8536835829386042</v>
          </cell>
          <cell r="S8">
            <v>3.1976554263340051</v>
          </cell>
          <cell r="T8">
            <v>3.3903185033061489</v>
          </cell>
          <cell r="U8">
            <v>1.7554164304062327</v>
          </cell>
          <cell r="V8">
            <v>1.5568754093051365</v>
          </cell>
          <cell r="W8">
            <v>1.4932890199207645</v>
          </cell>
          <cell r="X8">
            <v>1.3673448787727962</v>
          </cell>
          <cell r="Y8">
            <v>1.2853309679220017</v>
          </cell>
          <cell r="Z8">
            <v>1.2020794868504054</v>
          </cell>
        </row>
        <row r="9">
          <cell r="B9" t="str">
            <v xml:space="preserve">  Interest Income</v>
          </cell>
          <cell r="C9">
            <v>3111.239</v>
          </cell>
          <cell r="D9">
            <v>2959.779</v>
          </cell>
          <cell r="E9">
            <v>2599.154</v>
          </cell>
          <cell r="F9">
            <v>2831.2449999999999</v>
          </cell>
          <cell r="G9">
            <v>3359.31</v>
          </cell>
          <cell r="H9">
            <v>3266.5879999999997</v>
          </cell>
          <cell r="I9">
            <v>3609.8820000000001</v>
          </cell>
          <cell r="J9">
            <v>4078.7869999999998</v>
          </cell>
          <cell r="K9">
            <v>4788.2914624435434</v>
          </cell>
          <cell r="L9">
            <v>5158.4657635521817</v>
          </cell>
          <cell r="M9">
            <v>5676.5189149493581</v>
          </cell>
          <cell r="O9" t="str">
            <v>ROAA (%)</v>
          </cell>
          <cell r="P9">
            <v>-0.91066181346477848</v>
          </cell>
          <cell r="Q9">
            <v>0.48101006795323614</v>
          </cell>
          <cell r="R9">
            <v>0.22451613115945976</v>
          </cell>
          <cell r="S9">
            <v>-0.34188071471153847</v>
          </cell>
          <cell r="T9">
            <v>0.85745426182357098</v>
          </cell>
          <cell r="U9">
            <v>3.0874113818980442</v>
          </cell>
          <cell r="V9">
            <v>1.5338648722701225</v>
          </cell>
          <cell r="W9">
            <v>1.3082044746523063</v>
          </cell>
          <cell r="X9">
            <v>1.251713008399344</v>
          </cell>
          <cell r="Y9">
            <v>1.2017417618017612</v>
          </cell>
          <cell r="Z9">
            <v>1.1749769273126944</v>
          </cell>
        </row>
        <row r="10">
          <cell r="B10" t="str">
            <v xml:space="preserve">  Interest Expense</v>
          </cell>
          <cell r="C10">
            <v>2477.04</v>
          </cell>
          <cell r="D10">
            <v>1992.309</v>
          </cell>
          <cell r="E10">
            <v>1662.325</v>
          </cell>
          <cell r="F10">
            <v>1642.17</v>
          </cell>
          <cell r="G10">
            <v>1640.1219999999998</v>
          </cell>
          <cell r="H10">
            <v>1495.93</v>
          </cell>
          <cell r="I10">
            <v>1669.625</v>
          </cell>
          <cell r="J10">
            <v>2066.5829999999996</v>
          </cell>
          <cell r="K10">
            <v>2594.1063408462878</v>
          </cell>
          <cell r="L10">
            <v>2836.5251686426323</v>
          </cell>
          <cell r="M10">
            <v>3175.0606901004385</v>
          </cell>
          <cell r="O10" t="str">
            <v>ROAE (Reported, %)</v>
          </cell>
          <cell r="Q10">
            <v>14.414239945438242</v>
          </cell>
          <cell r="R10">
            <v>6.4194049483209126</v>
          </cell>
          <cell r="S10">
            <v>-8.913414810808213</v>
          </cell>
          <cell r="T10">
            <v>17.753594726566831</v>
          </cell>
          <cell r="U10">
            <v>44.935687527010096</v>
          </cell>
          <cell r="V10">
            <v>16.71813750047561</v>
          </cell>
          <cell r="W10">
            <v>14.749772140583046</v>
          </cell>
          <cell r="X10">
            <v>15.025195637855997</v>
          </cell>
          <cell r="Y10">
            <v>14.787836583571535</v>
          </cell>
          <cell r="Z10">
            <v>14.760788744948862</v>
          </cell>
        </row>
        <row r="11">
          <cell r="B11" t="str">
            <v>Net Interest Income (NII)</v>
          </cell>
          <cell r="C11">
            <v>634.19900000000007</v>
          </cell>
          <cell r="D11">
            <v>967.47</v>
          </cell>
          <cell r="E11">
            <v>936.82899999999995</v>
          </cell>
          <cell r="F11">
            <v>1189.0749999999998</v>
          </cell>
          <cell r="G11">
            <v>1719.1880000000001</v>
          </cell>
          <cell r="H11">
            <v>1770.6579999999997</v>
          </cell>
          <cell r="I11">
            <v>1940.2570000000001</v>
          </cell>
          <cell r="J11">
            <v>2012.2040000000002</v>
          </cell>
          <cell r="K11">
            <v>2194.1851215972556</v>
          </cell>
          <cell r="L11">
            <v>2321.9405949095494</v>
          </cell>
          <cell r="M11">
            <v>2501.4582248489196</v>
          </cell>
          <cell r="O11" t="str">
            <v>ROAE (ModelWare, %)</v>
          </cell>
          <cell r="T11">
            <v>18.064650838069586</v>
          </cell>
          <cell r="U11">
            <v>45.393143333474221</v>
          </cell>
          <cell r="V11">
            <v>17.125752991392908</v>
          </cell>
          <cell r="W11">
            <v>15.207179390518654</v>
          </cell>
          <cell r="X11">
            <v>15.44281068225439</v>
          </cell>
          <cell r="Y11">
            <v>15.116290010729566</v>
          </cell>
          <cell r="Z11">
            <v>15.031798864181194</v>
          </cell>
        </row>
        <row r="12">
          <cell r="B12" t="str">
            <v>Loan Loss Prov Exp (LLPE)</v>
          </cell>
          <cell r="C12">
            <v>1169.6400000000001</v>
          </cell>
          <cell r="D12">
            <v>931.84600000000012</v>
          </cell>
          <cell r="E12">
            <v>518.70100000000002</v>
          </cell>
          <cell r="F12">
            <v>849.34999999999991</v>
          </cell>
          <cell r="G12">
            <v>814.35199999999998</v>
          </cell>
          <cell r="H12">
            <v>162.88460000000001</v>
          </cell>
          <cell r="I12">
            <v>246.06132583857186</v>
          </cell>
          <cell r="J12">
            <v>364.06299999999999</v>
          </cell>
          <cell r="K12">
            <v>350.56392236240004</v>
          </cell>
          <cell r="L12">
            <v>427.2330230767999</v>
          </cell>
          <cell r="M12">
            <v>509.98397544685997</v>
          </cell>
        </row>
        <row r="13">
          <cell r="B13" t="str">
            <v>NII After LLPE</v>
          </cell>
          <cell r="C13">
            <v>-535.44100000000003</v>
          </cell>
          <cell r="D13">
            <v>35.62399999999991</v>
          </cell>
          <cell r="E13">
            <v>418.12799999999993</v>
          </cell>
          <cell r="F13">
            <v>339.72499999999991</v>
          </cell>
          <cell r="G13">
            <v>904.83600000000013</v>
          </cell>
          <cell r="H13">
            <v>1607.7733999999996</v>
          </cell>
          <cell r="I13">
            <v>1694.1956741614281</v>
          </cell>
          <cell r="J13">
            <v>1648.1410000000001</v>
          </cell>
          <cell r="K13">
            <v>1843.6211992348556</v>
          </cell>
          <cell r="L13">
            <v>1894.7075718327496</v>
          </cell>
          <cell r="M13">
            <v>1991.4742494020597</v>
          </cell>
          <cell r="O13" t="str">
            <v>MW EPS Growth (%)</v>
          </cell>
          <cell r="Q13" t="e">
            <v>#DIV/0!</v>
          </cell>
          <cell r="R13" t="e">
            <v>#DIV/0!</v>
          </cell>
          <cell r="S13">
            <v>-162.10772695683815</v>
          </cell>
          <cell r="T13">
            <v>-345.86801650534034</v>
          </cell>
          <cell r="U13">
            <v>266.88942685998438</v>
          </cell>
          <cell r="V13">
            <v>-47.115641231051541</v>
          </cell>
          <cell r="W13">
            <v>-3.8764198392573168</v>
          </cell>
          <cell r="X13">
            <v>8.4407462584529025</v>
          </cell>
          <cell r="Y13">
            <v>5.4556057905387201</v>
          </cell>
          <cell r="Z13">
            <v>6.0654393286062591</v>
          </cell>
        </row>
        <row r="14">
          <cell r="O14" t="str">
            <v>Current P/MW EPS</v>
          </cell>
          <cell r="P14" t="e">
            <v>#DIV/0!</v>
          </cell>
          <cell r="Q14" t="e">
            <v>#DIV/0!</v>
          </cell>
          <cell r="R14">
            <v>28.549325690683752</v>
          </cell>
          <cell r="S14">
            <v>-45.96742964128142</v>
          </cell>
          <cell r="T14">
            <v>18.695977742303459</v>
          </cell>
          <cell r="U14">
            <v>5.0958071761055104</v>
          </cell>
          <cell r="V14">
            <v>9.6357548710556742</v>
          </cell>
          <cell r="W14">
            <v>10.024340390716077</v>
          </cell>
          <cell r="X14">
            <v>9.2440717503220657</v>
          </cell>
          <cell r="Y14">
            <v>8.7658419683094984</v>
          </cell>
          <cell r="Z14">
            <v>8.2645600902586533</v>
          </cell>
        </row>
        <row r="15">
          <cell r="B15" t="str">
            <v>Non-interest Income</v>
          </cell>
        </row>
        <row r="16">
          <cell r="B16" t="str">
            <v>Fees and Commissions</v>
          </cell>
          <cell r="C16">
            <v>300.05799999999999</v>
          </cell>
          <cell r="D16">
            <v>288.27000000000004</v>
          </cell>
          <cell r="E16">
            <v>308.07400000000007</v>
          </cell>
          <cell r="F16">
            <v>346.94299999999998</v>
          </cell>
          <cell r="G16">
            <v>266.459</v>
          </cell>
          <cell r="H16">
            <v>228.35299999999995</v>
          </cell>
          <cell r="I16">
            <v>272.14499999999998</v>
          </cell>
          <cell r="J16">
            <v>363.66500000000008</v>
          </cell>
          <cell r="K16">
            <v>336.3796280184452</v>
          </cell>
          <cell r="L16">
            <v>382.77942428588051</v>
          </cell>
          <cell r="M16">
            <v>418.12875868838552</v>
          </cell>
          <cell r="O16" t="str">
            <v>Gross Dividends</v>
          </cell>
          <cell r="P16">
            <v>0</v>
          </cell>
          <cell r="Q16">
            <v>0</v>
          </cell>
          <cell r="R16">
            <v>0</v>
          </cell>
          <cell r="S16">
            <v>0</v>
          </cell>
          <cell r="T16">
            <v>0</v>
          </cell>
          <cell r="U16">
            <v>0</v>
          </cell>
          <cell r="V16">
            <v>644.90682600000002</v>
          </cell>
          <cell r="W16">
            <v>451.43477819999998</v>
          </cell>
          <cell r="X16">
            <v>644.90682600000002</v>
          </cell>
          <cell r="Y16">
            <v>644.90682600000002</v>
          </cell>
          <cell r="Z16">
            <v>644.90682600000002</v>
          </cell>
        </row>
        <row r="17">
          <cell r="B17" t="str">
            <v>Dividend Income</v>
          </cell>
          <cell r="C17">
            <v>25.46</v>
          </cell>
          <cell r="D17">
            <v>3.754</v>
          </cell>
          <cell r="E17">
            <v>50.933999999999997</v>
          </cell>
          <cell r="F17">
            <v>11.128</v>
          </cell>
          <cell r="G17">
            <v>5.4390000000000001</v>
          </cell>
          <cell r="H17">
            <v>9.3149999999999995</v>
          </cell>
          <cell r="I17">
            <v>3.891</v>
          </cell>
          <cell r="J17">
            <v>7.1130000000000004</v>
          </cell>
          <cell r="K17">
            <v>7.7253544957749467</v>
          </cell>
          <cell r="L17">
            <v>8.2536132997818683</v>
          </cell>
          <cell r="M17">
            <v>8.8948642476165141</v>
          </cell>
          <cell r="O17" t="str">
            <v>Gross DPS (Won)</v>
          </cell>
          <cell r="P17">
            <v>0</v>
          </cell>
          <cell r="Q17">
            <v>0</v>
          </cell>
          <cell r="R17">
            <v>0</v>
          </cell>
          <cell r="S17">
            <v>0</v>
          </cell>
          <cell r="T17">
            <v>0</v>
          </cell>
          <cell r="U17">
            <v>0</v>
          </cell>
          <cell r="V17">
            <v>1000</v>
          </cell>
          <cell r="W17">
            <v>700</v>
          </cell>
          <cell r="X17">
            <v>1000</v>
          </cell>
          <cell r="Y17">
            <v>1000</v>
          </cell>
          <cell r="Z17">
            <v>1000</v>
          </cell>
        </row>
        <row r="18">
          <cell r="B18" t="str">
            <v>Forex Income</v>
          </cell>
          <cell r="C18">
            <v>213.63</v>
          </cell>
          <cell r="D18">
            <v>227.596</v>
          </cell>
          <cell r="E18">
            <v>207.27100000000019</v>
          </cell>
          <cell r="F18">
            <v>247.04000000000019</v>
          </cell>
          <cell r="G18">
            <v>282.65700000000015</v>
          </cell>
          <cell r="H18">
            <v>244.29699999999957</v>
          </cell>
          <cell r="I18">
            <v>286.25700000000006</v>
          </cell>
          <cell r="J18">
            <v>314.47500000000036</v>
          </cell>
          <cell r="K18">
            <v>363.23129083726963</v>
          </cell>
          <cell r="L18">
            <v>390.64922521676272</v>
          </cell>
          <cell r="M18">
            <v>415.63567083762064</v>
          </cell>
          <cell r="O18" t="str">
            <v>Dividend Yield (Current Price, %)</v>
          </cell>
          <cell r="P18">
            <v>0</v>
          </cell>
          <cell r="Q18">
            <v>0</v>
          </cell>
          <cell r="R18">
            <v>0</v>
          </cell>
          <cell r="S18">
            <v>0</v>
          </cell>
          <cell r="T18">
            <v>0</v>
          </cell>
          <cell r="U18">
            <v>0</v>
          </cell>
          <cell r="V18">
            <v>6.4935064935064926</v>
          </cell>
          <cell r="W18">
            <v>4.5454545454545459</v>
          </cell>
          <cell r="X18">
            <v>6.4935064935064926</v>
          </cell>
          <cell r="Y18">
            <v>6.4935064935064926</v>
          </cell>
          <cell r="Z18">
            <v>6.4935064935064926</v>
          </cell>
        </row>
        <row r="19">
          <cell r="B19" t="str">
            <v>Other trading income</v>
          </cell>
          <cell r="C19">
            <v>17.533999999999999</v>
          </cell>
          <cell r="D19">
            <v>36.623999999999995</v>
          </cell>
          <cell r="E19">
            <v>46.17</v>
          </cell>
          <cell r="F19">
            <v>18.995000000000001</v>
          </cell>
          <cell r="G19">
            <v>23.856999999999996</v>
          </cell>
          <cell r="H19">
            <v>34.296999999999997</v>
          </cell>
          <cell r="I19">
            <v>25.743999999999993</v>
          </cell>
          <cell r="J19">
            <v>23.488</v>
          </cell>
          <cell r="K19">
            <v>7.8047569760000037</v>
          </cell>
          <cell r="L19">
            <v>0</v>
          </cell>
          <cell r="M19">
            <v>0</v>
          </cell>
          <cell r="O19" t="str">
            <v>Dividend Payout Ratio (%)</v>
          </cell>
          <cell r="P19">
            <v>0</v>
          </cell>
          <cell r="Q19">
            <v>0</v>
          </cell>
          <cell r="R19">
            <v>0</v>
          </cell>
          <cell r="S19">
            <v>0</v>
          </cell>
          <cell r="T19">
            <v>0</v>
          </cell>
          <cell r="U19">
            <v>0</v>
          </cell>
          <cell r="V19">
            <v>64.095391615654336</v>
          </cell>
          <cell r="W19">
            <v>46.978211885175519</v>
          </cell>
          <cell r="X19">
            <v>61.694833812592698</v>
          </cell>
          <cell r="Y19">
            <v>58.185328258751831</v>
          </cell>
          <cell r="Z19">
            <v>54.104776421922594</v>
          </cell>
        </row>
        <row r="20">
          <cell r="B20" t="str">
            <v>Other Income</v>
          </cell>
          <cell r="C20">
            <v>-69.750999999999891</v>
          </cell>
          <cell r="D20">
            <v>19.853999999999957</v>
          </cell>
          <cell r="E20">
            <v>44.792000000000193</v>
          </cell>
          <cell r="F20">
            <v>-81.884999999999906</v>
          </cell>
          <cell r="G20">
            <v>-128.6449999999999</v>
          </cell>
          <cell r="H20">
            <v>-89.99339999999988</v>
          </cell>
          <cell r="I20">
            <v>345.64955525057127</v>
          </cell>
          <cell r="J20">
            <v>204.27499999999935</v>
          </cell>
          <cell r="K20">
            <v>27.75348673244476</v>
          </cell>
          <cell r="L20">
            <v>14.03765699995688</v>
          </cell>
          <cell r="M20">
            <v>15.442879168910792</v>
          </cell>
        </row>
        <row r="21">
          <cell r="B21" t="str">
            <v>Total Non-interest Income</v>
          </cell>
          <cell r="C21">
            <v>486.93100000000004</v>
          </cell>
          <cell r="D21">
            <v>576.09800000000007</v>
          </cell>
          <cell r="E21">
            <v>657.24100000000033</v>
          </cell>
          <cell r="F21">
            <v>542.22100000000023</v>
          </cell>
          <cell r="G21">
            <v>449.76700000000028</v>
          </cell>
          <cell r="H21">
            <v>426.26859999999959</v>
          </cell>
          <cell r="I21">
            <v>933.68655525057147</v>
          </cell>
          <cell r="J21">
            <v>913.01599999999985</v>
          </cell>
          <cell r="K21">
            <v>742.89451705993463</v>
          </cell>
          <cell r="L21">
            <v>795.71991980238204</v>
          </cell>
          <cell r="M21">
            <v>858.10217294253357</v>
          </cell>
          <cell r="O21" t="str">
            <v>Issued Shares (m)</v>
          </cell>
          <cell r="P21">
            <v>222.17493099999999</v>
          </cell>
          <cell r="Q21">
            <v>222.17493099999999</v>
          </cell>
          <cell r="R21">
            <v>222.17493099999999</v>
          </cell>
          <cell r="S21">
            <v>612.92493100000002</v>
          </cell>
          <cell r="T21">
            <v>644.90682600000002</v>
          </cell>
          <cell r="U21">
            <v>644.90682600000002</v>
          </cell>
          <cell r="V21">
            <v>644.90682600000002</v>
          </cell>
          <cell r="W21">
            <v>644.90682600000002</v>
          </cell>
          <cell r="X21">
            <v>644.90682600000002</v>
          </cell>
          <cell r="Y21">
            <v>644.90682600000002</v>
          </cell>
          <cell r="Z21">
            <v>644.90682600000002</v>
          </cell>
        </row>
        <row r="22">
          <cell r="O22" t="str">
            <v>Market Cap (Wonbn)</v>
          </cell>
          <cell r="P22">
            <v>3421.4939373999996</v>
          </cell>
          <cell r="Q22">
            <v>3421.4939373999996</v>
          </cell>
          <cell r="R22">
            <v>3421.4939373999996</v>
          </cell>
          <cell r="S22">
            <v>9439.0439373999998</v>
          </cell>
          <cell r="T22">
            <v>9931.5651204000005</v>
          </cell>
          <cell r="U22">
            <v>9931.5651204000005</v>
          </cell>
          <cell r="V22">
            <v>9931.5651204000005</v>
          </cell>
          <cell r="W22">
            <v>9931.5651204000005</v>
          </cell>
          <cell r="X22">
            <v>9931.5651204000005</v>
          </cell>
          <cell r="Y22">
            <v>9931.5651204000005</v>
          </cell>
          <cell r="Z22">
            <v>9931.5651204000005</v>
          </cell>
        </row>
        <row r="23">
          <cell r="B23" t="str">
            <v>Non-interest Expense</v>
          </cell>
          <cell r="O23" t="str">
            <v>Market Cap (US$mn)</v>
          </cell>
          <cell r="P23">
            <v>3601.5725656842101</v>
          </cell>
          <cell r="Q23">
            <v>3601.5725656842101</v>
          </cell>
          <cell r="R23">
            <v>3601.5725656842101</v>
          </cell>
          <cell r="S23">
            <v>9935.8357235789463</v>
          </cell>
          <cell r="T23">
            <v>10454.279074105263</v>
          </cell>
          <cell r="U23">
            <v>10454.279074105263</v>
          </cell>
          <cell r="V23">
            <v>10454.279074105263</v>
          </cell>
          <cell r="W23">
            <v>10454.279074105263</v>
          </cell>
          <cell r="X23">
            <v>10454.279074105263</v>
          </cell>
          <cell r="Y23">
            <v>10454.279074105263</v>
          </cell>
          <cell r="Z23">
            <v>10454.279074105263</v>
          </cell>
        </row>
        <row r="24">
          <cell r="B24" t="str">
            <v>Salaries &amp; Benefits</v>
          </cell>
          <cell r="C24">
            <v>330.74399999999997</v>
          </cell>
          <cell r="D24">
            <v>296.346</v>
          </cell>
          <cell r="E24">
            <v>376.01400000000001</v>
          </cell>
          <cell r="F24">
            <v>442.40499999999997</v>
          </cell>
          <cell r="G24">
            <v>555.26600000000008</v>
          </cell>
          <cell r="H24">
            <v>665.81100000000004</v>
          </cell>
          <cell r="I24">
            <v>692.58600000000001</v>
          </cell>
          <cell r="J24">
            <v>701.49199999999996</v>
          </cell>
          <cell r="K24">
            <v>727.13532962544184</v>
          </cell>
          <cell r="L24">
            <v>752.58506616233217</v>
          </cell>
          <cell r="M24">
            <v>789.27358813774583</v>
          </cell>
        </row>
        <row r="25">
          <cell r="B25" t="str">
            <v>Net Occupancy &amp; Equipment</v>
          </cell>
          <cell r="C25">
            <v>23.614999999999998</v>
          </cell>
          <cell r="D25">
            <v>25.864999999999998</v>
          </cell>
          <cell r="E25">
            <v>26.241</v>
          </cell>
          <cell r="F25">
            <v>29.361000000000001</v>
          </cell>
          <cell r="G25">
            <v>34.643000000000001</v>
          </cell>
          <cell r="H25">
            <v>35.158999999999999</v>
          </cell>
          <cell r="I25">
            <v>36.457999999999998</v>
          </cell>
          <cell r="J25">
            <v>47.923000000000002</v>
          </cell>
          <cell r="K25">
            <v>60.657370346506099</v>
          </cell>
          <cell r="L25">
            <v>64.377390966839414</v>
          </cell>
          <cell r="M25">
            <v>68.638005840010834</v>
          </cell>
          <cell r="O25" t="str">
            <v>PERFORMANCE RATIOS</v>
          </cell>
        </row>
        <row r="26">
          <cell r="B26" t="str">
            <v>Other Expenses</v>
          </cell>
          <cell r="C26">
            <v>178.61800000000002</v>
          </cell>
          <cell r="D26">
            <v>180.05699999999999</v>
          </cell>
          <cell r="E26">
            <v>201.26600000000002</v>
          </cell>
          <cell r="F26">
            <v>229.78499999999997</v>
          </cell>
          <cell r="G26">
            <v>311.34099999999995</v>
          </cell>
          <cell r="H26">
            <v>354.70499999999998</v>
          </cell>
          <cell r="I26">
            <v>382.24900000000002</v>
          </cell>
          <cell r="J26">
            <v>400.09599999999995</v>
          </cell>
          <cell r="K26">
            <v>420.01546579579383</v>
          </cell>
          <cell r="L26">
            <v>434.28580151384733</v>
          </cell>
          <cell r="M26">
            <v>455.89147191915924</v>
          </cell>
          <cell r="O26" t="str">
            <v>Won billions, Year ending Dec 31</v>
          </cell>
          <cell r="P26">
            <v>2000</v>
          </cell>
          <cell r="Q26">
            <v>2001</v>
          </cell>
          <cell r="R26">
            <v>2002</v>
          </cell>
          <cell r="S26">
            <v>2003</v>
          </cell>
          <cell r="T26">
            <v>2004</v>
          </cell>
          <cell r="U26">
            <v>2005</v>
          </cell>
          <cell r="V26">
            <v>2006</v>
          </cell>
          <cell r="W26">
            <v>2007</v>
          </cell>
          <cell r="X26" t="str">
            <v>2008E</v>
          </cell>
          <cell r="Y26" t="str">
            <v>2009E</v>
          </cell>
          <cell r="Z26" t="str">
            <v>2010E</v>
          </cell>
        </row>
        <row r="27">
          <cell r="B27" t="str">
            <v>Total Non-interest Expense</v>
          </cell>
          <cell r="C27">
            <v>532.97699999999998</v>
          </cell>
          <cell r="D27">
            <v>502.26800000000003</v>
          </cell>
          <cell r="E27">
            <v>603.52099999999996</v>
          </cell>
          <cell r="F27">
            <v>701.55099999999993</v>
          </cell>
          <cell r="G27">
            <v>901.25</v>
          </cell>
          <cell r="H27">
            <v>1055.675</v>
          </cell>
          <cell r="I27">
            <v>1111.2930000000001</v>
          </cell>
          <cell r="J27">
            <v>1149.511</v>
          </cell>
          <cell r="K27">
            <v>1207.8081657677417</v>
          </cell>
          <cell r="L27">
            <v>1251.2482586430187</v>
          </cell>
          <cell r="M27">
            <v>1313.803065896916</v>
          </cell>
          <cell r="O27" t="str">
            <v>Growth (%)</v>
          </cell>
        </row>
        <row r="28">
          <cell r="O28" t="str">
            <v>Net Interest Income</v>
          </cell>
          <cell r="P28">
            <v>-19.021230465532881</v>
          </cell>
          <cell r="Q28">
            <v>52.54990941329141</v>
          </cell>
          <cell r="R28">
            <v>-3.1671266292494948</v>
          </cell>
          <cell r="S28">
            <v>26.92551148608764</v>
          </cell>
          <cell r="T28">
            <v>44.58196497277298</v>
          </cell>
          <cell r="U28">
            <v>2.9938552386358896</v>
          </cell>
          <cell r="V28">
            <v>9.5783036588658277</v>
          </cell>
          <cell r="W28">
            <v>3.7081170174878997</v>
          </cell>
          <cell r="X28">
            <v>9.0438703827870004</v>
          </cell>
          <cell r="Y28">
            <v>5.8224564579717031</v>
          </cell>
          <cell r="Z28">
            <v>7.7313618760502134</v>
          </cell>
        </row>
        <row r="29">
          <cell r="B29" t="str">
            <v>Pre-tax Operating Profit</v>
          </cell>
          <cell r="C29">
            <v>-581.48699999999997</v>
          </cell>
          <cell r="D29">
            <v>109.45399999999995</v>
          </cell>
          <cell r="E29">
            <v>471.84800000000018</v>
          </cell>
          <cell r="F29">
            <v>180.39500000000021</v>
          </cell>
          <cell r="G29">
            <v>453.35300000000052</v>
          </cell>
          <cell r="H29">
            <v>978.36699999999928</v>
          </cell>
          <cell r="I29">
            <v>1516.5892294119994</v>
          </cell>
          <cell r="J29">
            <v>1411.6460000000002</v>
          </cell>
          <cell r="K29">
            <v>1378.7075505270486</v>
          </cell>
          <cell r="L29">
            <v>1439.1792329921127</v>
          </cell>
          <cell r="M29">
            <v>1535.7733564476771</v>
          </cell>
          <cell r="O29" t="str">
            <v>Non-interest Income</v>
          </cell>
          <cell r="P29">
            <v>0.99893179013306188</v>
          </cell>
          <cell r="Q29">
            <v>18.312040104244765</v>
          </cell>
          <cell r="R29">
            <v>14.084929994549578</v>
          </cell>
          <cell r="S29">
            <v>-17.500429827110608</v>
          </cell>
          <cell r="T29">
            <v>-17.05098105753925</v>
          </cell>
          <cell r="U29">
            <v>-5.2245718338607912</v>
          </cell>
          <cell r="V29">
            <v>119.03714119467685</v>
          </cell>
          <cell r="W29">
            <v>-2.2138645067052876</v>
          </cell>
          <cell r="X29">
            <v>-18.63291365540859</v>
          </cell>
          <cell r="Y29">
            <v>7.1107541554497278</v>
          </cell>
          <cell r="Z29">
            <v>7.8397249569476912</v>
          </cell>
        </row>
        <row r="30">
          <cell r="B30" t="str">
            <v>Associate Profit/Loss</v>
          </cell>
          <cell r="C30">
            <v>188.476</v>
          </cell>
          <cell r="D30">
            <v>31.629000000000005</v>
          </cell>
          <cell r="E30">
            <v>-446.303</v>
          </cell>
          <cell r="F30">
            <v>-387.858</v>
          </cell>
          <cell r="G30">
            <v>78.16500000000002</v>
          </cell>
          <cell r="H30">
            <v>656.75900000000001</v>
          </cell>
          <cell r="I30">
            <v>77.203999999999922</v>
          </cell>
          <cell r="J30">
            <v>104.94300000000001</v>
          </cell>
          <cell r="K30">
            <v>71.022365429628763</v>
          </cell>
          <cell r="L30">
            <v>89.602477400537282</v>
          </cell>
          <cell r="M30">
            <v>91.867395856376376</v>
          </cell>
          <cell r="O30" t="str">
            <v>Non-interest Expense</v>
          </cell>
          <cell r="P30">
            <v>-0.18465698934195807</v>
          </cell>
          <cell r="Q30">
            <v>-5.7617870940021687</v>
          </cell>
          <cell r="R30">
            <v>20.159158059044159</v>
          </cell>
          <cell r="S30">
            <v>16.24301391335181</v>
          </cell>
          <cell r="T30">
            <v>28.465357472229403</v>
          </cell>
          <cell r="U30">
            <v>17.134535367545077</v>
          </cell>
          <cell r="V30">
            <v>5.2684775143865492</v>
          </cell>
          <cell r="W30">
            <v>3.4390570263647779</v>
          </cell>
          <cell r="X30">
            <v>5.0714752418847375</v>
          </cell>
          <cell r="Y30">
            <v>3.5966053307533663</v>
          </cell>
          <cell r="Z30">
            <v>4.9993921527401897</v>
          </cell>
        </row>
        <row r="31">
          <cell r="O31" t="str">
            <v>Recurrent Net Profit After Tax (FD)</v>
          </cell>
          <cell r="P31">
            <v>-27.359481325597923</v>
          </cell>
          <cell r="Q31" t="str">
            <v>NM</v>
          </cell>
          <cell r="R31">
            <v>1108.9476323263045</v>
          </cell>
          <cell r="S31">
            <v>-91.092826962034252</v>
          </cell>
          <cell r="T31">
            <v>139.50726165169326</v>
          </cell>
          <cell r="U31">
            <v>159.24575507574684</v>
          </cell>
          <cell r="V31">
            <v>-17.062728308573394</v>
          </cell>
          <cell r="W31">
            <v>-6.5777606027194739</v>
          </cell>
          <cell r="X31">
            <v>11.141638884176185</v>
          </cell>
          <cell r="Y31">
            <v>4.9589946197865054</v>
          </cell>
          <cell r="Z31">
            <v>6.8507188816630427</v>
          </cell>
        </row>
        <row r="32">
          <cell r="B32" t="str">
            <v>Profit Before Tax</v>
          </cell>
          <cell r="C32">
            <v>-393.01099999999997</v>
          </cell>
          <cell r="D32">
            <v>141.08299999999997</v>
          </cell>
          <cell r="E32">
            <v>25.545000000000186</v>
          </cell>
          <cell r="F32">
            <v>-207.46299999999979</v>
          </cell>
          <cell r="G32">
            <v>531.51800000000048</v>
          </cell>
          <cell r="H32">
            <v>1635.1259999999993</v>
          </cell>
          <cell r="I32">
            <v>1593.7932294119994</v>
          </cell>
          <cell r="J32">
            <v>1516.5890000000002</v>
          </cell>
          <cell r="K32">
            <v>1449.7299159566774</v>
          </cell>
          <cell r="L32">
            <v>1528.78171039265</v>
          </cell>
          <cell r="M32">
            <v>1627.6407523040534</v>
          </cell>
          <cell r="O32" t="str">
            <v>Net Profit</v>
          </cell>
          <cell r="P32">
            <v>-49.712064156814492</v>
          </cell>
          <cell r="Q32" t="str">
            <v>NM</v>
          </cell>
          <cell r="R32">
            <v>-49.222860788956858</v>
          </cell>
          <cell r="S32" t="str">
            <v>NM</v>
          </cell>
          <cell r="T32" t="str">
            <v>NM</v>
          </cell>
          <cell r="U32">
            <v>269.5554402021192</v>
          </cell>
          <cell r="V32">
            <v>-47.848797564539367</v>
          </cell>
          <cell r="W32">
            <v>-4.4945043020757751</v>
          </cell>
          <cell r="X32">
            <v>8.7801475702137477</v>
          </cell>
          <cell r="Y32">
            <v>6.0315987876428112</v>
          </cell>
          <cell r="Z32">
            <v>6.4665243729278066</v>
          </cell>
        </row>
        <row r="33">
          <cell r="B33" t="str">
            <v>Effective Tax</v>
          </cell>
          <cell r="C33">
            <v>10.69199999999995</v>
          </cell>
          <cell r="D33">
            <v>-81.464000000000027</v>
          </cell>
          <cell r="E33">
            <v>-87.457999999999998</v>
          </cell>
          <cell r="F33">
            <v>6.3540000000000028</v>
          </cell>
          <cell r="G33">
            <v>9.4510000000000218</v>
          </cell>
          <cell r="H33">
            <v>-294.20099999999996</v>
          </cell>
          <cell r="I33">
            <v>587.62600000000032</v>
          </cell>
          <cell r="J33">
            <v>555.64400000000001</v>
          </cell>
          <cell r="K33">
            <v>404.41252688808657</v>
          </cell>
          <cell r="L33">
            <v>420.41497035797869</v>
          </cell>
          <cell r="M33">
            <v>447.60120688361474</v>
          </cell>
        </row>
        <row r="34">
          <cell r="B34" t="str">
            <v xml:space="preserve">Minority Interests </v>
          </cell>
          <cell r="C34">
            <v>0</v>
          </cell>
          <cell r="D34">
            <v>0</v>
          </cell>
          <cell r="E34">
            <v>0</v>
          </cell>
          <cell r="F34">
            <v>0</v>
          </cell>
          <cell r="G34">
            <v>0</v>
          </cell>
          <cell r="H34">
            <v>0</v>
          </cell>
          <cell r="I34">
            <v>0</v>
          </cell>
          <cell r="J34">
            <v>0</v>
          </cell>
          <cell r="K34">
            <v>0</v>
          </cell>
          <cell r="L34">
            <v>0</v>
          </cell>
          <cell r="M34">
            <v>0</v>
          </cell>
          <cell r="O34" t="str">
            <v>Gross Customer Loans</v>
          </cell>
          <cell r="P34">
            <v>13.448626783246297</v>
          </cell>
          <cell r="Q34">
            <v>5.7941481376583948</v>
          </cell>
          <cell r="R34">
            <v>17.684877542684795</v>
          </cell>
          <cell r="S34">
            <v>17.756274392575744</v>
          </cell>
          <cell r="T34">
            <v>-0.31568364188870879</v>
          </cell>
          <cell r="U34">
            <v>3.2719110218174086</v>
          </cell>
          <cell r="V34">
            <v>10.909531874610678</v>
          </cell>
          <cell r="W34">
            <v>19.097687920258231</v>
          </cell>
          <cell r="X34">
            <v>11.333472398255573</v>
          </cell>
          <cell r="Y34">
            <v>10.339612266927967</v>
          </cell>
          <cell r="Z34">
            <v>9.5663345878443486</v>
          </cell>
        </row>
        <row r="35">
          <cell r="B35" t="str">
            <v>Preference Dividend</v>
          </cell>
          <cell r="C35">
            <v>0</v>
          </cell>
          <cell r="D35">
            <v>0</v>
          </cell>
          <cell r="E35">
            <v>0</v>
          </cell>
          <cell r="F35">
            <v>0</v>
          </cell>
          <cell r="G35">
            <v>0</v>
          </cell>
          <cell r="H35">
            <v>0</v>
          </cell>
          <cell r="I35">
            <v>0</v>
          </cell>
          <cell r="J35">
            <v>0</v>
          </cell>
          <cell r="K35">
            <v>0</v>
          </cell>
          <cell r="L35">
            <v>0</v>
          </cell>
          <cell r="M35">
            <v>0</v>
          </cell>
          <cell r="O35" t="str">
            <v>Total Deposits</v>
          </cell>
          <cell r="P35">
            <v>12.088390396324765</v>
          </cell>
          <cell r="Q35">
            <v>11.744805229395272</v>
          </cell>
          <cell r="R35">
            <v>16.749648408063344</v>
          </cell>
          <cell r="S35">
            <v>8.3814316502333508</v>
          </cell>
          <cell r="T35">
            <v>-9.6353438610853548</v>
          </cell>
          <cell r="U35">
            <v>-1.0224840454303497</v>
          </cell>
          <cell r="V35">
            <v>1.2634286137036987</v>
          </cell>
          <cell r="W35">
            <v>15.435961347716365</v>
          </cell>
          <cell r="X35">
            <v>5.5110926965369789</v>
          </cell>
          <cell r="Y35">
            <v>5.7602407114864418</v>
          </cell>
          <cell r="Z35">
            <v>4.9906026842223339</v>
          </cell>
        </row>
        <row r="36">
          <cell r="B36" t="str">
            <v>Net Profit</v>
          </cell>
          <cell r="C36">
            <v>-403.70299999999992</v>
          </cell>
          <cell r="D36">
            <v>222.547</v>
          </cell>
          <cell r="E36">
            <v>113.00300000000018</v>
          </cell>
          <cell r="F36">
            <v>-213.81699999999981</v>
          </cell>
          <cell r="G36">
            <v>522.06700000000046</v>
          </cell>
          <cell r="H36">
            <v>1929.3269999999993</v>
          </cell>
          <cell r="I36">
            <v>1006.1672294119991</v>
          </cell>
          <cell r="J36">
            <v>960.94500000000016</v>
          </cell>
          <cell r="K36">
            <v>1045.3173890685907</v>
          </cell>
          <cell r="L36">
            <v>1108.3667400346712</v>
          </cell>
          <cell r="M36">
            <v>1180.0395454204386</v>
          </cell>
          <cell r="O36" t="str">
            <v>Avg Earning Assets</v>
          </cell>
          <cell r="P36">
            <v>9.5607706148527214</v>
          </cell>
          <cell r="Q36">
            <v>7.9084730896937794</v>
          </cell>
          <cell r="R36">
            <v>6.4198800518394661</v>
          </cell>
          <cell r="S36">
            <v>15.056618068829764</v>
          </cell>
          <cell r="T36">
            <v>8.0511404553435195</v>
          </cell>
          <cell r="U36">
            <v>-2.5746528657165535</v>
          </cell>
          <cell r="V36">
            <v>3.2362794204582546</v>
          </cell>
          <cell r="W36">
            <v>10.74934785546111</v>
          </cell>
          <cell r="X36">
            <v>15.310071203098463</v>
          </cell>
          <cell r="Y36">
            <v>8.3510348861627559</v>
          </cell>
          <cell r="Z36">
            <v>9.1490179029152685</v>
          </cell>
        </row>
        <row r="37">
          <cell r="B37" t="str">
            <v>EPS - Reported (Won)</v>
          </cell>
          <cell r="D37">
            <v>1001.6746668866977</v>
          </cell>
          <cell r="E37">
            <v>508.62174004681106</v>
          </cell>
          <cell r="F37">
            <v>-348.84696181496952</v>
          </cell>
          <cell r="G37">
            <v>809.52314187476202</v>
          </cell>
          <cell r="H37">
            <v>2991.6368104933026</v>
          </cell>
          <cell r="I37">
            <v>1560.1745691741198</v>
          </cell>
          <cell r="J37">
            <v>1490.0524560426968</v>
          </cell>
          <cell r="K37">
            <v>1620.8812605568401</v>
          </cell>
          <cell r="L37">
            <v>1718.6463150177158</v>
          </cell>
          <cell r="M37">
            <v>1829.7829978627617</v>
          </cell>
          <cell r="O37" t="str">
            <v>Total Interest-bearing Liab</v>
          </cell>
          <cell r="P37" t="e">
            <v>#DIV/0!</v>
          </cell>
          <cell r="Q37" t="e">
            <v>#DIV/0!</v>
          </cell>
          <cell r="R37" t="e">
            <v>#DIV/0!</v>
          </cell>
          <cell r="S37">
            <v>14.011510950011207</v>
          </cell>
          <cell r="T37">
            <v>6.052874003043951</v>
          </cell>
          <cell r="U37">
            <v>-3.5528831625834978</v>
          </cell>
          <cell r="V37">
            <v>-2.1371974215340095</v>
          </cell>
          <cell r="W37">
            <v>10.634975277782498</v>
          </cell>
          <cell r="X37">
            <v>15.49524352248528</v>
          </cell>
          <cell r="Y37">
            <v>10.527607182868582</v>
          </cell>
          <cell r="Z37">
            <v>9.8009460860920115</v>
          </cell>
        </row>
        <row r="38">
          <cell r="B38" t="str">
            <v>EPS - ModelWare (Won)</v>
          </cell>
          <cell r="E38">
            <v>539.41729366397419</v>
          </cell>
          <cell r="F38">
            <v>-335.01981990678689</v>
          </cell>
          <cell r="G38">
            <v>823.7065861045802</v>
          </cell>
          <cell r="H38">
            <v>3022.0923727670379</v>
          </cell>
          <cell r="I38">
            <v>1598.2141727431476</v>
          </cell>
          <cell r="J38">
            <v>1536.26068147711</v>
          </cell>
          <cell r="K38">
            <v>1665.9325474689722</v>
          </cell>
          <cell r="L38">
            <v>1756.8192599951587</v>
          </cell>
          <cell r="M38">
            <v>1863.3780663234345</v>
          </cell>
          <cell r="O38" t="str">
            <v>Risk-weighted Assets</v>
          </cell>
          <cell r="P38" t="e">
            <v>#DIV/0!</v>
          </cell>
          <cell r="Q38" t="e">
            <v>#DIV/0!</v>
          </cell>
          <cell r="R38">
            <v>15.122834520216589</v>
          </cell>
          <cell r="S38">
            <v>1.9168163590650877</v>
          </cell>
          <cell r="T38">
            <v>-5.4836337671249069E-2</v>
          </cell>
          <cell r="U38">
            <v>7.837236120366331</v>
          </cell>
          <cell r="V38">
            <v>11.559078801496314</v>
          </cell>
          <cell r="W38">
            <v>19.566478925163388</v>
          </cell>
          <cell r="X38">
            <v>11.134951677655947</v>
          </cell>
          <cell r="Y38">
            <v>10.3510817812009</v>
          </cell>
          <cell r="Z38">
            <v>6.7873011392924676</v>
          </cell>
        </row>
        <row r="40">
          <cell r="B40" t="str">
            <v>Selective Balance Sheet Data</v>
          </cell>
          <cell r="O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t="str">
            <v>2008E</v>
          </cell>
          <cell r="L41" t="str">
            <v>2009E</v>
          </cell>
          <cell r="M41" t="str">
            <v>2010E</v>
          </cell>
          <cell r="O41" t="str">
            <v>NII/Operating Income</v>
          </cell>
          <cell r="P41">
            <v>56.567837806498801</v>
          </cell>
          <cell r="Q41">
            <v>62.677510806132275</v>
          </cell>
          <cell r="R41">
            <v>58.769627431668617</v>
          </cell>
          <cell r="S41">
            <v>68.681207604014546</v>
          </cell>
          <cell r="T41">
            <v>79.263424091325078</v>
          </cell>
          <cell r="U41">
            <v>80.597048622380015</v>
          </cell>
          <cell r="V41">
            <v>67.512007897832021</v>
          </cell>
          <cell r="W41">
            <v>68.788125337581448</v>
          </cell>
          <cell r="X41">
            <v>74.70635432277281</v>
          </cell>
          <cell r="Y41">
            <v>74.477018390955052</v>
          </cell>
          <cell r="Z41">
            <v>74.457903078431244</v>
          </cell>
        </row>
        <row r="42">
          <cell r="B42" t="str">
            <v>Total Assets</v>
          </cell>
          <cell r="C42">
            <v>45518.736999999994</v>
          </cell>
          <cell r="D42">
            <v>49236.868000000002</v>
          </cell>
          <cell r="E42">
            <v>57521.608</v>
          </cell>
          <cell r="F42">
            <v>62603.330999999998</v>
          </cell>
          <cell r="G42">
            <v>61301.587</v>
          </cell>
          <cell r="H42">
            <v>64950.975999999995</v>
          </cell>
          <cell r="I42">
            <v>69441.466</v>
          </cell>
          <cell r="J42">
            <v>82024.917000000001</v>
          </cell>
          <cell r="K42">
            <v>89639.236733160506</v>
          </cell>
          <cell r="L42">
            <v>98917.867435454245</v>
          </cell>
          <cell r="M42">
            <v>105631.72097886464</v>
          </cell>
          <cell r="O42" t="str">
            <v>Non-interest Inc/Opg Income</v>
          </cell>
          <cell r="P42">
            <v>43.432162193501199</v>
          </cell>
          <cell r="Q42">
            <v>37.32248919386771</v>
          </cell>
          <cell r="R42">
            <v>41.230372568331397</v>
          </cell>
          <cell r="S42">
            <v>31.318792395985444</v>
          </cell>
          <cell r="T42">
            <v>20.736575908674922</v>
          </cell>
          <cell r="U42">
            <v>19.402951377619974</v>
          </cell>
          <cell r="V42">
            <v>32.487992102167986</v>
          </cell>
          <cell r="W42">
            <v>31.211874662418541</v>
          </cell>
          <cell r="X42">
            <v>25.2936456772272</v>
          </cell>
          <cell r="Y42">
            <v>25.522981609044937</v>
          </cell>
          <cell r="Z42">
            <v>25.542096921568746</v>
          </cell>
        </row>
        <row r="43">
          <cell r="B43" t="str">
            <v>RWA</v>
          </cell>
          <cell r="C43">
            <v>0</v>
          </cell>
          <cell r="D43">
            <v>35863.819000000003</v>
          </cell>
          <cell r="E43">
            <v>41287.445</v>
          </cell>
          <cell r="F43">
            <v>42078.849499999997</v>
          </cell>
          <cell r="G43">
            <v>42055.775000000001</v>
          </cell>
          <cell r="H43">
            <v>45351.785388999997</v>
          </cell>
          <cell r="I43">
            <v>50594.034</v>
          </cell>
          <cell r="J43">
            <v>60493.504999999997</v>
          </cell>
          <cell r="K43">
            <v>67229.427549870379</v>
          </cell>
          <cell r="L43">
            <v>74188.400576590677</v>
          </cell>
          <cell r="M43">
            <v>79223.790734148482</v>
          </cell>
          <cell r="O43" t="str">
            <v>Forex Income/Operating Income</v>
          </cell>
          <cell r="P43">
            <v>19.054882127853144</v>
          </cell>
          <cell r="Q43">
            <v>14.744799062950253</v>
          </cell>
          <cell r="R43">
            <v>13.002628491847922</v>
          </cell>
          <cell r="S43">
            <v>14.269079348649807</v>
          </cell>
          <cell r="T43">
            <v>13.03194395457721</v>
          </cell>
          <cell r="U43">
            <v>11.119943652191186</v>
          </cell>
          <cell r="V43">
            <v>9.9604252657301071</v>
          </cell>
          <cell r="W43">
            <v>10.750473468662197</v>
          </cell>
          <cell r="X43">
            <v>12.367090291202867</v>
          </cell>
          <cell r="Y43">
            <v>12.530204086472137</v>
          </cell>
          <cell r="Z43">
            <v>12.371727893651087</v>
          </cell>
        </row>
        <row r="44">
          <cell r="B44" t="str">
            <v>Total Liquid Assets</v>
          </cell>
          <cell r="C44">
            <v>16606.396999999997</v>
          </cell>
          <cell r="D44">
            <v>15954.6</v>
          </cell>
          <cell r="E44">
            <v>15466.677999999998</v>
          </cell>
          <cell r="F44">
            <v>18651.778999999999</v>
          </cell>
          <cell r="G44">
            <v>17873.575999999997</v>
          </cell>
          <cell r="H44">
            <v>19002.956000000002</v>
          </cell>
          <cell r="I44">
            <v>18286.859</v>
          </cell>
          <cell r="J44">
            <v>19457.932000000001</v>
          </cell>
          <cell r="K44">
            <v>19043.650912419842</v>
          </cell>
          <cell r="L44">
            <v>21384.325970443093</v>
          </cell>
          <cell r="M44">
            <v>20975.087018708524</v>
          </cell>
        </row>
        <row r="45">
          <cell r="B45" t="str">
            <v>Gross Customer Loans</v>
          </cell>
          <cell r="C45">
            <v>27490.632999999998</v>
          </cell>
          <cell r="D45">
            <v>29083.481</v>
          </cell>
          <cell r="E45">
            <v>34226.858999999997</v>
          </cell>
          <cell r="F45">
            <v>40304.274000000005</v>
          </cell>
          <cell r="G45">
            <v>40177.040000000001</v>
          </cell>
          <cell r="H45">
            <v>41491.596999999994</v>
          </cell>
          <cell r="I45">
            <v>46018.135999999999</v>
          </cell>
          <cell r="J45">
            <v>54806.536</v>
          </cell>
          <cell r="K45">
            <v>61018.019630000003</v>
          </cell>
          <cell r="L45">
            <v>67327.046272699998</v>
          </cell>
          <cell r="M45">
            <v>73767.776787259267</v>
          </cell>
          <cell r="O45" t="str">
            <v>Efficiency (%)</v>
          </cell>
        </row>
        <row r="46">
          <cell r="B46" t="str">
            <v>Total Customer Deposits</v>
          </cell>
          <cell r="C46">
            <v>21442.289000000001</v>
          </cell>
          <cell r="D46">
            <v>24772.7</v>
          </cell>
          <cell r="E46">
            <v>31516.885999999999</v>
          </cell>
          <cell r="F46">
            <v>31035.050999999999</v>
          </cell>
          <cell r="G46">
            <v>27983.25</v>
          </cell>
          <cell r="H46">
            <v>27493.97</v>
          </cell>
          <cell r="I46">
            <v>26836.47</v>
          </cell>
          <cell r="J46">
            <v>29603.906999999999</v>
          </cell>
          <cell r="K46">
            <v>30195.985140000001</v>
          </cell>
          <cell r="L46">
            <v>31403.8245456</v>
          </cell>
          <cell r="M46">
            <v>32659.977527424002</v>
          </cell>
          <cell r="O46" t="str">
            <v>Cost/Income</v>
          </cell>
          <cell r="P46">
            <v>47.539268416686731</v>
          </cell>
          <cell r="Q46">
            <v>32.539415173157252</v>
          </cell>
          <cell r="R46">
            <v>37.860382542799243</v>
          </cell>
          <cell r="S46">
            <v>37.9</v>
          </cell>
          <cell r="T46">
            <v>41.552268258216507</v>
          </cell>
          <cell r="U46">
            <v>48.052356414638538</v>
          </cell>
          <cell r="V46">
            <v>38.667878426829766</v>
          </cell>
          <cell r="W46">
            <v>39.296565728389652</v>
          </cell>
          <cell r="X46">
            <v>41.122758466295529</v>
          </cell>
          <cell r="Y46">
            <v>40.134204886596919</v>
          </cell>
          <cell r="Z46">
            <v>39.106398169254497</v>
          </cell>
        </row>
        <row r="47">
          <cell r="B47" t="str">
            <v>Certificates of Deposits</v>
          </cell>
          <cell r="C47">
            <v>62.791999999997643</v>
          </cell>
          <cell r="D47">
            <v>566.82499999999709</v>
          </cell>
          <cell r="E47">
            <v>367.52400000000489</v>
          </cell>
          <cell r="F47">
            <v>2184.1050000000032</v>
          </cell>
          <cell r="G47">
            <v>3327.7129999999961</v>
          </cell>
          <cell r="H47">
            <v>2987.2459999999992</v>
          </cell>
          <cell r="I47">
            <v>3971.6579999999958</v>
          </cell>
          <cell r="J47">
            <v>5571.4760000000024</v>
          </cell>
          <cell r="K47">
            <v>7242.9188000000031</v>
          </cell>
          <cell r="L47">
            <v>8546.6441840000025</v>
          </cell>
          <cell r="M47">
            <v>9572.2414860800036</v>
          </cell>
          <cell r="O47" t="str">
            <v>Expenses/Avg Assets</v>
          </cell>
          <cell r="P47">
            <v>1.2165157423987281</v>
          </cell>
          <cell r="Q47">
            <v>1.0601335931526161</v>
          </cell>
          <cell r="R47">
            <v>1.1306287287203314</v>
          </cell>
          <cell r="S47">
            <v>1.1680355567131651</v>
          </cell>
          <cell r="T47">
            <v>1.4547445162749715</v>
          </cell>
          <cell r="U47">
            <v>1.672322485841337</v>
          </cell>
          <cell r="V47">
            <v>1.6538028232272173</v>
          </cell>
          <cell r="W47">
            <v>1.5178430714886746</v>
          </cell>
          <cell r="X47">
            <v>1.4071757434521734</v>
          </cell>
          <cell r="Y47">
            <v>1.3271823028466816</v>
          </cell>
          <cell r="Z47">
            <v>1.2845814807857585</v>
          </cell>
        </row>
        <row r="48">
          <cell r="B48" t="str">
            <v>Other Interest Bearing Liability</v>
          </cell>
          <cell r="C48">
            <v>9181.3920000000035</v>
          </cell>
          <cell r="D48">
            <v>8357.7680000000037</v>
          </cell>
          <cell r="E48">
            <v>9534.3839999999982</v>
          </cell>
          <cell r="F48">
            <v>10342.241000000002</v>
          </cell>
          <cell r="G48">
            <v>12714.219000000005</v>
          </cell>
          <cell r="H48">
            <v>12671.106</v>
          </cell>
          <cell r="I48">
            <v>13874.025999999998</v>
          </cell>
          <cell r="J48">
            <v>17405.954000000005</v>
          </cell>
          <cell r="K48">
            <v>19560.109398707296</v>
          </cell>
          <cell r="L48">
            <v>24988.28810153294</v>
          </cell>
          <cell r="M48">
            <v>27950.067377516527</v>
          </cell>
        </row>
        <row r="49">
          <cell r="B49" t="str">
            <v>EOP Shareholders' Equity</v>
          </cell>
          <cell r="C49">
            <v>1412.989</v>
          </cell>
          <cell r="D49">
            <v>1674.8879999999999</v>
          </cell>
          <cell r="E49">
            <v>1845.7809999999999</v>
          </cell>
          <cell r="F49">
            <v>2951.8639999999996</v>
          </cell>
          <cell r="G49">
            <v>2929.3900000000003</v>
          </cell>
          <cell r="H49">
            <v>5657.6689999999999</v>
          </cell>
          <cell r="I49">
            <v>6379.165</v>
          </cell>
          <cell r="J49">
            <v>6650.799</v>
          </cell>
          <cell r="K49">
            <v>7263.3943890685905</v>
          </cell>
          <cell r="L49">
            <v>7726.8543031032614</v>
          </cell>
          <cell r="M49">
            <v>8261.9870225237009</v>
          </cell>
          <cell r="O49" t="str">
            <v>Rev Per Employee</v>
          </cell>
          <cell r="P49">
            <v>5.6577008477997584E-2</v>
          </cell>
          <cell r="Q49">
            <v>8.0669366850453381E-2</v>
          </cell>
          <cell r="R49">
            <v>0.1320195453227877</v>
          </cell>
          <cell r="S49">
            <v>0.32132442464736455</v>
          </cell>
          <cell r="T49">
            <v>0.40746853278226569</v>
          </cell>
          <cell r="U49">
            <v>0.41451445283018856</v>
          </cell>
          <cell r="V49">
            <v>0.53015007475568554</v>
          </cell>
          <cell r="W49">
            <v>0.52105806911293195</v>
          </cell>
          <cell r="X49">
            <v>0.51401463749688314</v>
          </cell>
          <cell r="Y49">
            <v>0.54561787096813641</v>
          </cell>
          <cell r="Z49">
            <v>0.58795246723686623</v>
          </cell>
        </row>
        <row r="50">
          <cell r="O50" t="str">
            <v>Exp Per Employee</v>
          </cell>
          <cell r="P50">
            <v>2.6896295922486879E-2</v>
          </cell>
          <cell r="Q50">
            <v>2.6249340197026315E-2</v>
          </cell>
          <cell r="R50">
            <v>4.9983104890471648E-2</v>
          </cell>
          <cell r="S50">
            <v>0.1302061989606533</v>
          </cell>
          <cell r="T50">
            <v>0.16931241780950593</v>
          </cell>
          <cell r="U50">
            <v>0.19918396226415094</v>
          </cell>
          <cell r="V50">
            <v>0.20499778638627561</v>
          </cell>
          <cell r="W50">
            <v>0.20475792661204131</v>
          </cell>
          <cell r="X50">
            <v>0.21137699785924777</v>
          </cell>
          <cell r="Y50">
            <v>0.21897939423223989</v>
          </cell>
          <cell r="Z50">
            <v>0.22992703288360447</v>
          </cell>
        </row>
        <row r="51">
          <cell r="B51" t="str">
            <v>Avg Loans</v>
          </cell>
          <cell r="C51">
            <v>25861.211499999998</v>
          </cell>
          <cell r="D51">
            <v>28287.057000000001</v>
          </cell>
          <cell r="E51">
            <v>31655.17</v>
          </cell>
          <cell r="F51">
            <v>37265.566500000001</v>
          </cell>
          <cell r="G51">
            <v>40240.657000000007</v>
          </cell>
          <cell r="H51">
            <v>40834.318499999994</v>
          </cell>
          <cell r="I51">
            <v>43754.866499999996</v>
          </cell>
          <cell r="J51">
            <v>50412.335999999996</v>
          </cell>
          <cell r="K51">
            <v>57912.277815000001</v>
          </cell>
          <cell r="L51">
            <v>64172.532951350004</v>
          </cell>
          <cell r="M51">
            <v>70547.411529979639</v>
          </cell>
          <cell r="O51" t="str">
            <v>Rev Per Branch</v>
          </cell>
          <cell r="P51">
            <v>0.98215505913272017</v>
          </cell>
          <cell r="Q51">
            <v>1.3528203330411921</v>
          </cell>
          <cell r="R51">
            <v>2.2870444763271163</v>
          </cell>
          <cell r="S51">
            <v>6.533192452830189</v>
          </cell>
          <cell r="T51">
            <v>8.1234269662921363</v>
          </cell>
          <cell r="U51">
            <v>7.9454849909584064</v>
          </cell>
          <cell r="V51">
            <v>9.8760946915827201</v>
          </cell>
          <cell r="W51">
            <v>9.6224342105263165</v>
          </cell>
          <cell r="X51">
            <v>9.4137167905679178</v>
          </cell>
          <cell r="Y51">
            <v>9.9925016497177293</v>
          </cell>
          <cell r="Z51">
            <v>10.767821787793119</v>
          </cell>
        </row>
        <row r="52">
          <cell r="B52" t="str">
            <v>Avg Total Assets</v>
          </cell>
          <cell r="C52">
            <v>43811.763500000001</v>
          </cell>
          <cell r="D52">
            <v>47377.802499999998</v>
          </cell>
          <cell r="E52">
            <v>53379.237999999998</v>
          </cell>
          <cell r="F52">
            <v>60062.469499999999</v>
          </cell>
          <cell r="G52">
            <v>61952.459000000003</v>
          </cell>
          <cell r="H52">
            <v>63126.281499999997</v>
          </cell>
          <cell r="I52">
            <v>67196.22099999999</v>
          </cell>
          <cell r="J52">
            <v>75733.191500000001</v>
          </cell>
          <cell r="K52">
            <v>85832.076866580261</v>
          </cell>
          <cell r="L52">
            <v>94278.552084307375</v>
          </cell>
          <cell r="M52">
            <v>102274.79420715944</v>
          </cell>
          <cell r="O52" t="str">
            <v>Exp Per Branch</v>
          </cell>
          <cell r="P52">
            <v>0.4669093298291721</v>
          </cell>
          <cell r="Q52">
            <v>0.44019982471516217</v>
          </cell>
          <cell r="R52">
            <v>0.86588378766140595</v>
          </cell>
          <cell r="S52">
            <v>2.6473622641509431</v>
          </cell>
          <cell r="T52">
            <v>3.3754681647940075</v>
          </cell>
          <cell r="U52">
            <v>3.817992766726944</v>
          </cell>
          <cell r="V52">
            <v>3.8188762886597942</v>
          </cell>
          <cell r="W52">
            <v>3.7812861842105261</v>
          </cell>
          <cell r="X52">
            <v>3.8711800184863514</v>
          </cell>
          <cell r="Y52">
            <v>4.0104110853942911</v>
          </cell>
          <cell r="Z52">
            <v>4.2109072624901156</v>
          </cell>
        </row>
        <row r="53">
          <cell r="B53" t="str">
            <v>Avg Total Deposits</v>
          </cell>
          <cell r="C53">
            <v>28434.497499999998</v>
          </cell>
          <cell r="D53">
            <v>31820.137999999999</v>
          </cell>
          <cell r="E53">
            <v>36397.792000000001</v>
          </cell>
          <cell r="F53">
            <v>40853.684999999998</v>
          </cell>
          <cell r="G53">
            <v>40449.5245</v>
          </cell>
          <cell r="H53">
            <v>38205.835999999996</v>
          </cell>
          <cell r="I53">
            <v>38249.619500000001</v>
          </cell>
          <cell r="J53">
            <v>41460.361000000004</v>
          </cell>
          <cell r="K53">
            <v>45655.307549999998</v>
          </cell>
          <cell r="L53">
            <v>48229.8136964</v>
          </cell>
          <cell r="M53">
            <v>50817.173780384008</v>
          </cell>
          <cell r="O53" t="str">
            <v>Net Profit Per Branch</v>
          </cell>
          <cell r="P53">
            <v>-0.35366009636443269</v>
          </cell>
          <cell r="Q53">
            <v>0.19504557405784401</v>
          </cell>
          <cell r="R53">
            <v>0.16212769010043068</v>
          </cell>
          <cell r="S53">
            <v>-0.80685660377358415</v>
          </cell>
          <cell r="T53">
            <v>1.9553071161048707</v>
          </cell>
          <cell r="U53">
            <v>6.9776745027124747</v>
          </cell>
          <cell r="V53">
            <v>3.4576193450584163</v>
          </cell>
          <cell r="W53">
            <v>3.1610032894736846</v>
          </cell>
          <cell r="X53">
            <v>3.3503762470147138</v>
          </cell>
          <cell r="Y53">
            <v>3.5524575001111258</v>
          </cell>
          <cell r="Z53">
            <v>3.7821780301937133</v>
          </cell>
        </row>
        <row r="54">
          <cell r="B54" t="str">
            <v>Avg Shareholders' Equity</v>
          </cell>
          <cell r="D54">
            <v>1543.9385</v>
          </cell>
          <cell r="E54">
            <v>1760.3344999999999</v>
          </cell>
          <cell r="F54">
            <v>2398.8224999999998</v>
          </cell>
          <cell r="G54">
            <v>2940.627</v>
          </cell>
          <cell r="H54">
            <v>4293.5295000000006</v>
          </cell>
          <cell r="I54">
            <v>6018.4169999999995</v>
          </cell>
          <cell r="J54">
            <v>6514.982</v>
          </cell>
          <cell r="K54">
            <v>6957.0966945342952</v>
          </cell>
          <cell r="L54">
            <v>7495.1243460859259</v>
          </cell>
          <cell r="M54">
            <v>7994.4206628134816</v>
          </cell>
        </row>
        <row r="55">
          <cell r="B55" t="str">
            <v>Avg Equity/Avg Assets (%)</v>
          </cell>
          <cell r="C55">
            <v>3.2875428536447751</v>
          </cell>
          <cell r="D55">
            <v>3.2587803117293168</v>
          </cell>
          <cell r="E55">
            <v>3.2977887395095449</v>
          </cell>
          <cell r="F55">
            <v>3.9938792393476259</v>
          </cell>
          <cell r="G55">
            <v>4.7465864107185798</v>
          </cell>
          <cell r="H55">
            <v>6.8014928140508326</v>
          </cell>
          <cell r="I55">
            <v>8.9564813473662461</v>
          </cell>
          <cell r="J55">
            <v>8.6025451601362928</v>
          </cell>
          <cell r="K55">
            <v>8.1054740238298066</v>
          </cell>
          <cell r="L55">
            <v>7.9499782085998811</v>
          </cell>
          <cell r="M55">
            <v>7.8166088964409335</v>
          </cell>
          <cell r="O55" t="str">
            <v>Net Interest Margin Analysis (%)</v>
          </cell>
        </row>
        <row r="56">
          <cell r="B56" t="str">
            <v>Avg EA/Avg Assets (%)</v>
          </cell>
          <cell r="C56">
            <v>83.796444304279134</v>
          </cell>
          <cell r="D56">
            <v>83.61745777466146</v>
          </cell>
          <cell r="E56">
            <v>78.980934497416371</v>
          </cell>
          <cell r="F56">
            <v>80.761254746610106</v>
          </cell>
          <cell r="G56">
            <v>84.601302306660671</v>
          </cell>
          <cell r="H56">
            <v>80.890468653044309</v>
          </cell>
          <cell r="I56">
            <v>78.450380416482062</v>
          </cell>
          <cell r="J56">
            <v>77.089427823730361</v>
          </cell>
          <cell r="K56">
            <v>78.432977166613639</v>
          </cell>
          <cell r="L56">
            <v>77.369266791136468</v>
          </cell>
          <cell r="M56">
            <v>77.845337044641383</v>
          </cell>
          <cell r="O56" t="str">
            <v>Int Income/Avg EA</v>
          </cell>
          <cell r="P56">
            <v>8.4745578505530794</v>
          </cell>
          <cell r="Q56">
            <v>7.471149239927974</v>
          </cell>
          <cell r="R56">
            <v>6.1475867991640616</v>
          </cell>
          <cell r="S56">
            <v>5.655518714292417</v>
          </cell>
          <cell r="T56">
            <v>6.0519203000513961</v>
          </cell>
          <cell r="U56">
            <v>6.2765934281208029</v>
          </cell>
          <cell r="V56">
            <v>6.7143272389239854</v>
          </cell>
          <cell r="W56">
            <v>6.847465919627262</v>
          </cell>
          <cell r="X56">
            <v>6.9734438723616927</v>
          </cell>
          <cell r="Y56">
            <v>6.9264383358071431</v>
          </cell>
          <cell r="Z56">
            <v>6.9832119417846119</v>
          </cell>
        </row>
        <row r="57">
          <cell r="B57" t="str">
            <v>Avg Loans/Avg EA (%)</v>
          </cell>
          <cell r="C57">
            <v>70.442139913435952</v>
          </cell>
          <cell r="D57">
            <v>71.402906908032421</v>
          </cell>
          <cell r="E57">
            <v>75.084451468154668</v>
          </cell>
          <cell r="F57">
            <v>76.824808331562465</v>
          </cell>
          <cell r="G57">
            <v>76.776704237150355</v>
          </cell>
          <cell r="H57">
            <v>79.968279550959267</v>
          </cell>
          <cell r="I57">
            <v>83.001599087451964</v>
          </cell>
          <cell r="J57">
            <v>86.348687557341876</v>
          </cell>
          <cell r="K57">
            <v>86.024533362144794</v>
          </cell>
          <cell r="L57">
            <v>87.976726092561279</v>
          </cell>
          <cell r="M57">
            <v>88.609414307052916</v>
          </cell>
          <cell r="O57" t="str">
            <v>Int Exp/Avg Int Bearing Liab.</v>
          </cell>
          <cell r="P57" t="e">
            <v>#DIV/0!</v>
          </cell>
          <cell r="Q57" t="e">
            <v>#DIV/0!</v>
          </cell>
          <cell r="R57">
            <v>3.8461260756095093</v>
          </cell>
          <cell r="S57">
            <v>3.3987363606887526</v>
          </cell>
          <cell r="T57">
            <v>3.1862653599176936</v>
          </cell>
          <cell r="U57">
            <v>3.0250875783727933</v>
          </cell>
          <cell r="V57">
            <v>3.4324511330288514</v>
          </cell>
          <cell r="W57">
            <v>3.8105926627199742</v>
          </cell>
          <cell r="X57">
            <v>4.118825109340853</v>
          </cell>
          <cell r="Y57">
            <v>4.0721422890351553</v>
          </cell>
          <cell r="Z57">
            <v>4.143731085616758</v>
          </cell>
        </row>
        <row r="58">
          <cell r="O58" t="str">
            <v xml:space="preserve">Net Interest Spread </v>
          </cell>
          <cell r="P58">
            <v>0</v>
          </cell>
          <cell r="Q58">
            <v>0</v>
          </cell>
          <cell r="R58">
            <v>2.3014607235545519</v>
          </cell>
          <cell r="S58">
            <v>2.2567823536036649</v>
          </cell>
          <cell r="T58">
            <v>2.865654940133703</v>
          </cell>
          <cell r="U58">
            <v>3.2515058497480092</v>
          </cell>
          <cell r="V58">
            <v>3.281876105895134</v>
          </cell>
          <cell r="W58">
            <v>3.0368732569072874</v>
          </cell>
          <cell r="X58">
            <v>2.8546187630208393</v>
          </cell>
          <cell r="Y58">
            <v>2.8542960467719882</v>
          </cell>
          <cell r="Z58">
            <v>2.839480856167854</v>
          </cell>
        </row>
        <row r="59">
          <cell r="B59" t="str">
            <v>Asset Quality</v>
          </cell>
          <cell r="O59" t="str">
            <v>Contribution From Free Funds</v>
          </cell>
          <cell r="P59">
            <v>1.7274648827245072</v>
          </cell>
          <cell r="Q59">
            <v>2.4421123182349485</v>
          </cell>
          <cell r="R59">
            <v>-0.17176591583885648</v>
          </cell>
          <cell r="S59">
            <v>-0.11953486351951215</v>
          </cell>
          <cell r="T59">
            <v>-5.1063863982928837E-2</v>
          </cell>
          <cell r="U59">
            <v>-1.7619645328871503E-2</v>
          </cell>
          <cell r="V59">
            <v>0.15970829826263389</v>
          </cell>
          <cell r="W59">
            <v>0.18105497625330536</v>
          </cell>
          <cell r="X59">
            <v>0.18940020351708142</v>
          </cell>
          <cell r="Y59">
            <v>0.10921329474468555</v>
          </cell>
          <cell r="Z59">
            <v>8.704727042215632E-2</v>
          </cell>
        </row>
        <row r="60">
          <cell r="B60" t="str">
            <v>Won billions, Year ending Dec 31</v>
          </cell>
          <cell r="C60">
            <v>2000</v>
          </cell>
          <cell r="D60">
            <v>2001</v>
          </cell>
          <cell r="E60">
            <v>2002</v>
          </cell>
          <cell r="F60">
            <v>2003</v>
          </cell>
          <cell r="G60">
            <v>2004</v>
          </cell>
          <cell r="H60">
            <v>2005</v>
          </cell>
          <cell r="I60">
            <v>2006</v>
          </cell>
          <cell r="J60">
            <v>2007</v>
          </cell>
          <cell r="K60" t="str">
            <v>2008E</v>
          </cell>
          <cell r="L60" t="str">
            <v>2009E</v>
          </cell>
          <cell r="M60" t="str">
            <v>2010E</v>
          </cell>
          <cell r="O60" t="str">
            <v>Net Interest Margin</v>
          </cell>
          <cell r="P60">
            <v>1.7274648827245072</v>
          </cell>
          <cell r="Q60">
            <v>2.4421123182349485</v>
          </cell>
          <cell r="R60">
            <v>2.1296948077156954</v>
          </cell>
          <cell r="S60">
            <v>2.1372474900841527</v>
          </cell>
          <cell r="T60">
            <v>2.8145910761507742</v>
          </cell>
          <cell r="U60">
            <v>3.2338862044191377</v>
          </cell>
          <cell r="V60">
            <v>3.4415844041577679</v>
          </cell>
          <cell r="W60">
            <v>3.2179282331605927</v>
          </cell>
          <cell r="X60">
            <v>3.0440189665379207</v>
          </cell>
          <cell r="Y60">
            <v>2.9635093415166738</v>
          </cell>
          <cell r="Z60">
            <v>2.9265281265900103</v>
          </cell>
        </row>
        <row r="61">
          <cell r="B61" t="str">
            <v>Non-performing Loans (NPL)</v>
          </cell>
          <cell r="C61">
            <v>2621.0609999999997</v>
          </cell>
          <cell r="D61">
            <v>1188</v>
          </cell>
          <cell r="E61">
            <v>1117.3620000000001</v>
          </cell>
          <cell r="F61">
            <v>1080.202</v>
          </cell>
          <cell r="G61">
            <v>754.83500000000004</v>
          </cell>
          <cell r="H61">
            <v>389.233</v>
          </cell>
          <cell r="I61">
            <v>299.39999999999998</v>
          </cell>
          <cell r="J61">
            <v>360.3</v>
          </cell>
          <cell r="K61">
            <v>524.89139160000002</v>
          </cell>
          <cell r="L61">
            <v>651.06128652000007</v>
          </cell>
          <cell r="M61">
            <v>797.02930309680005</v>
          </cell>
        </row>
        <row r="62">
          <cell r="B62" t="str">
            <v>Gross NPL Ratio (%)</v>
          </cell>
          <cell r="C62">
            <v>9.6067267660159672</v>
          </cell>
          <cell r="D62">
            <v>3.5681033188166391</v>
          </cell>
          <cell r="E62">
            <v>2.8516664708748412</v>
          </cell>
          <cell r="F62">
            <v>2.5917830073643984</v>
          </cell>
          <cell r="G62">
            <v>1.8176115697603716</v>
          </cell>
          <cell r="H62">
            <v>0.89529316295070216</v>
          </cell>
          <cell r="I62">
            <v>0.61557693375249034</v>
          </cell>
          <cell r="J62">
            <v>0.61356902012874226</v>
          </cell>
          <cell r="K62">
            <v>0.8052776260474227</v>
          </cell>
          <cell r="L62">
            <v>0.90804081414053817</v>
          </cell>
          <cell r="M62">
            <v>1.0105669735114473</v>
          </cell>
          <cell r="O62" t="str">
            <v>Liquidity (%)</v>
          </cell>
        </row>
        <row r="63">
          <cell r="B63" t="str">
            <v>Loan Loss Reserve (LLR)</v>
          </cell>
          <cell r="C63">
            <v>1843.229</v>
          </cell>
          <cell r="D63">
            <v>987.57899999999995</v>
          </cell>
          <cell r="E63">
            <v>780.03599999999994</v>
          </cell>
          <cell r="F63">
            <v>885.29600000000005</v>
          </cell>
          <cell r="G63">
            <v>821.41100000000006</v>
          </cell>
          <cell r="H63">
            <v>612.08000000000004</v>
          </cell>
          <cell r="I63">
            <v>616.80770000000007</v>
          </cell>
          <cell r="J63">
            <v>733.08</v>
          </cell>
          <cell r="K63">
            <v>997.98632329199995</v>
          </cell>
          <cell r="L63">
            <v>1253.039100768</v>
          </cell>
          <cell r="M63">
            <v>1548.6860982810001</v>
          </cell>
          <cell r="O63" t="str">
            <v>Avg Loans/Avg EA</v>
          </cell>
          <cell r="P63">
            <v>70.442139913435952</v>
          </cell>
          <cell r="Q63">
            <v>71.402906908032421</v>
          </cell>
          <cell r="R63">
            <v>75.084451468154668</v>
          </cell>
          <cell r="S63">
            <v>76.824808331562465</v>
          </cell>
          <cell r="T63">
            <v>76.776704237150355</v>
          </cell>
          <cell r="U63">
            <v>79.968279550959267</v>
          </cell>
          <cell r="V63">
            <v>83.001599087451964</v>
          </cell>
          <cell r="W63">
            <v>86.348687557341876</v>
          </cell>
          <cell r="X63">
            <v>86.024533362144794</v>
          </cell>
          <cell r="Y63">
            <v>87.976726092561279</v>
          </cell>
          <cell r="Z63">
            <v>88.609414307052916</v>
          </cell>
        </row>
        <row r="64">
          <cell r="B64" t="str">
            <v>LLR/NPL (%)</v>
          </cell>
          <cell r="C64">
            <v>70.323773464257428</v>
          </cell>
          <cell r="D64">
            <v>83.12954545454545</v>
          </cell>
          <cell r="E64">
            <v>69.810500088601529</v>
          </cell>
          <cell r="F64">
            <v>81.956522946634053</v>
          </cell>
          <cell r="G64">
            <v>108.81994078176025</v>
          </cell>
          <cell r="H64">
            <v>157.25285368917847</v>
          </cell>
          <cell r="I64">
            <v>206.01459585838347</v>
          </cell>
          <cell r="J64">
            <v>203.46378018318069</v>
          </cell>
          <cell r="K64">
            <v>190.13196620540651</v>
          </cell>
          <cell r="L64">
            <v>192.46100585486244</v>
          </cell>
          <cell r="M64">
            <v>194.30729739341973</v>
          </cell>
          <cell r="O64" t="str">
            <v>Avg Liquid Assets/AEA</v>
          </cell>
          <cell r="P64">
            <v>44.391695516810259</v>
          </cell>
          <cell r="Q64">
            <v>41.095647341887187</v>
          </cell>
          <cell r="R64">
            <v>37.264835776563451</v>
          </cell>
          <cell r="S64">
            <v>35.168443227525543</v>
          </cell>
          <cell r="T64">
            <v>34.844068003063668</v>
          </cell>
          <cell r="U64">
            <v>36.108755186472571</v>
          </cell>
          <cell r="V64">
            <v>35.368800344474288</v>
          </cell>
          <cell r="W64">
            <v>32.325551874606347</v>
          </cell>
          <cell r="X64">
            <v>28.595669421994092</v>
          </cell>
          <cell r="Y64">
            <v>27.712175950701727</v>
          </cell>
          <cell r="Z64">
            <v>26.602271394211545</v>
          </cell>
        </row>
        <row r="65">
          <cell r="B65" t="str">
            <v>LLR/Total Credit (%)</v>
          </cell>
          <cell r="C65">
            <v>3.0002086490841178</v>
          </cell>
          <cell r="D65">
            <v>0</v>
          </cell>
          <cell r="E65">
            <v>1.9907626241767011</v>
          </cell>
          <cell r="F65">
            <v>2.1241352351575657</v>
          </cell>
          <cell r="G65">
            <v>1.9779238338556597</v>
          </cell>
          <cell r="H65">
            <v>1.4078740476240861</v>
          </cell>
          <cell r="I65">
            <v>1.2681783322676217</v>
          </cell>
          <cell r="J65">
            <v>1.2483907223868396</v>
          </cell>
          <cell r="K65">
            <v>1.5310901838161857</v>
          </cell>
          <cell r="L65">
            <v>1.7476244844675619</v>
          </cell>
          <cell r="M65">
            <v>1.9636053745805688</v>
          </cell>
          <cell r="O65" t="str">
            <v>Avg Loans/Avg Deposits</v>
          </cell>
          <cell r="P65">
            <v>90.950126690299342</v>
          </cell>
          <cell r="Q65">
            <v>88.896713772894387</v>
          </cell>
          <cell r="R65">
            <v>86.97002829182604</v>
          </cell>
          <cell r="S65">
            <v>91.217148465309805</v>
          </cell>
          <cell r="T65">
            <v>99.483634226652057</v>
          </cell>
          <cell r="U65">
            <v>106.87979318133492</v>
          </cell>
          <cell r="V65">
            <v>114.39294579126467</v>
          </cell>
          <cell r="W65">
            <v>121.59164750157383</v>
          </cell>
          <cell r="X65">
            <v>126.84675872915021</v>
          </cell>
          <cell r="Y65">
            <v>133.05573468582568</v>
          </cell>
          <cell r="Z65">
            <v>138.82592494195677</v>
          </cell>
        </row>
        <row r="66">
          <cell r="O66" t="str">
            <v>Avg Loans/Avg Depo &amp; Equity</v>
          </cell>
          <cell r="P66">
            <v>120.92938482629432</v>
          </cell>
          <cell r="Q66">
            <v>114.74812437881401</v>
          </cell>
          <cell r="R66">
            <v>105.85198140352352</v>
          </cell>
          <cell r="S66">
            <v>110.66309661728859</v>
          </cell>
          <cell r="T66">
            <v>124.0090382746076</v>
          </cell>
          <cell r="U66">
            <v>127.47921037244481</v>
          </cell>
          <cell r="V66">
            <v>131.85675367651834</v>
          </cell>
          <cell r="W66">
            <v>145.13340592354368</v>
          </cell>
          <cell r="X66">
            <v>157.12676186469881</v>
          </cell>
          <cell r="Y66">
            <v>167.57405415419896</v>
          </cell>
          <cell r="Z66">
            <v>176.25254716115595</v>
          </cell>
        </row>
        <row r="67">
          <cell r="B67" t="str">
            <v>Specific Reserve</v>
          </cell>
          <cell r="C67">
            <v>117.8972</v>
          </cell>
          <cell r="D67">
            <v>147.245</v>
          </cell>
          <cell r="E67">
            <v>184.59595000000002</v>
          </cell>
          <cell r="F67">
            <v>198.82147499999999</v>
          </cell>
          <cell r="G67">
            <v>200.22189500000005</v>
          </cell>
          <cell r="H67">
            <v>213.13979500000002</v>
          </cell>
          <cell r="I67">
            <v>239.61900000000003</v>
          </cell>
          <cell r="J67">
            <v>290.04899999999998</v>
          </cell>
          <cell r="K67">
            <v>321.61832923440005</v>
          </cell>
          <cell r="L67">
            <v>353.04437059704003</v>
          </cell>
          <cell r="M67">
            <v>387.66602589642002</v>
          </cell>
          <cell r="O67" t="str">
            <v>Period-End Loans/Deposits</v>
          </cell>
          <cell r="P67">
            <v>91.467213784833135</v>
          </cell>
          <cell r="Q67">
            <v>86.59638311621471</v>
          </cell>
          <cell r="R67">
            <v>87.290067949937352</v>
          </cell>
          <cell r="S67">
            <v>94.840537135839497</v>
          </cell>
          <cell r="T67">
            <v>104.62181245827711</v>
          </cell>
          <cell r="U67">
            <v>109.16109990163511</v>
          </cell>
          <cell r="V67">
            <v>119.55951575759258</v>
          </cell>
          <cell r="W67">
            <v>123.35204497239324</v>
          </cell>
          <cell r="X67">
            <v>130.15893536142923</v>
          </cell>
          <cell r="Y67">
            <v>135.79475958299747</v>
          </cell>
          <cell r="Z67">
            <v>141.71300748216854</v>
          </cell>
        </row>
        <row r="68">
          <cell r="B68" t="str">
            <v>Specific Reserve/NPLs (%)</v>
          </cell>
          <cell r="C68">
            <v>4.4980715824622175</v>
          </cell>
          <cell r="D68">
            <v>12.39436026936027</v>
          </cell>
          <cell r="E68">
            <v>16.520693383164993</v>
          </cell>
          <cell r="F68">
            <v>18.405953238375787</v>
          </cell>
          <cell r="G68">
            <v>26.525253201030697</v>
          </cell>
          <cell r="H68">
            <v>54.758922033846055</v>
          </cell>
          <cell r="I68">
            <v>80.033066132264537</v>
          </cell>
          <cell r="J68">
            <v>80.502081598667758</v>
          </cell>
          <cell r="K68">
            <v>61.273309942086698</v>
          </cell>
          <cell r="L68">
            <v>54.225981164400686</v>
          </cell>
          <cell r="M68">
            <v>48.63886740301411</v>
          </cell>
        </row>
        <row r="69">
          <cell r="B69" t="str">
            <v>General Reserve</v>
          </cell>
          <cell r="C69">
            <v>1725.3317999999999</v>
          </cell>
          <cell r="D69">
            <v>840.33399999999995</v>
          </cell>
          <cell r="E69">
            <v>595.44004999999993</v>
          </cell>
          <cell r="F69">
            <v>686.47452500000009</v>
          </cell>
          <cell r="G69">
            <v>621.18910500000004</v>
          </cell>
          <cell r="H69">
            <v>398.94020499999999</v>
          </cell>
          <cell r="I69">
            <v>377.18870000000004</v>
          </cell>
          <cell r="J69">
            <v>443.03100000000006</v>
          </cell>
          <cell r="K69">
            <v>676.36799405759984</v>
          </cell>
          <cell r="L69">
            <v>899.99473017096</v>
          </cell>
          <cell r="M69">
            <v>1161.0200723845801</v>
          </cell>
          <cell r="O69" t="str">
            <v>Capital Information</v>
          </cell>
        </row>
        <row r="70">
          <cell r="B70" t="str">
            <v>General Reserve/NPLs (%)</v>
          </cell>
          <cell r="C70">
            <v>65.825701881795212</v>
          </cell>
          <cell r="D70">
            <v>70.735185185185173</v>
          </cell>
          <cell r="E70">
            <v>53.289806705436547</v>
          </cell>
          <cell r="F70">
            <v>63.550569708258273</v>
          </cell>
          <cell r="G70">
            <v>82.294687580729558</v>
          </cell>
          <cell r="H70">
            <v>102.4939316553324</v>
          </cell>
          <cell r="I70">
            <v>125.98152972611894</v>
          </cell>
          <cell r="J70">
            <v>122.96169858451292</v>
          </cell>
          <cell r="K70">
            <v>128.85865626331977</v>
          </cell>
          <cell r="L70">
            <v>138.23502469046173</v>
          </cell>
          <cell r="M70">
            <v>145.66842999040563</v>
          </cell>
          <cell r="O70" t="str">
            <v>Tier 1 Ratio (%)</v>
          </cell>
          <cell r="P70" t="e">
            <v>#DIV/0!</v>
          </cell>
          <cell r="Q70">
            <v>5.367077611004003</v>
          </cell>
          <cell r="R70">
            <v>4.6556598501069759</v>
          </cell>
          <cell r="S70">
            <v>4.6784596617832905</v>
          </cell>
          <cell r="T70">
            <v>5.5075599011075163</v>
          </cell>
          <cell r="U70">
            <v>9.6463214457287858</v>
          </cell>
          <cell r="V70">
            <v>9.3748642379455269</v>
          </cell>
          <cell r="W70">
            <v>8.6485598743203926</v>
          </cell>
          <cell r="X70">
            <v>8.4146158366320947</v>
          </cell>
          <cell r="Y70">
            <v>8.252325222245867</v>
          </cell>
          <cell r="Z70">
            <v>8.4057772763387391</v>
          </cell>
        </row>
        <row r="71">
          <cell r="B71" t="str">
            <v>Net Charge-offs (NCO)</v>
          </cell>
          <cell r="C71">
            <v>1255.2463950000001</v>
          </cell>
          <cell r="D71">
            <v>1785.11</v>
          </cell>
          <cell r="E71">
            <v>726.24400000000003</v>
          </cell>
          <cell r="F71">
            <v>873.15700000000004</v>
          </cell>
          <cell r="G71">
            <v>2781.9</v>
          </cell>
          <cell r="H71">
            <v>580.1</v>
          </cell>
          <cell r="I71">
            <v>336.95100000000002</v>
          </cell>
          <cell r="J71">
            <v>355.73899999999998</v>
          </cell>
          <cell r="K71">
            <v>160.8769150704</v>
          </cell>
          <cell r="L71">
            <v>244.80404920079997</v>
          </cell>
          <cell r="M71">
            <v>284.22316189385998</v>
          </cell>
          <cell r="O71" t="str">
            <v>Tier 2 Ratio (%)</v>
          </cell>
          <cell r="P71" t="e">
            <v>#DIV/0!</v>
          </cell>
          <cell r="Q71">
            <v>5.367077611004003</v>
          </cell>
          <cell r="R71">
            <v>4.655659850106975</v>
          </cell>
          <cell r="S71">
            <v>4.6784596617832905</v>
          </cell>
          <cell r="T71">
            <v>4.2753890518008522</v>
          </cell>
          <cell r="U71">
            <v>4.489837572070277</v>
          </cell>
          <cell r="V71">
            <v>3.4492742760935018</v>
          </cell>
          <cell r="W71">
            <v>2.9715967028195838</v>
          </cell>
          <cell r="X71">
            <v>3.6014756844680487</v>
          </cell>
          <cell r="Y71">
            <v>3.628440546493465</v>
          </cell>
          <cell r="Z71">
            <v>3.7922678952171851</v>
          </cell>
        </row>
        <row r="72">
          <cell r="B72" t="str">
            <v>NCO/Avg Total Credit (%)</v>
          </cell>
          <cell r="C72">
            <v>4.7598647318587313</v>
          </cell>
          <cell r="D72">
            <v>5.8935332626780204</v>
          </cell>
          <cell r="E72">
            <v>2.0040461232162863</v>
          </cell>
          <cell r="F72">
            <v>2.159656699577825</v>
          </cell>
          <cell r="G72">
            <v>6.686705149292969</v>
          </cell>
          <cell r="H72">
            <v>1.3648700426554239</v>
          </cell>
          <cell r="I72">
            <v>0.73160532121601374</v>
          </cell>
          <cell r="J72">
            <v>0.66270737607268293</v>
          </cell>
          <cell r="K72">
            <v>0.25968115338608083</v>
          </cell>
          <cell r="L72">
            <v>0.35768891430191513</v>
          </cell>
          <cell r="M72">
            <v>0.377531909627565</v>
          </cell>
          <cell r="O72" t="str">
            <v>Total CAR (%)</v>
          </cell>
          <cell r="P72" t="e">
            <v>#DIV/0!</v>
          </cell>
          <cell r="Q72">
            <v>10.734155222008006</v>
          </cell>
          <cell r="R72">
            <v>9.3113197002139501</v>
          </cell>
          <cell r="S72">
            <v>9.3569193235665811</v>
          </cell>
          <cell r="T72">
            <v>9.7829489529083684</v>
          </cell>
          <cell r="U72">
            <v>14.136159017799063</v>
          </cell>
          <cell r="V72">
            <v>12.824138514039028</v>
          </cell>
          <cell r="W72">
            <v>11.620156577139976</v>
          </cell>
          <cell r="X72">
            <v>12.016091521100144</v>
          </cell>
          <cell r="Y72">
            <v>11.880765768739332</v>
          </cell>
          <cell r="Z72">
            <v>12.198045171555924</v>
          </cell>
        </row>
        <row r="73">
          <cell r="B73" t="str">
            <v>LLPE/Avg Loans (%)</v>
          </cell>
          <cell r="C73">
            <v>4.5227579535475373</v>
          </cell>
          <cell r="D73">
            <v>3.2942486735187759</v>
          </cell>
          <cell r="E73">
            <v>1.6385980552307888</v>
          </cell>
          <cell r="F73">
            <v>2.2791817749503416</v>
          </cell>
          <cell r="G73">
            <v>2.0237045334523236</v>
          </cell>
          <cell r="H73">
            <v>0.39889143735801552</v>
          </cell>
          <cell r="I73">
            <v>0.56236333354730239</v>
          </cell>
          <cell r="J73">
            <v>0.7221704624042814</v>
          </cell>
          <cell r="K73">
            <v>0.60533609726467985</v>
          </cell>
          <cell r="L73">
            <v>0.6657568330685818</v>
          </cell>
          <cell r="M73">
            <v>0.72289537544568661</v>
          </cell>
        </row>
        <row r="152">
          <cell r="P152">
            <v>0</v>
          </cell>
        </row>
        <row r="167">
          <cell r="C167">
            <v>2891795.6310000001</v>
          </cell>
          <cell r="D167">
            <v>3078048.412</v>
          </cell>
          <cell r="E167">
            <v>4094917.1359999999</v>
          </cell>
          <cell r="F167">
            <v>4859382.1409999998</v>
          </cell>
        </row>
        <row r="171">
          <cell r="A171" t="str">
            <v>Contra Account of Guarantee Issued</v>
          </cell>
        </row>
        <row r="188">
          <cell r="O188">
            <v>2791587</v>
          </cell>
          <cell r="P188">
            <v>0</v>
          </cell>
        </row>
        <row r="192">
          <cell r="O192">
            <v>2348914.6860000002</v>
          </cell>
        </row>
        <row r="203">
          <cell r="C203">
            <v>331599</v>
          </cell>
          <cell r="D203">
            <v>316714</v>
          </cell>
          <cell r="E203">
            <v>620630</v>
          </cell>
          <cell r="F203">
            <v>1055526</v>
          </cell>
        </row>
        <row r="207">
          <cell r="A207" t="str">
            <v xml:space="preserve">    Guarantee Payment</v>
          </cell>
        </row>
      </sheetData>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Reward_View_Chart"/>
      <sheetName val="Bear_to_Bull_Chart"/>
      <sheetName val="Bear_to_Bull_Data"/>
      <sheetName val="Comparative_Risk-Reward_Chart"/>
      <sheetName val="Comparative_Risk-Reward_Data"/>
      <sheetName val="Value_of_Growth_Chart"/>
      <sheetName val="Value_of_Growth_Data"/>
      <sheetName val="Ace-Out"/>
      <sheetName val="Sheet1"/>
      <sheetName val="RI Valuation"/>
    </sheetNames>
    <sheetDataSet>
      <sheetData sheetId="0">
        <row r="26">
          <cell r="F26">
            <v>26000</v>
          </cell>
        </row>
        <row r="27">
          <cell r="F27">
            <v>33000</v>
          </cell>
        </row>
        <row r="28">
          <cell r="F28">
            <v>13000</v>
          </cell>
        </row>
      </sheetData>
      <sheetData sheetId="1" refreshError="1"/>
      <sheetData sheetId="2"/>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2015 biopharma rev change"/>
      <sheetName val="margins"/>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Bristol-Myers Squibb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428.20430499999929</v>
          </cell>
          <cell r="E12">
            <v>406.00087174999862</v>
          </cell>
          <cell r="F12">
            <v>379.77037045850375</v>
          </cell>
          <cell r="G12">
            <v>349.04459650893114</v>
          </cell>
          <cell r="H12">
            <v>290.7973990176979</v>
          </cell>
          <cell r="BA12" t="str">
            <v>.</v>
          </cell>
        </row>
        <row r="13">
          <cell r="C13" t="str">
            <v>Pipeline products launching 2010–2015</v>
          </cell>
          <cell r="D13">
            <v>509.8125</v>
          </cell>
          <cell r="E13">
            <v>791.0775000000001</v>
          </cell>
          <cell r="F13">
            <v>1302.57</v>
          </cell>
          <cell r="G13">
            <v>1653.0442999999996</v>
          </cell>
          <cell r="H13">
            <v>1227.8117000000011</v>
          </cell>
          <cell r="BA13" t="str">
            <v>.</v>
          </cell>
        </row>
        <row r="14">
          <cell r="C14" t="str">
            <v>Products expiring 2010–2015</v>
          </cell>
          <cell r="D14">
            <v>170.7135303846153</v>
          </cell>
          <cell r="E14">
            <v>-3013.0544055538448</v>
          </cell>
          <cell r="F14">
            <v>-3358.1474564076934</v>
          </cell>
          <cell r="G14">
            <v>-1309.0957018979234</v>
          </cell>
          <cell r="H14">
            <v>-2226.5059205538264</v>
          </cell>
          <cell r="BA14" t="str">
            <v>.</v>
          </cell>
        </row>
        <row r="15">
          <cell r="C15" t="str">
            <v>Biopharmaceuticals net YOY change</v>
          </cell>
          <cell r="D15">
            <v>1108.7303353846146</v>
          </cell>
          <cell r="E15">
            <v>-1815.9760338038468</v>
          </cell>
          <cell r="F15">
            <v>-1675.8070859491891</v>
          </cell>
          <cell r="G15">
            <v>692.99319461100822</v>
          </cell>
          <cell r="H15">
            <v>-707.89682153612739</v>
          </cell>
          <cell r="BA15" t="str">
            <v>.</v>
          </cell>
        </row>
        <row r="16">
          <cell r="C16" t="str">
            <v>Mead Johnson YOY change</v>
          </cell>
          <cell r="D16">
            <v>214.20896000000039</v>
          </cell>
          <cell r="E16">
            <v>221.85658040000044</v>
          </cell>
          <cell r="F16">
            <v>215.35684153200009</v>
          </cell>
          <cell r="G16">
            <v>204.1549097092402</v>
          </cell>
          <cell r="H16">
            <v>188.16653348492491</v>
          </cell>
          <cell r="BA16" t="str">
            <v>.</v>
          </cell>
        </row>
        <row r="17">
          <cell r="C17" t="str">
            <v>Total YOY change</v>
          </cell>
          <cell r="D17">
            <v>1322.9392953846145</v>
          </cell>
          <cell r="E17">
            <v>-1594.1194534038477</v>
          </cell>
          <cell r="F17">
            <v>-1460.4502444171885</v>
          </cell>
          <cell r="G17">
            <v>897.14810432025115</v>
          </cell>
          <cell r="H17">
            <v>-519.73028805120339</v>
          </cell>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efreshError="1"/>
      <sheetData sheetId="3" refreshError="1"/>
      <sheetData sheetId="4">
        <row r="1">
          <cell r="P1" t="str">
            <v>SmartCharts</v>
          </cell>
          <cell r="BA1" t="str">
            <v>.</v>
          </cell>
        </row>
        <row r="2">
          <cell r="BA2" t="str">
            <v>.</v>
          </cell>
        </row>
        <row r="3">
          <cell r="BA3" t="str">
            <v>.</v>
          </cell>
        </row>
        <row r="4">
          <cell r="BA4" t="str">
            <v>.</v>
          </cell>
        </row>
        <row r="5">
          <cell r="C5" t="str">
            <v>Define value axis here:</v>
          </cell>
        </row>
        <row r="6">
          <cell r="C6" t="str">
            <v>Bristol-Myers Squibb 2010E–2015 margins projections</v>
          </cell>
        </row>
        <row r="10">
          <cell r="C10" t="str">
            <v>Input your data here:</v>
          </cell>
          <cell r="BA10" t="str">
            <v>.</v>
          </cell>
        </row>
        <row r="11">
          <cell r="D11">
            <v>2010</v>
          </cell>
          <cell r="E11">
            <v>2015</v>
          </cell>
          <cell r="BA11" t="str">
            <v>.</v>
          </cell>
        </row>
        <row r="12">
          <cell r="C12" t="str">
            <v>Gross margin</v>
          </cell>
          <cell r="D12">
            <v>0.72499999999999998</v>
          </cell>
          <cell r="E12">
            <v>0.68100000000000005</v>
          </cell>
        </row>
        <row r="13">
          <cell r="C13" t="str">
            <v>Operating margin</v>
          </cell>
          <cell r="D13">
            <v>0.30161955647352828</v>
          </cell>
          <cell r="E13">
            <v>0.25676950311816399</v>
          </cell>
        </row>
        <row r="14">
          <cell r="C14" t="str">
            <v>Net margin</v>
          </cell>
          <cell r="D14">
            <v>0.18869606564379282</v>
          </cell>
          <cell r="E14">
            <v>0.17772499764542135</v>
          </cell>
          <cell r="BA14" t="str">
            <v>.</v>
          </cell>
        </row>
        <row r="15">
          <cell r="BA15" t="str">
            <v>.</v>
          </cell>
        </row>
        <row r="16">
          <cell r="BA16" t="str">
            <v>.</v>
          </cell>
        </row>
        <row r="17">
          <cell r="BA17" t="str">
            <v>.</v>
          </cell>
        </row>
        <row r="18">
          <cell r="C18" t="str">
            <v xml:space="preserve">More than six categories will make this chart </v>
          </cell>
          <cell r="BA18" t="str">
            <v>.</v>
          </cell>
        </row>
        <row r="19">
          <cell r="C19" t="str">
            <v>cluttered and too difficult to read.</v>
          </cell>
          <cell r="BA19"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BA35" t="str">
            <v>.</v>
          </cell>
        </row>
        <row r="36">
          <cell r="BA36" t="str">
            <v>.</v>
          </cell>
        </row>
        <row r="37">
          <cell r="BA37" t="str">
            <v>.</v>
          </cell>
        </row>
        <row r="38">
          <cell r="BA38" t="str">
            <v>.</v>
          </cell>
        </row>
        <row r="39">
          <cell r="BA39" t="str">
            <v>.</v>
          </cell>
        </row>
        <row r="40">
          <cell r="BA40" t="str">
            <v>.</v>
          </cell>
        </row>
        <row r="41">
          <cell r="BA41" t="str">
            <v>.</v>
          </cell>
        </row>
        <row r="42">
          <cell r="I42" t="str">
            <v>Do not change the width of the exhibit or font sizes (they are optimized for export to Word).</v>
          </cell>
          <cell r="BA42" t="str">
            <v>.</v>
          </cell>
        </row>
        <row r="43">
          <cell r="BA43" t="str">
            <v>.</v>
          </cell>
        </row>
        <row r="44">
          <cell r="I44" t="str">
            <v>Do not delete any rows or columns (some gray cells are used for calculations).</v>
          </cell>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BA997" t="str">
            <v>.</v>
          </cell>
        </row>
        <row r="998">
          <cell r="A998" t="str">
            <v>.</v>
          </cell>
          <cell r="B998" t="str">
            <v>.</v>
          </cell>
          <cell r="C998" t="str">
            <v>.</v>
          </cell>
          <cell r="D998" t="str">
            <v>.</v>
          </cell>
          <cell r="E998" t="str">
            <v>.</v>
          </cell>
          <cell r="G998" t="str">
            <v>.</v>
          </cell>
          <cell r="H998" t="str">
            <v>.</v>
          </cell>
          <cell r="I998" t="str">
            <v>.</v>
          </cell>
          <cell r="S998" t="str">
            <v>.</v>
          </cell>
          <cell r="T998" t="str">
            <v>.</v>
          </cell>
          <cell r="U998" t="str">
            <v>.</v>
          </cell>
          <cell r="V998" t="str">
            <v>.</v>
          </cell>
          <cell r="W998" t="str">
            <v>.</v>
          </cell>
          <cell r="X998" t="str">
            <v>.</v>
          </cell>
          <cell r="Y998" t="str">
            <v>.</v>
          </cell>
          <cell r="Z998" t="str">
            <v>.</v>
          </cell>
          <cell r="AA998" t="str">
            <v>.</v>
          </cell>
          <cell r="AB998" t="str">
            <v>.</v>
          </cell>
          <cell r="AC998" t="str">
            <v>.</v>
          </cell>
          <cell r="AD998" t="str">
            <v>.</v>
          </cell>
          <cell r="AE998" t="str">
            <v>.</v>
          </cell>
          <cell r="AF998" t="str">
            <v>.</v>
          </cell>
          <cell r="AG998" t="str">
            <v>.</v>
          </cell>
          <cell r="AH998" t="str">
            <v>.</v>
          </cell>
          <cell r="AI998" t="str">
            <v>.</v>
          </cell>
          <cell r="AJ998" t="str">
            <v>.</v>
          </cell>
          <cell r="AK998" t="str">
            <v>.</v>
          </cell>
          <cell r="AL998" t="str">
            <v>.</v>
          </cell>
          <cell r="AM998" t="str">
            <v>.</v>
          </cell>
          <cell r="AN998" t="str">
            <v>.</v>
          </cell>
          <cell r="AO998" t="str">
            <v>.</v>
          </cell>
          <cell r="AP998" t="str">
            <v>.</v>
          </cell>
          <cell r="AQ998" t="str">
            <v>.</v>
          </cell>
          <cell r="AR998" t="str">
            <v>.</v>
          </cell>
          <cell r="AS998" t="str">
            <v>.</v>
          </cell>
          <cell r="AT998" t="str">
            <v>.</v>
          </cell>
          <cell r="AU998" t="str">
            <v>.</v>
          </cell>
          <cell r="AV998" t="str">
            <v>.</v>
          </cell>
          <cell r="AW998" t="str">
            <v>.</v>
          </cell>
          <cell r="AX998" t="str">
            <v>.</v>
          </cell>
          <cell r="AY998" t="str">
            <v>.</v>
          </cell>
          <cell r="AZ998" t="str">
            <v>.</v>
          </cell>
          <cell r="BA998"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amp;EuroEarnings"/>
      <sheetName val="Upstream"/>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独"/>
      <sheetName val="連結"/>
      <sheetName val="期中"/>
      <sheetName val="valu"/>
      <sheetName val="増減分析"/>
      <sheetName val="新素材"/>
      <sheetName val="子会社"/>
      <sheetName val="環境"/>
      <sheetName val="製錬拠点"/>
      <sheetName val="ﾃｨｻﾊﾟ"/>
      <sheetName val="ﾚｲﾃﾞﾌﾟﾗﾀ"/>
      <sheetName val="小坂"/>
      <sheetName val="中計"/>
      <sheetName val="cash"/>
      <sheetName val="ｾｸﾞﾒﾝﾄ"/>
      <sheetName val="含み益"/>
      <sheetName val="capx"/>
      <sheetName val="dep"/>
      <sheetName val="人"/>
      <sheetName val="exp"/>
      <sheetName val="Valuation Matrix"/>
      <sheetName val="HANDOUT"/>
      <sheetName val="Interm-Euro"/>
      <sheetName val="SCATTER DATA"/>
      <sheetName val="10 Yr DCF"/>
      <sheetName val="Annual-Euro"/>
      <sheetName val="Residual Income Model"/>
      <sheetName val="P"/>
      <sheetName val="EARNMOD"/>
      <sheetName val="WACC"/>
      <sheetName val="Sheet1"/>
      <sheetName val="Fixed Line Mkt"/>
      <sheetName val="Cash Flow"/>
      <sheetName val="upside_downside"/>
      <sheetName val="Income Statement"/>
      <sheetName val="Balance Sheet"/>
      <sheetName val="Valsum"/>
      <sheetName val="Operating Leases tagged"/>
      <sheetName val="Risk-Reward_View_Chart"/>
      <sheetName val="variables"/>
      <sheetName val="Good 12-00 (2)"/>
      <sheetName val="Good 11-36"/>
      <sheetName val="Good 11-50"/>
      <sheetName val="Sheet3 (5)"/>
      <sheetName val="exh 11"/>
      <sheetName val="exh 14"/>
      <sheetName val="exh 12"/>
      <sheetName val="exh 10"/>
      <sheetName val="exh 1 and 5"/>
      <sheetName val="exh 15"/>
      <sheetName val="exh 3"/>
      <sheetName val="exh 9"/>
      <sheetName val="DCF"/>
      <sheetName val="OP"/>
      <sheetName val="Inputs"/>
      <sheetName val="MWA RR"/>
      <sheetName val="Summary"/>
      <sheetName val="IS"/>
      <sheetName val="Total_Production"/>
      <sheetName val="RFS"/>
      <sheetName val="Corn_Uses"/>
      <sheetName val="US_Production"/>
      <sheetName val="IS Quarterly"/>
      <sheetName val="Sheet1 (2)"/>
      <sheetName val="1Q11 Preview"/>
      <sheetName val="2Q11 Preview"/>
      <sheetName val="Model"/>
      <sheetName val="Intrinsic Value"/>
      <sheetName val="Rev by Geo"/>
      <sheetName val="Report template"/>
      <sheetName val="Model (WIP)"/>
      <sheetName val="Exclusion List"/>
      <sheetName val="fin"/>
      <sheetName val="sales bkd"/>
      <sheetName val="Presentation"/>
      <sheetName val="Valuation"/>
      <sheetName val="Relative Valuation table_OLD"/>
      <sheetName val="Report (2)"/>
      <sheetName val="Margin Chart"/>
      <sheetName val="Buyback Chart"/>
      <sheetName val="CFS"/>
      <sheetName val="DCF_Residual Inc 09"/>
      <sheetName val="DCF_Residual Inc"/>
      <sheetName val="BS"/>
      <sheetName val="KPN"/>
      <sheetName val="REIT metrics"/>
      <sheetName val="Real"/>
      <sheetName val="PB"/>
      <sheetName val="EVEBITDA"/>
      <sheetName val="EVEBITDA (2)"/>
      <sheetName val="PE"/>
      <sheetName val="ChatData(C)"/>
      <sheetName val="Market shr summary"/>
      <sheetName val="Customer breakdown"/>
      <sheetName val="Sales Breakdown"/>
      <sheetName val="Sheet3"/>
      <sheetName val="Projections"/>
      <sheetName val="PXP"/>
      <sheetName val="EARNINGS"/>
      <sheetName val="New Source Charts"/>
      <sheetName val="Modelware"/>
      <sheetName val="Segment ROCE"/>
      <sheetName val="COP"/>
      <sheetName val="R&amp;MIS"/>
      <sheetName val="E&amp;P Growth &amp; Returns"/>
      <sheetName val="BUSINESS"/>
      <sheetName val="Ace-Out"/>
      <sheetName val="AFFILIATES (2)"/>
      <sheetName val="Scenario"/>
      <sheetName val="Trading Stats"/>
      <sheetName val="Liens data"/>
      <sheetName val="Grille"/>
      <sheetName val="Financials - Presentation"/>
      <sheetName val="Geographic Breakout"/>
      <sheetName val="Portfolio Manager's Snapshot"/>
      <sheetName val="GAP"/>
      <sheetName val="Quarterly Financial Model"/>
      <sheetName val="Inc Stmt"/>
    </sheetNames>
    <sheetDataSet>
      <sheetData sheetId="0" refreshError="1">
        <row r="14">
          <cell r="AR14">
            <v>28</v>
          </cell>
        </row>
        <row r="15">
          <cell r="AR15">
            <v>5</v>
          </cell>
        </row>
        <row r="16">
          <cell r="AR16">
            <v>14</v>
          </cell>
        </row>
        <row r="17">
          <cell r="AR17">
            <v>6</v>
          </cell>
        </row>
        <row r="18">
          <cell r="AR18">
            <v>-5</v>
          </cell>
        </row>
        <row r="512">
          <cell r="B512" t="str">
            <v>売上高</v>
          </cell>
          <cell r="D512" t="str">
            <v>M\</v>
          </cell>
          <cell r="Q512">
            <v>210000</v>
          </cell>
          <cell r="R512">
            <v>105000</v>
          </cell>
          <cell r="S512">
            <v>105000</v>
          </cell>
          <cell r="T512">
            <v>210000</v>
          </cell>
          <cell r="U512">
            <v>105000</v>
          </cell>
          <cell r="V512">
            <v>105000</v>
          </cell>
          <cell r="W512">
            <v>210000</v>
          </cell>
          <cell r="X512">
            <v>93000</v>
          </cell>
          <cell r="Y512">
            <v>100000</v>
          </cell>
          <cell r="Z512">
            <v>193000</v>
          </cell>
          <cell r="AA512">
            <v>91000</v>
          </cell>
          <cell r="AB512">
            <v>94000</v>
          </cell>
          <cell r="AC512">
            <v>185000</v>
          </cell>
        </row>
        <row r="513">
          <cell r="B513" t="str">
            <v>営業利益</v>
          </cell>
          <cell r="D513" t="str">
            <v>M\</v>
          </cell>
          <cell r="Q513">
            <v>8000</v>
          </cell>
          <cell r="R513">
            <v>5000</v>
          </cell>
          <cell r="S513">
            <v>5000</v>
          </cell>
          <cell r="T513">
            <v>10000</v>
          </cell>
          <cell r="V513">
            <v>0</v>
          </cell>
          <cell r="X513">
            <v>3000</v>
          </cell>
          <cell r="Y513">
            <v>4500</v>
          </cell>
          <cell r="Z513">
            <v>7500</v>
          </cell>
          <cell r="AA513">
            <v>3300</v>
          </cell>
          <cell r="AB513">
            <v>4400</v>
          </cell>
          <cell r="AC513">
            <v>7700</v>
          </cell>
        </row>
        <row r="514">
          <cell r="B514" t="str">
            <v>経常利益</v>
          </cell>
          <cell r="D514" t="str">
            <v>M\</v>
          </cell>
          <cell r="Q514">
            <v>6000</v>
          </cell>
          <cell r="R514">
            <v>4000</v>
          </cell>
          <cell r="S514">
            <v>4000</v>
          </cell>
          <cell r="T514">
            <v>8000</v>
          </cell>
          <cell r="U514">
            <v>3600</v>
          </cell>
          <cell r="V514">
            <v>3600</v>
          </cell>
          <cell r="W514">
            <v>7200</v>
          </cell>
          <cell r="X514">
            <v>2000</v>
          </cell>
          <cell r="Y514">
            <v>3000</v>
          </cell>
          <cell r="Z514">
            <v>5000</v>
          </cell>
          <cell r="AA514">
            <v>2500</v>
          </cell>
          <cell r="AB514">
            <v>3500</v>
          </cell>
          <cell r="AC514">
            <v>6000</v>
          </cell>
        </row>
        <row r="515">
          <cell r="B515" t="str">
            <v>当期利益</v>
          </cell>
          <cell r="D515" t="str">
            <v>M\</v>
          </cell>
          <cell r="Q515">
            <v>3000</v>
          </cell>
          <cell r="R515">
            <v>2000</v>
          </cell>
          <cell r="S515">
            <v>2000</v>
          </cell>
          <cell r="T515">
            <v>4000</v>
          </cell>
          <cell r="U515">
            <v>2000</v>
          </cell>
          <cell r="V515">
            <v>2000</v>
          </cell>
          <cell r="W515">
            <v>4000</v>
          </cell>
          <cell r="X515">
            <v>1200</v>
          </cell>
          <cell r="Y515">
            <v>1600</v>
          </cell>
          <cell r="Z515">
            <v>2800</v>
          </cell>
          <cell r="AA515">
            <v>1300</v>
          </cell>
          <cell r="AB515">
            <v>1700</v>
          </cell>
          <cell r="AC515">
            <v>3000</v>
          </cell>
        </row>
        <row r="516">
          <cell r="D516" t="str">
            <v xml:space="preserve"> </v>
          </cell>
        </row>
        <row r="517">
          <cell r="A517" t="str">
            <v>中間決算後の会社予想</v>
          </cell>
          <cell r="D517" t="str">
            <v xml:space="preserve"> </v>
          </cell>
          <cell r="Q517" t="str">
            <v>97/3期</v>
          </cell>
          <cell r="R517" t="str">
            <v>97/9上</v>
          </cell>
          <cell r="S517" t="str">
            <v>下</v>
          </cell>
          <cell r="T517" t="str">
            <v>98/3期</v>
          </cell>
          <cell r="U517" t="str">
            <v>98/9上</v>
          </cell>
          <cell r="V517" t="str">
            <v>下</v>
          </cell>
          <cell r="W517" t="str">
            <v>99/3期</v>
          </cell>
          <cell r="Z517" t="str">
            <v>00/3期</v>
          </cell>
          <cell r="AC517" t="str">
            <v>01/3期</v>
          </cell>
        </row>
        <row r="518">
          <cell r="B518" t="str">
            <v>売上高</v>
          </cell>
          <cell r="D518" t="str">
            <v>M\</v>
          </cell>
          <cell r="Q518">
            <v>200000</v>
          </cell>
          <cell r="S518">
            <v>109491</v>
          </cell>
          <cell r="T518">
            <v>222000</v>
          </cell>
          <cell r="U518">
            <v>104114</v>
          </cell>
          <cell r="V518">
            <v>105886</v>
          </cell>
          <cell r="W518">
            <v>210000</v>
          </cell>
          <cell r="X518">
            <v>91000</v>
          </cell>
          <cell r="Y518">
            <v>93000</v>
          </cell>
          <cell r="Z518">
            <v>184000</v>
          </cell>
          <cell r="AA518">
            <v>92800</v>
          </cell>
          <cell r="AB518">
            <v>94200</v>
          </cell>
          <cell r="AC518">
            <v>187000</v>
          </cell>
        </row>
        <row r="519">
          <cell r="B519" t="str">
            <v>営業利益</v>
          </cell>
          <cell r="D519" t="str">
            <v>M\</v>
          </cell>
          <cell r="Q519">
            <v>7500</v>
          </cell>
          <cell r="S519">
            <v>5552</v>
          </cell>
          <cell r="T519">
            <v>11000</v>
          </cell>
          <cell r="U519">
            <v>4811</v>
          </cell>
          <cell r="V519">
            <v>5689</v>
          </cell>
          <cell r="W519">
            <v>10500</v>
          </cell>
          <cell r="X519">
            <v>750</v>
          </cell>
          <cell r="Y519">
            <v>2350</v>
          </cell>
          <cell r="Z519">
            <v>3100</v>
          </cell>
          <cell r="AA519">
            <v>4000</v>
          </cell>
          <cell r="AB519">
            <v>4600</v>
          </cell>
          <cell r="AC519">
            <v>8600</v>
          </cell>
        </row>
        <row r="520">
          <cell r="B520" t="str">
            <v>経常利益</v>
          </cell>
          <cell r="D520" t="str">
            <v>M\</v>
          </cell>
          <cell r="Q520">
            <v>6000</v>
          </cell>
          <cell r="S520">
            <v>4344</v>
          </cell>
          <cell r="T520">
            <v>8500</v>
          </cell>
          <cell r="U520">
            <v>2863</v>
          </cell>
          <cell r="V520">
            <v>4337</v>
          </cell>
          <cell r="W520">
            <v>7200</v>
          </cell>
          <cell r="X520">
            <v>1200</v>
          </cell>
          <cell r="Y520">
            <v>1300</v>
          </cell>
          <cell r="Z520">
            <v>2500</v>
          </cell>
          <cell r="AA520">
            <v>3200</v>
          </cell>
          <cell r="AB520">
            <v>3800</v>
          </cell>
          <cell r="AC520">
            <v>7000</v>
          </cell>
        </row>
        <row r="521">
          <cell r="B521" t="str">
            <v>当期利益</v>
          </cell>
          <cell r="D521" t="str">
            <v>M\</v>
          </cell>
          <cell r="Q521">
            <v>3000</v>
          </cell>
          <cell r="S521">
            <v>1985</v>
          </cell>
          <cell r="T521">
            <v>4500</v>
          </cell>
          <cell r="U521">
            <v>1269</v>
          </cell>
          <cell r="V521">
            <v>2731</v>
          </cell>
          <cell r="W521">
            <v>4000</v>
          </cell>
          <cell r="X521">
            <v>900</v>
          </cell>
          <cell r="Y521">
            <v>700</v>
          </cell>
          <cell r="Z521">
            <v>1600</v>
          </cell>
          <cell r="AA521">
            <v>1700</v>
          </cell>
          <cell r="AB521">
            <v>1800</v>
          </cell>
          <cell r="AC521">
            <v>3500</v>
          </cell>
        </row>
        <row r="522">
          <cell r="D522" t="str">
            <v xml:space="preserve"> </v>
          </cell>
        </row>
        <row r="523">
          <cell r="A523" t="str">
            <v>修正後の会社予想</v>
          </cell>
          <cell r="D523" t="str">
            <v xml:space="preserve"> </v>
          </cell>
          <cell r="Q523" t="str">
            <v>97/3期</v>
          </cell>
          <cell r="R523" t="str">
            <v>97/9上</v>
          </cell>
          <cell r="S523" t="str">
            <v>下</v>
          </cell>
          <cell r="T523" t="str">
            <v>98/3期</v>
          </cell>
          <cell r="U523" t="str">
            <v>98/9上</v>
          </cell>
          <cell r="V523" t="str">
            <v>下</v>
          </cell>
          <cell r="W523" t="str">
            <v>99/3期</v>
          </cell>
          <cell r="Z523" t="str">
            <v>00/3期</v>
          </cell>
          <cell r="AC523" t="str">
            <v>01/3期</v>
          </cell>
        </row>
        <row r="524">
          <cell r="B524" t="str">
            <v>売上高</v>
          </cell>
          <cell r="D524" t="str">
            <v>M\</v>
          </cell>
          <cell r="U524">
            <v>112509</v>
          </cell>
          <cell r="V524">
            <v>82491</v>
          </cell>
          <cell r="W524">
            <v>195000</v>
          </cell>
          <cell r="X524">
            <v>92411</v>
          </cell>
          <cell r="Y524">
            <v>91589</v>
          </cell>
          <cell r="Z524">
            <v>184000</v>
          </cell>
          <cell r="AC524">
            <v>188600</v>
          </cell>
        </row>
        <row r="525">
          <cell r="B525" t="str">
            <v>営業利益</v>
          </cell>
          <cell r="D525" t="str">
            <v>M\</v>
          </cell>
          <cell r="U525">
            <v>5448</v>
          </cell>
          <cell r="V525">
            <v>-5448</v>
          </cell>
          <cell r="W525" t="str">
            <v>-</v>
          </cell>
          <cell r="X525">
            <v>739</v>
          </cell>
          <cell r="Y525">
            <v>2261</v>
          </cell>
          <cell r="Z525">
            <v>3000</v>
          </cell>
          <cell r="AC525">
            <v>8500</v>
          </cell>
        </row>
        <row r="526">
          <cell r="B526" t="str">
            <v>経常利益</v>
          </cell>
          <cell r="D526" t="str">
            <v>M\</v>
          </cell>
          <cell r="U526">
            <v>4156</v>
          </cell>
          <cell r="V526">
            <v>1144</v>
          </cell>
          <cell r="W526">
            <v>5300</v>
          </cell>
          <cell r="X526">
            <v>1209</v>
          </cell>
          <cell r="Y526">
            <v>1291</v>
          </cell>
          <cell r="Z526">
            <v>2500</v>
          </cell>
          <cell r="AC526">
            <v>7000</v>
          </cell>
        </row>
        <row r="527">
          <cell r="B527" t="str">
            <v>当期利益</v>
          </cell>
          <cell r="D527" t="str">
            <v>M\</v>
          </cell>
          <cell r="U527">
            <v>2515</v>
          </cell>
          <cell r="V527">
            <v>-1515</v>
          </cell>
          <cell r="W527">
            <v>1000</v>
          </cell>
          <cell r="X527">
            <v>1015</v>
          </cell>
          <cell r="Y527">
            <v>585</v>
          </cell>
          <cell r="Z527">
            <v>1600</v>
          </cell>
          <cell r="AC527">
            <v>3500</v>
          </cell>
        </row>
        <row r="529">
          <cell r="A529" t="str">
            <v>自分の業績予想の要約</v>
          </cell>
          <cell r="D529" t="str">
            <v xml:space="preserve"> </v>
          </cell>
          <cell r="Q529" t="str">
            <v>97/3期</v>
          </cell>
          <cell r="R529" t="str">
            <v>97/9上</v>
          </cell>
          <cell r="S529" t="str">
            <v>下</v>
          </cell>
          <cell r="T529" t="str">
            <v>98/3期</v>
          </cell>
          <cell r="U529" t="str">
            <v>98/9上</v>
          </cell>
          <cell r="V529" t="str">
            <v>下</v>
          </cell>
          <cell r="W529" t="str">
            <v>99/3期</v>
          </cell>
          <cell r="Z529" t="str">
            <v>00/3期</v>
          </cell>
          <cell r="AC529" t="str">
            <v>01/3期</v>
          </cell>
        </row>
        <row r="530">
          <cell r="B530" t="str">
            <v>売上高</v>
          </cell>
          <cell r="D530" t="str">
            <v>M\</v>
          </cell>
          <cell r="Q530">
            <v>212588</v>
          </cell>
          <cell r="R530">
            <v>112509</v>
          </cell>
          <cell r="S530">
            <v>108769</v>
          </cell>
          <cell r="T530">
            <v>221278</v>
          </cell>
          <cell r="U530">
            <v>104114</v>
          </cell>
          <cell r="V530">
            <v>105886</v>
          </cell>
          <cell r="W530">
            <v>196247</v>
          </cell>
          <cell r="X530">
            <v>92411</v>
          </cell>
          <cell r="Y530">
            <v>94325</v>
          </cell>
          <cell r="Z530">
            <v>186736</v>
          </cell>
          <cell r="AA530">
            <v>93449</v>
          </cell>
          <cell r="AB530">
            <v>95973</v>
          </cell>
          <cell r="AC530">
            <v>189422</v>
          </cell>
        </row>
        <row r="531">
          <cell r="B531" t="str">
            <v>営業利益</v>
          </cell>
          <cell r="D531" t="str">
            <v>M\</v>
          </cell>
          <cell r="Q531">
            <v>8473</v>
          </cell>
          <cell r="R531">
            <v>5448</v>
          </cell>
          <cell r="S531">
            <v>6280</v>
          </cell>
          <cell r="T531">
            <v>11728</v>
          </cell>
          <cell r="U531">
            <v>4811</v>
          </cell>
          <cell r="V531">
            <v>-4811</v>
          </cell>
          <cell r="W531">
            <v>9099</v>
          </cell>
          <cell r="X531">
            <v>739</v>
          </cell>
          <cell r="Y531">
            <v>2937</v>
          </cell>
          <cell r="Z531">
            <v>3676</v>
          </cell>
          <cell r="AA531">
            <v>3823</v>
          </cell>
          <cell r="AB531">
            <v>4774</v>
          </cell>
          <cell r="AC531">
            <v>8597</v>
          </cell>
        </row>
        <row r="532">
          <cell r="B532" t="str">
            <v>経常利益</v>
          </cell>
          <cell r="D532" t="str">
            <v>M\</v>
          </cell>
          <cell r="Q532">
            <v>6780</v>
          </cell>
          <cell r="R532">
            <v>4156</v>
          </cell>
          <cell r="S532">
            <v>4254</v>
          </cell>
          <cell r="T532">
            <v>8410</v>
          </cell>
          <cell r="U532">
            <v>2863</v>
          </cell>
          <cell r="V532">
            <v>4337</v>
          </cell>
          <cell r="W532">
            <v>5436</v>
          </cell>
          <cell r="X532">
            <v>1209</v>
          </cell>
          <cell r="Y532">
            <v>2206</v>
          </cell>
          <cell r="Z532">
            <v>3415</v>
          </cell>
          <cell r="AA532">
            <v>3188</v>
          </cell>
          <cell r="AB532">
            <v>4246</v>
          </cell>
          <cell r="AC532">
            <v>7434</v>
          </cell>
        </row>
        <row r="533">
          <cell r="B533" t="str">
            <v>当期利益</v>
          </cell>
          <cell r="D533" t="str">
            <v>M\</v>
          </cell>
          <cell r="Q533">
            <v>2642</v>
          </cell>
          <cell r="R533">
            <v>2515</v>
          </cell>
          <cell r="S533">
            <v>1930</v>
          </cell>
          <cell r="T533">
            <v>4445</v>
          </cell>
          <cell r="U533">
            <v>1269</v>
          </cell>
          <cell r="V533">
            <v>2731</v>
          </cell>
          <cell r="W533">
            <v>1249</v>
          </cell>
          <cell r="X533">
            <v>1015</v>
          </cell>
          <cell r="Y533">
            <v>-371</v>
          </cell>
          <cell r="Z533">
            <v>644</v>
          </cell>
          <cell r="AA533">
            <v>1886</v>
          </cell>
          <cell r="AB533">
            <v>1735</v>
          </cell>
          <cell r="AC533">
            <v>3621</v>
          </cell>
        </row>
        <row r="534">
          <cell r="B534" t="str">
            <v>ｷｬｯｼｭﾌﾛｰ</v>
          </cell>
          <cell r="D534" t="str">
            <v>M\</v>
          </cell>
          <cell r="Q534">
            <v>6569</v>
          </cell>
          <cell r="T534">
            <v>8397</v>
          </cell>
          <cell r="W534">
            <v>5219</v>
          </cell>
          <cell r="X534">
            <v>0</v>
          </cell>
          <cell r="Y534">
            <v>0</v>
          </cell>
          <cell r="Z534">
            <v>5272</v>
          </cell>
          <cell r="AA534">
            <v>0</v>
          </cell>
          <cell r="AB534">
            <v>0</v>
          </cell>
          <cell r="AC534">
            <v>7744</v>
          </cell>
        </row>
        <row r="535">
          <cell r="B535" t="str">
            <v>ＥＰＳ</v>
          </cell>
          <cell r="D535" t="str">
            <v xml:space="preserve"> </v>
          </cell>
          <cell r="Q535">
            <v>9.3778729053303369</v>
          </cell>
          <cell r="T535">
            <v>15.777685489853653</v>
          </cell>
          <cell r="W535">
            <v>4.4585484502642458</v>
          </cell>
          <cell r="X535">
            <v>0</v>
          </cell>
          <cell r="Y535">
            <v>0</v>
          </cell>
          <cell r="Z535">
            <v>2.3091291751816403</v>
          </cell>
          <cell r="AA535">
            <v>0</v>
          </cell>
          <cell r="AB535">
            <v>0</v>
          </cell>
          <cell r="AC535">
            <v>12.474266786471992</v>
          </cell>
        </row>
        <row r="536">
          <cell r="B536" t="str">
            <v>ＣＦＰＳ</v>
          </cell>
          <cell r="Q536">
            <v>23.316898983767974</v>
          </cell>
          <cell r="T536">
            <v>29.805449956873144</v>
          </cell>
          <cell r="W536">
            <v>18.63023567808575</v>
          </cell>
          <cell r="X536">
            <v>0</v>
          </cell>
          <cell r="Y536">
            <v>0</v>
          </cell>
          <cell r="Z536">
            <v>18.903305918567714</v>
          </cell>
          <cell r="AA536">
            <v>0</v>
          </cell>
          <cell r="AB536">
            <v>0</v>
          </cell>
          <cell r="AC536">
            <v>26.677912729753963</v>
          </cell>
        </row>
        <row r="537">
          <cell r="B537" t="str">
            <v>ＢＰＳ</v>
          </cell>
          <cell r="D537" t="str">
            <v xml:space="preserve"> </v>
          </cell>
          <cell r="Q537">
            <v>274.47138541921788</v>
          </cell>
          <cell r="T537">
            <v>285.04545180263165</v>
          </cell>
          <cell r="W537">
            <v>283.40518700030344</v>
          </cell>
          <cell r="X537">
            <v>0</v>
          </cell>
          <cell r="Y537">
            <v>0</v>
          </cell>
          <cell r="Z537">
            <v>284.88701918588026</v>
          </cell>
          <cell r="AA537">
            <v>0</v>
          </cell>
          <cell r="AB537">
            <v>0</v>
          </cell>
          <cell r="AC537">
            <v>301.13934185933795</v>
          </cell>
        </row>
        <row r="538">
          <cell r="B538" t="str">
            <v>ＲＯＥ</v>
          </cell>
          <cell r="D538" t="str">
            <v xml:space="preserve"> </v>
          </cell>
          <cell r="Q538">
            <v>3.4167033080723171E-2</v>
          </cell>
          <cell r="T538">
            <v>5.5351472511051616E-2</v>
          </cell>
          <cell r="W538">
            <v>1.5732063683998387E-2</v>
          </cell>
          <cell r="X538">
            <v>0</v>
          </cell>
          <cell r="Y538">
            <v>0</v>
          </cell>
          <cell r="Z538">
            <v>8.1054208148213392E-3</v>
          </cell>
          <cell r="AA538">
            <v>0</v>
          </cell>
          <cell r="AB538">
            <v>0</v>
          </cell>
          <cell r="AC538">
            <v>4.1423570595099185E-2</v>
          </cell>
        </row>
        <row r="539">
          <cell r="B539" t="str">
            <v>発行済株式数</v>
          </cell>
          <cell r="D539" t="str">
            <v xml:space="preserve"> </v>
          </cell>
          <cell r="Q539">
            <v>281727</v>
          </cell>
          <cell r="T539">
            <v>281727</v>
          </cell>
          <cell r="W539">
            <v>280136.016</v>
          </cell>
          <cell r="X539">
            <v>0</v>
          </cell>
          <cell r="Y539">
            <v>0</v>
          </cell>
          <cell r="Z539">
            <v>278893.016</v>
          </cell>
          <cell r="AA539">
            <v>0</v>
          </cell>
          <cell r="AB539">
            <v>0</v>
          </cell>
          <cell r="AC539">
            <v>290277.58199999999</v>
          </cell>
        </row>
        <row r="540">
          <cell r="C540" t="str">
            <v>売上前期比</v>
          </cell>
          <cell r="D540" t="str">
            <v xml:space="preserve"> </v>
          </cell>
          <cell r="T540">
            <v>4.0877189681449488E-2</v>
          </cell>
          <cell r="U540">
            <v>-7.461625292198848E-2</v>
          </cell>
          <cell r="V540">
            <v>-2.6505713944230402E-2</v>
          </cell>
          <cell r="W540">
            <v>-0.11312014750675625</v>
          </cell>
          <cell r="X540">
            <v>-0.11240563228768463</v>
          </cell>
          <cell r="Y540">
            <v>-0.10918346145854974</v>
          </cell>
          <cell r="Z540">
            <v>-4.8464435125122884E-2</v>
          </cell>
          <cell r="AA540">
            <v>1.1232429039832903E-2</v>
          </cell>
          <cell r="AB540">
            <v>1.7471508083753085E-2</v>
          </cell>
          <cell r="AC540">
            <v>1.4383943106845987E-2</v>
          </cell>
        </row>
        <row r="541">
          <cell r="C541" t="str">
            <v>営業前期比</v>
          </cell>
          <cell r="D541" t="str">
            <v xml:space="preserve"> </v>
          </cell>
          <cell r="T541">
            <v>0.38416145403044966</v>
          </cell>
          <cell r="U541">
            <v>-0.11692364170337743</v>
          </cell>
          <cell r="V541">
            <v>-1.7660828025477708</v>
          </cell>
          <cell r="W541">
            <v>-0.22416439290586632</v>
          </cell>
          <cell r="X541">
            <v>-0.84639368114737057</v>
          </cell>
          <cell r="Y541">
            <v>-1.6104759925171481</v>
          </cell>
          <cell r="Z541">
            <v>-0.59599956039125179</v>
          </cell>
          <cell r="AA541">
            <v>4.1732070365358593</v>
          </cell>
          <cell r="AB541">
            <v>0.62546816479400746</v>
          </cell>
          <cell r="AC541">
            <v>1.3386833514689882</v>
          </cell>
        </row>
        <row r="542">
          <cell r="C542" t="str">
            <v>経常前期比</v>
          </cell>
          <cell r="D542" t="str">
            <v xml:space="preserve"> </v>
          </cell>
          <cell r="T542">
            <v>0.24041297935103234</v>
          </cell>
          <cell r="U542">
            <v>-0.31111645813282007</v>
          </cell>
          <cell r="V542">
            <v>1.9511048425011834E-2</v>
          </cell>
          <cell r="W542">
            <v>-0.35362663495838287</v>
          </cell>
          <cell r="X542">
            <v>-0.57771568285015718</v>
          </cell>
          <cell r="Y542">
            <v>-0.49135347014065023</v>
          </cell>
          <cell r="Z542">
            <v>-0.37178072111846949</v>
          </cell>
          <cell r="AA542">
            <v>1.6368899917287014</v>
          </cell>
          <cell r="AB542">
            <v>0.92475067996373528</v>
          </cell>
          <cell r="AC542">
            <v>1.1768667642752564</v>
          </cell>
        </row>
        <row r="543">
          <cell r="C543" t="str">
            <v>当期前期比</v>
          </cell>
          <cell r="D543" t="str">
            <v xml:space="preserve"> </v>
          </cell>
          <cell r="I543" t="str">
            <v>-</v>
          </cell>
          <cell r="J543" t="str">
            <v>-</v>
          </cell>
          <cell r="K543" t="str">
            <v>-</v>
          </cell>
          <cell r="T543">
            <v>0.68243754731264183</v>
          </cell>
          <cell r="U543">
            <v>-0.49542743538767398</v>
          </cell>
          <cell r="V543">
            <v>0.41502590673575135</v>
          </cell>
          <cell r="W543">
            <v>-0.71901012373453321</v>
          </cell>
          <cell r="X543">
            <v>-0.20015760441292352</v>
          </cell>
          <cell r="Y543">
            <v>-1.1358476748443793</v>
          </cell>
          <cell r="Z543">
            <v>-0.48438751000800639</v>
          </cell>
          <cell r="AA543">
            <v>0.8581280788177339</v>
          </cell>
          <cell r="AB543">
            <v>-5.6765498652291102</v>
          </cell>
          <cell r="AC543">
            <v>4.6226708074534164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4">
          <cell r="E164">
            <v>1247</v>
          </cell>
          <cell r="F164">
            <v>1807</v>
          </cell>
          <cell r="G164">
            <v>2812</v>
          </cell>
          <cell r="H164">
            <v>2828</v>
          </cell>
          <cell r="I164">
            <v>6670</v>
          </cell>
        </row>
        <row r="165">
          <cell r="E165" t="e">
            <v>#VALUE!</v>
          </cell>
          <cell r="F165" t="e">
            <v>#VALUE!</v>
          </cell>
          <cell r="G165" t="e">
            <v>#VALUE!</v>
          </cell>
          <cell r="H165" t="e">
            <v>#VALUE!</v>
          </cell>
          <cell r="I165" t="e">
            <v>#VALUE!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WC"/>
      <sheetName val="UPDATE"/>
      <sheetName val="cnsns"/>
      <sheetName val="trsht"/>
      <sheetName val="1997 Yr var "/>
      <sheetName val="q4 1997 var"/>
      <sheetName val="q1 1998"/>
      <sheetName val="q2 1998 "/>
      <sheetName val="q3 1998"/>
      <sheetName val="q4 1998 "/>
      <sheetName val="q1 1999  revised"/>
      <sheetName val="q1 1999 "/>
      <sheetName val="Q2 1999 VAR"/>
      <sheetName val="3Q 99 VAR"/>
      <sheetName val="4Q 99 VAR"/>
      <sheetName val="1Q 00 VAR"/>
      <sheetName val="2Q 00 VAR"/>
      <sheetName val="3Q 00 VAR"/>
      <sheetName val="Accounts"/>
      <sheetName val="Technology bank"/>
      <sheetName val="Qtrly bal sht"/>
      <sheetName val="qtrly cash flow"/>
      <sheetName val="Regression Auto"/>
      <sheetName val="Regression ALL"/>
      <sheetName val="ODS new"/>
      <sheetName val="old ODS"/>
      <sheetName val="ROA by segment"/>
      <sheetName val="GE Appliance Data"/>
      <sheetName val="sale of occupant safety systems"/>
      <sheetName val="trwlva"/>
      <sheetName val="astrolink"/>
      <sheetName val="Sales_Product"/>
      <sheetName val="breakup"/>
      <sheetName val="Sale-Tear"/>
      <sheetName val="SOTP EBITDA"/>
      <sheetName val="SOTP NI"/>
      <sheetName val="segrevs"/>
      <sheetName val="Sheet1"/>
      <sheetName val="S&amp;Drevca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7">
          <cell r="AT27">
            <v>-225</v>
          </cell>
          <cell r="AU27">
            <v>-225</v>
          </cell>
        </row>
        <row r="31">
          <cell r="AT31">
            <v>0</v>
          </cell>
          <cell r="AU3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WA RR"/>
      <sheetName val="rr sheet"/>
      <sheetName val="Sheet3"/>
      <sheetName val="MW GEG"/>
      <sheetName val="BS"/>
      <sheetName val="KPI's"/>
    </sheetNames>
    <definedNames>
      <definedName name="PRT6BD5BK32"/>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TEMPLATES"/>
      <sheetName val="New Issue"/>
      <sheetName val="Rationale - RevVal"/>
      <sheetName val="One Page Model"/>
      <sheetName val="Tactical Trade"/>
      <sheetName val="Merger or Arb Supplement"/>
      <sheetName val="ISSUER INFO"/>
      <sheetName val="KPI's"/>
      <sheetName val="Forecasts"/>
      <sheetName val="DCF"/>
      <sheetName val="Multiples"/>
      <sheetName val="Presentation Tables"/>
      <sheetName val="Calculation"/>
      <sheetName val="Divisional Summary"/>
      <sheetName val="Consensus"/>
      <sheetName val="Income Statement"/>
      <sheetName val="Balance Sheet"/>
      <sheetName val="Cash Flow"/>
      <sheetName val="A&amp;G Handling"/>
      <sheetName val="FabTech"/>
      <sheetName val="MedTech"/>
      <sheetName val="FX"/>
      <sheetName val="M&amp;A"/>
      <sheetName val="Debt"/>
      <sheetName val="Seasonality"/>
      <sheetName val="Guidance"/>
      <sheetName val="Pension"/>
      <sheetName val="Geographic"/>
      <sheetName val="QC"/>
      <sheetName val="DB Disclaimer"/>
    </sheetNames>
    <sheetDataSet>
      <sheetData sheetId="0"/>
      <sheetData sheetId="1"/>
      <sheetData sheetId="2"/>
      <sheetData sheetId="3"/>
      <sheetData sheetId="4">
        <row r="3">
          <cell r="Z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J3">
            <v>1</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TEMPLATES"/>
      <sheetName val="One Pager"/>
      <sheetName val="Rationale - RevVal"/>
      <sheetName val="Tactical Trade"/>
      <sheetName val="New Issue"/>
      <sheetName val="ISSUER INFO"/>
      <sheetName val="Calculation (2)"/>
      <sheetName val="Financials"/>
      <sheetName val="Debt (2)"/>
      <sheetName val="New Model"/>
      <sheetName val="SPOT"/>
    </sheetNames>
    <sheetDataSet>
      <sheetData sheetId="0"/>
      <sheetData sheetId="1"/>
      <sheetData sheetId="2">
        <row r="3">
          <cell r="Z3">
            <v>1</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rTS"/>
      <sheetName val="IssuerComp"/>
      <sheetName val="SectorTS"/>
      <sheetName val="SectorComp"/>
      <sheetName val="Seperator"/>
      <sheetName val="Data (from 01-01-02)"/>
      <sheetName val="Sector Level Data"/>
      <sheetName val="Daily Update"/>
      <sheetName val="BalanceSheet &amp; Rates"/>
      <sheetName val="IED Worksheet"/>
      <sheetName val="SectorDesignation"/>
      <sheetName val="10-15&amp;16-02Data"/>
      <sheetName val="Prototype (11-14-02 253 HG +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brlPreview"/>
      <sheetName val="MODELWARE"/>
      <sheetName val="XOM"/>
      <sheetName val="IS"/>
      <sheetName val="Share Repurchase"/>
      <sheetName val="MainCode"/>
      <sheetName val="WorkingCapital"/>
      <sheetName val="Pension Adjustments"/>
      <sheetName val="BS"/>
      <sheetName val="US Pension"/>
      <sheetName val="Intl Pension"/>
      <sheetName val="OPEBs"/>
      <sheetName val="DRC"/>
      <sheetName val="ReservesRegion"/>
      <sheetName val="ROCE"/>
      <sheetName val="E&amp;PIS"/>
      <sheetName val="R&amp;MIS"/>
      <sheetName val="ChemsIS"/>
      <sheetName val="Corporate"/>
      <sheetName val="Capex"/>
      <sheetName val="E&amp;P"/>
      <sheetName val="NSOURCE"/>
      <sheetName val="GE Data"/>
      <sheetName val="NY UPLOAD"/>
      <sheetName val="MobilPurchase"/>
      <sheetName val="WACC"/>
      <sheetName val="Global E&amp;P Field Percentages"/>
      <sheetName val="NEPS"/>
      <sheetName val="DIVIS"/>
      <sheetName val="Variance"/>
      <sheetName val="xbrldates"/>
      <sheetName val="xbrlSettings"/>
      <sheetName val="NY UPLOAD shad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S"/>
      <sheetName val="One Pager_AMC"/>
      <sheetName val="Rationale - RevVal AMC"/>
      <sheetName val="One Pager_Stand-Alone AR"/>
      <sheetName val="ISSUER INFO"/>
      <sheetName val="Mgmt. Equity Ownership"/>
      <sheetName val="AR&gt;&gt;&gt; "/>
      <sheetName val="Old One Pager_Stand-Alone AR"/>
      <sheetName val="Calculation_Stand-Alone AR"/>
      <sheetName val="Guidance_Stand-Alone AR"/>
      <sheetName val="Assumptions_Stand-Alone AR"/>
      <sheetName val="Financials_Stand-Alone AR"/>
      <sheetName val="Sheet2"/>
      <sheetName val="Hedging"/>
      <sheetName val="Variance 3Q19_AR"/>
      <sheetName val="Debt_Stand-Alone AR"/>
      <sheetName val="AM&gt;&gt;&gt;"/>
      <sheetName val="Old One Pager_AMC"/>
      <sheetName val="Calculation_AMC"/>
      <sheetName val="Assumptions_AMC"/>
      <sheetName val="Financials_AMC"/>
      <sheetName val="Segments_AMC"/>
      <sheetName val="Variance 4Q18_AM"/>
      <sheetName val="Earnings Call"/>
      <sheetName val="Consensus Summary_AMC"/>
      <sheetName val="Debt_AMC"/>
      <sheetName val="Regression"/>
      <sheetName val="Simplification Agreement"/>
      <sheetName val="Financials_AM"/>
      <sheetName val="Financial_AMGP"/>
    </sheetNames>
    <sheetDataSet>
      <sheetData sheetId="0"/>
      <sheetData sheetId="1"/>
      <sheetData sheetId="2"/>
      <sheetData sheetId="3"/>
      <sheetData sheetId="4"/>
      <sheetData sheetId="5"/>
      <sheetData sheetId="6"/>
      <sheetData sheetId="7"/>
      <sheetData sheetId="8"/>
      <sheetData sheetId="9">
        <row r="3">
          <cell r="E3">
            <v>0</v>
          </cell>
        </row>
      </sheetData>
      <sheetData sheetId="10">
        <row r="3">
          <cell r="X3">
            <v>2</v>
          </cell>
          <cell r="AI3">
            <v>2</v>
          </cell>
        </row>
      </sheetData>
      <sheetData sheetId="11"/>
      <sheetData sheetId="12"/>
      <sheetData sheetId="13"/>
      <sheetData sheetId="14"/>
      <sheetData sheetId="15">
        <row r="2">
          <cell r="W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P"/>
      <sheetName val="BS"/>
      <sheetName val="TOSCO"/>
      <sheetName val="Segment ROCE"/>
      <sheetName val="ROGIC"/>
      <sheetName val="E&amp;P"/>
      <sheetName val="NEPS"/>
      <sheetName val="RefineryMaint"/>
      <sheetName val="Hamaca"/>
      <sheetName val="Bohai"/>
      <sheetName val="Bayu Undan"/>
      <sheetName val="R&amp;M"/>
      <sheetName val="GPM"/>
      <sheetName val="Variance"/>
      <sheetName val="ARCO - Alaska"/>
      <sheetName val="Capex"/>
      <sheetName val="Reserves"/>
      <sheetName val="WACC"/>
      <sheetName val="Valuation"/>
      <sheetName val="NAV"/>
      <sheetName val="Chemical JV"/>
      <sheetName val="Chems"/>
      <sheetName val="EKOFISK"/>
      <sheetName val="PUDS"/>
      <sheetName val="GE Data"/>
      <sheetName val="IndexInformation"/>
      <sheetName val="MainCode"/>
      <sheetName val="NY UPLOAD"/>
      <sheetName val="NY UPLOAD Shadow"/>
      <sheetName val="Distribution"/>
      <sheetName val="A-Link Source"/>
      <sheetName val="Q-Link Source"/>
      <sheetName val="Quarterly"/>
      <sheetName val="Normalized"/>
      <sheetName val="DDM"/>
      <sheetName val="B Sheet"/>
      <sheetName val="NY UPLOAD.bak"/>
      <sheetName val="NY UPLOAD Shadow.bak"/>
      <sheetName val="Ratios"/>
      <sheetName val="Income Statement"/>
      <sheetName val="Revenue&amp;EBIT"/>
      <sheetName val="Fin. Summary"/>
      <sheetName val="COP"/>
      <sheetName val="Inputs"/>
      <sheetName val="XOM"/>
      <sheetName val="New Source Charts"/>
      <sheetName val="Modelware"/>
      <sheetName val="R&amp;MIS"/>
      <sheetName val="E&amp;P Growth &amp; Returns"/>
      <sheetName val="Global Product Sum"/>
      <sheetName val="Scenario"/>
      <sheetName val="Quarter"/>
      <sheetName val="Annual"/>
      <sheetName val="AN"/>
      <sheetName val="COC"/>
      <sheetName val="ｾｸﾞﾒﾝﾄ"/>
      <sheetName val="単独"/>
      <sheetName val="Factset Profile"/>
      <sheetName val="cash"/>
      <sheetName val="RD"/>
      <sheetName val="Power Plants"/>
      <sheetName val="synthgraph"/>
      <sheetName val="Scene2"/>
      <sheetName val="Bridge"/>
      <sheetName val="AK"/>
      <sheetName val="Cyc"/>
      <sheetName val="WF G"/>
      <sheetName val="CF"/>
      <sheetName val="FX2"/>
      <sheetName val="IS"/>
      <sheetName val="KEY_FINANCIALS"/>
      <sheetName val="DATA_IMPORT"/>
      <sheetName val="Model"/>
      <sheetName val="DCF"/>
      <sheetName val="FX Impact"/>
      <sheetName val="Tracking --&gt;"/>
      <sheetName val="Relative"/>
      <sheetName val="NORM"/>
      <sheetName val="SOLP"/>
      <sheetName val="Liquids"/>
      <sheetName val="charts"/>
      <sheetName val="Apples-Ratios"/>
      <sheetName val="Quarterly Data"/>
      <sheetName val="Debt"/>
      <sheetName val="Sheet1"/>
      <sheetName val="US"/>
      <sheetName val="DL"/>
      <sheetName val="IBES"/>
      <sheetName val="Value-A"/>
      <sheetName val="Scenarios"/>
      <sheetName val="ACM"/>
      <sheetName val="MW Ratios"/>
      <sheetName val="Ratings"/>
      <sheetName val="Field"/>
      <sheetName val="REVS"/>
      <sheetName val="earnmodel"/>
      <sheetName val="O_fpage"/>
      <sheetName val="maturityprofile"/>
      <sheetName val="variables"/>
      <sheetName val="IP"/>
      <sheetName val="Vluation"/>
      <sheetName val="ChemiPal JV"/>
      <sheetName val="Old BKS"/>
      <sheetName val="Plants"/>
      <sheetName val="VeraSun"/>
      <sheetName val="Forecast Change"/>
      <sheetName val="CY Link"/>
      <sheetName val="New Source"/>
      <sheetName val="INFAnnual"/>
      <sheetName val="Balance Sheet"/>
      <sheetName val="HSCDS-Retail"/>
      <sheetName val="DVC"/>
      <sheetName val="Links"/>
      <sheetName val="SectorPSales"/>
      <sheetName val="BMW"/>
      <sheetName val="BalanceSheet"/>
      <sheetName val="Add"/>
      <sheetName val="Revenue Model"/>
      <sheetName val="LME 2010"/>
      <sheetName val="MERGER"/>
      <sheetName val="Input Income Statement"/>
      <sheetName val="Assumptions"/>
      <sheetName val="Qtrly P&amp;L and BalSheet"/>
      <sheetName val="GT"/>
      <sheetName val="3Q05 Variance"/>
      <sheetName val="Reserve"/>
      <sheetName val="Ex3"/>
      <sheetName val="MW ROE Analyzer"/>
      <sheetName val="Master"/>
      <sheetName val="model &amp; valuation"/>
      <sheetName val="Budget summary 2011"/>
      <sheetName val="B"/>
      <sheetName val="Print"/>
      <sheetName val="Revenue at Risk"/>
      <sheetName val="ERPRO sheet"/>
      <sheetName val="New RGM"/>
      <sheetName val="c1"/>
      <sheetName val="SCF &amp; BS"/>
      <sheetName val="__FDSCACHE__"/>
      <sheetName val="Cover"/>
      <sheetName val="Summary"/>
      <sheetName val="NAV Valuation"/>
      <sheetName val="Sensitivity"/>
      <sheetName val="Workings"/>
      <sheetName val="Inventory_and_Backlog"/>
      <sheetName val="PoC Curves"/>
      <sheetName val="Source"/>
      <sheetName val="DCF Valuation"/>
      <sheetName val="CashFlow Curves"/>
      <sheetName val="MW"/>
      <sheetName val="MacroData"/>
      <sheetName val="MS Disclaimers"/>
      <sheetName val="MS Disclosures"/>
      <sheetName val="SummaryMW"/>
      <sheetName val="MWA RR"/>
      <sheetName val="HIDE&gt;&gt;&gt;"/>
      <sheetName val="Consensus"/>
      <sheetName val="Quarterly Results"/>
      <sheetName val="&gt;&gt;"/>
      <sheetName val="LinkSheet"/>
      <sheetName val="Audit"/>
      <sheetName val="MW-Cache"/>
      <sheetName val="CenarioCal"/>
      <sheetName val="CenarioUpdate"/>
      <sheetName val="Graphs"/>
      <sheetName val="mwareDates"/>
      <sheetName val="mwareSettings"/>
      <sheetName val="Segment_ROCE"/>
      <sheetName val="US CLECS Input"/>
      <sheetName val="YTD Summaries"/>
      <sheetName val="Headcount Input Scheudle"/>
      <sheetName val="Capital Expenses"/>
      <sheetName val="Output_Q"/>
      <sheetName val="Cash Flow Statement"/>
      <sheetName val="Output_A"/>
      <sheetName val="LBOSHELL"/>
      <sheetName val="Comps"/>
      <sheetName val="GROUP P&amp;L"/>
      <sheetName val="IQ_GEO_SEG_EARNINGS_OP"/>
      <sheetName val="RenewProb"/>
      <sheetName val="Sheet2"/>
      <sheetName val="Commodities"/>
      <sheetName val="Data"/>
      <sheetName val="Sputtering"/>
      <sheetName val="Capacity"/>
      <sheetName val="New main"/>
      <sheetName val="P&amp;L"/>
      <sheetName val="A"/>
      <sheetName val="Bayu_Undan"/>
      <sheetName val="ARCO_-_Alaska"/>
      <sheetName val="Chemical_JV"/>
      <sheetName val="GE_Data"/>
      <sheetName val="NY_UPLOAD"/>
      <sheetName val="NY_UPLOAD_shadow"/>
      <sheetName val="NY_UPLOAD_bak"/>
      <sheetName val="NY_UPLOAD_Shadow_bak"/>
      <sheetName val="B_Sheet"/>
      <sheetName val="Quarterly_Data"/>
      <sheetName val="A-Link_Source"/>
      <sheetName val="MW_Ratios"/>
      <sheetName val="CY_Link"/>
      <sheetName val="ChemiPal_JV"/>
      <sheetName val="Old_BKS"/>
      <sheetName val="Forecast_Change"/>
      <sheetName val="New_Source"/>
      <sheetName val="Balance_Sheet"/>
      <sheetName val="Income_Statement"/>
      <sheetName val="Fin__Summary"/>
      <sheetName val="P&amp;L by Yr"/>
      <sheetName val="P&amp;L by Qtr"/>
      <sheetName val="TRANSACTION"/>
      <sheetName val="Ranges"/>
      <sheetName val="Upstream"/>
      <sheetName val="Segment"/>
      <sheetName val="Reserves &amp; Capex"/>
      <sheetName val="TV"/>
      <sheetName val="Financial Overview ShortProfile"/>
      <sheetName val="Assumptions &amp; Switches"/>
      <sheetName val="KM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GDP forecast"/>
      <sheetName val="Global"/>
      <sheetName val="Summary"/>
      <sheetName val="ADVOL"/>
      <sheetName val="GDP-Advol"/>
      <sheetName val="Recession Periods"/>
      <sheetName val="Industry forecasts"/>
      <sheetName val="Corp Profits"/>
      <sheetName val="New Regressions."/>
      <sheetName val="Sheet2"/>
      <sheetName val="NewCharts"/>
      <sheetName val="OrgG vs. x"/>
      <sheetName val="R2"/>
      <sheetName val="OMC vs. GDP"/>
      <sheetName val="Charts"/>
      <sheetName val="Regression Output"/>
      <sheetName val="Class"/>
      <sheetName val="Medium Adoption"/>
      <sheetName val="NRT%PCE%"/>
      <sheetName val="Recovered_Sheet1"/>
      <sheetName val="Recovered_Sheet2"/>
      <sheetName val="Recovered_Sheet3"/>
      <sheetName val="Recovered_Sheet4"/>
      <sheetName val="Recovered_Sheet5"/>
      <sheetName val="ADVGDP"/>
      <sheetName val="Recovered_Sheet6"/>
      <sheetName val="Recovered_Sheet7"/>
      <sheetName val="Recovered_Sheet8"/>
      <sheetName val="Recovered_Sheet9"/>
      <sheetName val="Sheet1"/>
      <sheetName val="Net Trade"/>
      <sheetName val="Revenue"/>
      <sheetName val="BC Data Page"/>
      <sheetName val="advolKP"/>
      <sheetName val="DCF"/>
      <sheetName val="WYE Revenue"/>
      <sheetName val="Cookbook"/>
      <sheetName val="Geos"/>
      <sheetName val="OFF-UTIL.XLS"/>
      <sheetName val="Cost"/>
      <sheetName val="main"/>
      <sheetName val="acquisition history"/>
      <sheetName val="INTCWKSH"/>
      <sheetName val="Qtrly"/>
      <sheetName val="I S"/>
      <sheetName val="Stock Price"/>
    </sheetNames>
    <sheetDataSet>
      <sheetData sheetId="0" refreshError="1"/>
      <sheetData sheetId="1"/>
      <sheetData sheetId="2" refreshError="1"/>
      <sheetData sheetId="3" refreshError="1">
        <row r="1">
          <cell r="B1" t="str">
            <v>n</v>
          </cell>
        </row>
        <row r="23">
          <cell r="A23">
            <v>60</v>
          </cell>
          <cell r="S23">
            <v>909</v>
          </cell>
          <cell r="AD23">
            <v>2100</v>
          </cell>
        </row>
        <row r="24">
          <cell r="S24">
            <v>895</v>
          </cell>
          <cell r="AD24">
            <v>2053</v>
          </cell>
        </row>
        <row r="25">
          <cell r="S25">
            <v>942</v>
          </cell>
          <cell r="AD25">
            <v>2103</v>
          </cell>
        </row>
        <row r="26">
          <cell r="S26">
            <v>1002</v>
          </cell>
          <cell r="AD26">
            <v>2211</v>
          </cell>
        </row>
        <row r="27">
          <cell r="S27">
            <v>1074</v>
          </cell>
          <cell r="AD27">
            <v>2344</v>
          </cell>
        </row>
        <row r="28">
          <cell r="A28">
            <v>65</v>
          </cell>
          <cell r="S28">
            <v>1161</v>
          </cell>
          <cell r="AD28">
            <v>2429</v>
          </cell>
        </row>
        <row r="29">
          <cell r="S29">
            <v>1254</v>
          </cell>
          <cell r="AD29">
            <v>2645</v>
          </cell>
        </row>
        <row r="30">
          <cell r="S30">
            <v>1245</v>
          </cell>
          <cell r="AD30">
            <v>2760</v>
          </cell>
          <cell r="AG30">
            <v>1.1452282157676349E-2</v>
          </cell>
        </row>
        <row r="31">
          <cell r="S31">
            <v>1283</v>
          </cell>
          <cell r="AD31">
            <v>2919</v>
          </cell>
          <cell r="AG31">
            <v>1.101093926820068E-2</v>
          </cell>
        </row>
        <row r="32">
          <cell r="S32">
            <v>1344</v>
          </cell>
          <cell r="AD32">
            <v>3166</v>
          </cell>
          <cell r="AG32">
            <v>1.1112671112671113E-2</v>
          </cell>
        </row>
        <row r="33">
          <cell r="A33">
            <v>70</v>
          </cell>
          <cell r="S33">
            <v>1292</v>
          </cell>
          <cell r="AD33">
            <v>3292</v>
          </cell>
          <cell r="AG33">
            <v>1.0622781542433042E-2</v>
          </cell>
        </row>
        <row r="34">
          <cell r="S34">
            <v>1370</v>
          </cell>
          <cell r="AD34">
            <v>3565</v>
          </cell>
          <cell r="AG34">
            <v>1.0692861427714457E-2</v>
          </cell>
        </row>
        <row r="35">
          <cell r="S35">
            <v>1440</v>
          </cell>
          <cell r="AD35">
            <v>3964</v>
          </cell>
          <cell r="AG35">
            <v>1.0824685963954124E-2</v>
          </cell>
        </row>
        <row r="36">
          <cell r="S36">
            <v>1448</v>
          </cell>
          <cell r="AD36">
            <v>4245</v>
          </cell>
          <cell r="AG36">
            <v>1.042997542997543E-2</v>
          </cell>
        </row>
        <row r="37">
          <cell r="S37">
            <v>1504</v>
          </cell>
          <cell r="AD37">
            <v>4563</v>
          </cell>
          <cell r="AG37">
            <v>1.0265466816647919E-2</v>
          </cell>
        </row>
        <row r="38">
          <cell r="A38">
            <v>75</v>
          </cell>
          <cell r="S38">
            <v>1465</v>
          </cell>
          <cell r="AD38">
            <v>4966</v>
          </cell>
          <cell r="AG38">
            <v>1.0328618968386024E-2</v>
          </cell>
        </row>
        <row r="39">
          <cell r="S39">
            <v>1789</v>
          </cell>
          <cell r="AD39">
            <v>5668</v>
          </cell>
          <cell r="AG39">
            <v>1.0771569745343976E-2</v>
          </cell>
        </row>
        <row r="40">
          <cell r="S40">
            <v>2162</v>
          </cell>
          <cell r="AD40">
            <v>6241</v>
          </cell>
          <cell r="AG40">
            <v>1.0903214535290006E-2</v>
          </cell>
        </row>
        <row r="41">
          <cell r="S41">
            <v>2597</v>
          </cell>
          <cell r="AD41">
            <v>7023</v>
          </cell>
          <cell r="AG41">
            <v>1.1038981452373467E-2</v>
          </cell>
        </row>
        <row r="42">
          <cell r="S42">
            <v>2932</v>
          </cell>
          <cell r="AD42">
            <v>7845</v>
          </cell>
          <cell r="AG42">
            <v>1.0921620492830294E-2</v>
          </cell>
        </row>
        <row r="43">
          <cell r="A43">
            <v>80</v>
          </cell>
          <cell r="S43">
            <v>3149</v>
          </cell>
          <cell r="AD43">
            <v>8609</v>
          </cell>
          <cell r="AG43">
            <v>1.0853504790721129E-2</v>
          </cell>
        </row>
        <row r="44">
          <cell r="S44">
            <v>3533</v>
          </cell>
          <cell r="AD44">
            <v>9686</v>
          </cell>
          <cell r="AG44">
            <v>1.1304855275443511E-2</v>
          </cell>
        </row>
        <row r="45">
          <cell r="S45">
            <v>3710</v>
          </cell>
          <cell r="AD45">
            <v>10390</v>
          </cell>
          <cell r="AG45">
            <v>1.1856670090151775E-2</v>
          </cell>
        </row>
        <row r="46">
          <cell r="S46">
            <v>4233</v>
          </cell>
          <cell r="AD46">
            <v>11841</v>
          </cell>
          <cell r="AG46">
            <v>1.259412890874282E-2</v>
          </cell>
        </row>
        <row r="47">
          <cell r="S47">
            <v>4932</v>
          </cell>
          <cell r="AD47">
            <v>12784</v>
          </cell>
          <cell r="AG47">
            <v>1.2587632926348956E-2</v>
          </cell>
        </row>
        <row r="48">
          <cell r="A48">
            <v>85</v>
          </cell>
          <cell r="S48">
            <v>5155</v>
          </cell>
          <cell r="AD48">
            <v>13443</v>
          </cell>
          <cell r="AG48">
            <v>1.2542451949990669E-2</v>
          </cell>
        </row>
        <row r="49">
          <cell r="S49">
            <v>5317</v>
          </cell>
          <cell r="AD49">
            <v>14311</v>
          </cell>
          <cell r="AG49">
            <v>1.273787271918113E-2</v>
          </cell>
        </row>
        <row r="50">
          <cell r="A50" t="str">
            <v>*</v>
          </cell>
          <cell r="S50">
            <v>5607</v>
          </cell>
          <cell r="AD50">
            <v>15227</v>
          </cell>
          <cell r="AG50">
            <v>1.2706108144192256E-2</v>
          </cell>
        </row>
        <row r="51">
          <cell r="S51">
            <v>6072</v>
          </cell>
          <cell r="AD51">
            <v>15790</v>
          </cell>
          <cell r="AG51">
            <v>1.228698155785542E-2</v>
          </cell>
        </row>
        <row r="52">
          <cell r="S52">
            <v>6716</v>
          </cell>
          <cell r="AD52">
            <v>16504</v>
          </cell>
          <cell r="AG52">
            <v>1.1992442958872257E-2</v>
          </cell>
        </row>
        <row r="53">
          <cell r="A53">
            <v>90</v>
          </cell>
          <cell r="S53">
            <v>6803</v>
          </cell>
          <cell r="AD53">
            <v>16652</v>
          </cell>
          <cell r="AG53">
            <v>1.1389097872922509E-2</v>
          </cell>
        </row>
        <row r="54">
          <cell r="S54">
            <v>6524</v>
          </cell>
          <cell r="AD54">
            <v>15838</v>
          </cell>
          <cell r="AG54">
            <v>1.0614570069030226E-2</v>
          </cell>
        </row>
        <row r="55">
          <cell r="AD55">
            <v>16041</v>
          </cell>
          <cell r="AG55">
            <v>1.0312439729990356E-2</v>
          </cell>
        </row>
        <row r="56">
          <cell r="AD56">
            <v>16859</v>
          </cell>
          <cell r="AG56">
            <v>1.0360742379547689E-2</v>
          </cell>
        </row>
        <row r="57">
          <cell r="AD57">
            <v>17496</v>
          </cell>
        </row>
        <row r="58">
          <cell r="A58">
            <v>95</v>
          </cell>
        </row>
        <row r="97">
          <cell r="A97">
            <v>3.0241570956973777E-2</v>
          </cell>
          <cell r="C97">
            <v>6.1224489795918435E-2</v>
          </cell>
          <cell r="F97">
            <v>3.9084090011843653E-2</v>
          </cell>
          <cell r="AD97">
            <v>4.2701092353525372E-2</v>
          </cell>
        </row>
        <row r="98">
          <cell r="A98">
            <v>2.4562577922619396E-2</v>
          </cell>
          <cell r="C98">
            <v>-8.3612040133779209E-3</v>
          </cell>
          <cell r="F98">
            <v>3.476443768996984E-2</v>
          </cell>
          <cell r="AD98">
            <v>-2.238095238095239E-2</v>
          </cell>
        </row>
        <row r="99">
          <cell r="A99">
            <v>8.7776156599963184E-2</v>
          </cell>
          <cell r="C99">
            <v>4.8060708263069074E-2</v>
          </cell>
          <cell r="F99">
            <v>7.5087203965485516E-2</v>
          </cell>
          <cell r="AD99">
            <v>2.4354603019970833E-2</v>
          </cell>
        </row>
        <row r="100">
          <cell r="A100">
            <v>5.6837686080547206E-2</v>
          </cell>
          <cell r="C100">
            <v>5.3901850362027437E-2</v>
          </cell>
          <cell r="F100">
            <v>5.4815573770491843E-2</v>
          </cell>
          <cell r="AD100">
            <v>5.1355206847360835E-2</v>
          </cell>
        </row>
        <row r="101">
          <cell r="A101">
            <v>8.5752581828302116E-2</v>
          </cell>
          <cell r="C101">
            <v>8.0152671755725269E-2</v>
          </cell>
          <cell r="F101">
            <v>7.4307916464303014E-2</v>
          </cell>
          <cell r="AD101">
            <v>6.0153776571687079E-2</v>
          </cell>
        </row>
        <row r="102">
          <cell r="A102">
            <v>9.9262789904728255E-2</v>
          </cell>
          <cell r="C102">
            <v>7.7738515901060179E-2</v>
          </cell>
          <cell r="F102">
            <v>8.3634719710669048E-2</v>
          </cell>
          <cell r="AD102">
            <v>3.6262798634812299E-2</v>
          </cell>
        </row>
        <row r="103">
          <cell r="A103">
            <v>0.11350162625722696</v>
          </cell>
          <cell r="C103">
            <v>9.0491803278688554E-2</v>
          </cell>
          <cell r="F103">
            <v>9.5536086775135587E-2</v>
          </cell>
          <cell r="AD103">
            <v>8.8925483738163891E-2</v>
          </cell>
        </row>
        <row r="104">
          <cell r="A104">
            <v>5.1033616764092987E-2</v>
          </cell>
          <cell r="C104">
            <v>1.4431749849669329E-2</v>
          </cell>
          <cell r="F104">
            <v>5.6867225184056958E-2</v>
          </cell>
          <cell r="AD104">
            <v>4.3478260869565188E-2</v>
          </cell>
        </row>
        <row r="105">
          <cell r="A105">
            <v>0.1030616610895152</v>
          </cell>
          <cell r="C105">
            <v>7.2317723770005893E-2</v>
          </cell>
          <cell r="F105">
            <v>9.2961806389622925E-2</v>
          </cell>
          <cell r="AD105">
            <v>5.7608695652173969E-2</v>
          </cell>
        </row>
        <row r="106">
          <cell r="A106">
            <v>8.2670216612308736E-2</v>
          </cell>
          <cell r="C106">
            <v>7.3521282476506356E-2</v>
          </cell>
          <cell r="F106">
            <v>8.1978021978021953E-2</v>
          </cell>
          <cell r="AD106">
            <v>8.4618019869818539E-2</v>
          </cell>
        </row>
        <row r="107">
          <cell r="A107">
            <v>3.8261477176089048E-2</v>
          </cell>
          <cell r="C107">
            <v>6.6941297631308849E-3</v>
          </cell>
          <cell r="F107">
            <v>5.4743042860044611E-2</v>
          </cell>
          <cell r="AD107">
            <v>3.9797852179406235E-2</v>
          </cell>
        </row>
        <row r="108">
          <cell r="A108">
            <v>8.7745635270153749E-2</v>
          </cell>
          <cell r="C108">
            <v>5.8823529411764719E-2</v>
          </cell>
          <cell r="F108">
            <v>8.531535869041873E-2</v>
          </cell>
          <cell r="AD108">
            <v>8.2928311057108184E-2</v>
          </cell>
        </row>
        <row r="109">
          <cell r="A109">
            <v>0.11174043914574178</v>
          </cell>
          <cell r="C109">
            <v>0.12125603864734291</v>
          </cell>
          <cell r="F109">
            <v>9.8660278591074402E-2</v>
          </cell>
          <cell r="AD109">
            <v>0.11192145862552594</v>
          </cell>
        </row>
        <row r="110">
          <cell r="A110">
            <v>0.13461889453371273</v>
          </cell>
          <cell r="C110">
            <v>7.6260232658336813E-2</v>
          </cell>
          <cell r="F110">
            <v>0.11661148348542372</v>
          </cell>
          <cell r="AD110">
            <v>7.0887991927346183E-2</v>
          </cell>
        </row>
        <row r="111">
          <cell r="A111">
            <v>7.0187954271903566E-2</v>
          </cell>
          <cell r="C111">
            <v>6.5652522017614068E-2</v>
          </cell>
          <cell r="F111">
            <v>8.4834020394879639E-2</v>
          </cell>
          <cell r="AD111">
            <v>7.4911660777385203E-2</v>
          </cell>
        </row>
        <row r="112">
          <cell r="A112">
            <v>8.0096365219001764E-2</v>
          </cell>
          <cell r="C112">
            <v>4.8084147257700938E-2</v>
          </cell>
          <cell r="F112">
            <v>9.220000000000006E-2</v>
          </cell>
          <cell r="AD112">
            <v>8.8319088319088301E-2</v>
          </cell>
        </row>
        <row r="113">
          <cell r="A113">
            <v>0.12984866721448751</v>
          </cell>
          <cell r="C113">
            <v>0.19354838709677424</v>
          </cell>
          <cell r="F113">
            <v>0.11414270890557288</v>
          </cell>
          <cell r="AD113">
            <v>0.1413612565445026</v>
          </cell>
        </row>
        <row r="114">
          <cell r="A114">
            <v>0.12497089141205892</v>
          </cell>
          <cell r="C114">
            <v>0.12432432432432439</v>
          </cell>
          <cell r="F114">
            <v>0.11263901824357658</v>
          </cell>
          <cell r="AD114">
            <v>0.10109386026817213</v>
          </cell>
        </row>
        <row r="115">
          <cell r="A115">
            <v>0.14917452879586512</v>
          </cell>
          <cell r="C115">
            <v>0.15731837606837606</v>
          </cell>
          <cell r="F115">
            <v>0.12989315081983333</v>
          </cell>
          <cell r="AD115">
            <v>0.12530043262297719</v>
          </cell>
        </row>
        <row r="116">
          <cell r="A116">
            <v>0.12367821955322018</v>
          </cell>
          <cell r="C116">
            <v>0.12577890606969766</v>
          </cell>
          <cell r="F116">
            <v>0.11705233799625248</v>
          </cell>
          <cell r="AD116">
            <v>0.1170439982913285</v>
          </cell>
        </row>
        <row r="117">
          <cell r="A117">
            <v>7.5369829950573508E-2</v>
          </cell>
          <cell r="C117">
            <v>9.8195981959819489E-2</v>
          </cell>
          <cell r="F117">
            <v>8.8245620879335185E-2</v>
          </cell>
          <cell r="AD117">
            <v>9.738687061822815E-2</v>
          </cell>
        </row>
        <row r="118">
          <cell r="A118">
            <v>0.12601153615189289</v>
          </cell>
          <cell r="C118">
            <v>0.12861676311368297</v>
          </cell>
          <cell r="F118">
            <v>0.12149130668578612</v>
          </cell>
          <cell r="AD118">
            <v>0.12510163782088513</v>
          </cell>
        </row>
        <row r="119">
          <cell r="A119">
            <v>1.2428380132744873E-2</v>
          </cell>
          <cell r="C119">
            <v>0.10271253721468732</v>
          </cell>
          <cell r="F119">
            <v>4.0467970847717583E-2</v>
          </cell>
          <cell r="AD119">
            <v>7.2682221763369803E-2</v>
          </cell>
        </row>
        <row r="120">
          <cell r="A120">
            <v>9.427400465385119E-2</v>
          </cell>
          <cell r="C120">
            <v>0.13994300284985761</v>
          </cell>
          <cell r="F120">
            <v>8.6543778801843274E-2</v>
          </cell>
          <cell r="AD120">
            <v>0.13965351299326279</v>
          </cell>
        </row>
        <row r="121">
          <cell r="A121">
            <v>0.13566989461782145</v>
          </cell>
          <cell r="C121">
            <v>0.15802631578947368</v>
          </cell>
          <cell r="F121">
            <v>0.11211015918794365</v>
          </cell>
          <cell r="AD121">
            <v>7.9638544041888304E-2</v>
          </cell>
        </row>
        <row r="122">
          <cell r="A122">
            <v>7.6844912613929117E-2</v>
          </cell>
          <cell r="C122">
            <v>7.8286558345642465E-2</v>
          </cell>
          <cell r="F122">
            <v>7.299399979660337E-2</v>
          </cell>
          <cell r="AD122">
            <v>5.1548811013767182E-2</v>
          </cell>
        </row>
        <row r="123">
          <cell r="A123">
            <v>5.5910153688108498E-2</v>
          </cell>
          <cell r="C123">
            <v>7.8714436248682906E-2</v>
          </cell>
          <cell r="F123">
            <v>5.7460370115868464E-2</v>
          </cell>
          <cell r="AD123">
            <v>6.4568920627836146E-2</v>
          </cell>
        </row>
        <row r="124">
          <cell r="A124">
            <v>6.0778934108842081E-2</v>
          </cell>
          <cell r="C124">
            <v>7.7171046204942861E-2</v>
          </cell>
          <cell r="F124">
            <v>6.2001434077260775E-2</v>
          </cell>
          <cell r="AD124">
            <v>6.4006708126615797E-2</v>
          </cell>
        </row>
        <row r="125">
          <cell r="A125">
            <v>8.1347112585340817E-2</v>
          </cell>
          <cell r="C125">
            <v>7.6902149269973741E-2</v>
          </cell>
          <cell r="F125">
            <v>7.6864648169638228E-2</v>
          </cell>
          <cell r="AD125">
            <v>3.6973796545609838E-2</v>
          </cell>
        </row>
        <row r="126">
          <cell r="A126">
            <v>7.6079939084738035E-2</v>
          </cell>
          <cell r="C126">
            <v>5.0694736842105348E-2</v>
          </cell>
          <cell r="F126">
            <v>7.4571887613150922E-2</v>
          </cell>
          <cell r="AD126">
            <v>4.5218492716909475E-2</v>
          </cell>
        </row>
        <row r="127">
          <cell r="A127">
            <v>4.9670446788543959E-2</v>
          </cell>
          <cell r="C127">
            <v>4.1981245491704788E-2</v>
          </cell>
          <cell r="F127">
            <v>5.8110276420392459E-2</v>
          </cell>
          <cell r="AD127">
            <v>8.9675230247212578E-3</v>
          </cell>
        </row>
        <row r="128">
          <cell r="A128">
            <v>1.1797046345660925E-2</v>
          </cell>
          <cell r="C128">
            <v>-1.5522121715586756E-2</v>
          </cell>
          <cell r="F128">
            <v>3.3223621857283003E-2</v>
          </cell>
          <cell r="AD128">
            <v>-4.8883017055008415E-2</v>
          </cell>
        </row>
        <row r="129">
          <cell r="A129">
            <v>5.4757038766059155E-2</v>
          </cell>
          <cell r="C129">
            <v>4.1128213141651715E-2</v>
          </cell>
          <cell r="AD129">
            <v>1.2817274908448084E-2</v>
          </cell>
        </row>
        <row r="130">
          <cell r="A130">
            <v>4.4275995348742311E-2</v>
          </cell>
          <cell r="C130">
            <v>5.2651327539886328E-2</v>
          </cell>
          <cell r="AD130">
            <v>5.0994327036967713E-2</v>
          </cell>
        </row>
        <row r="131">
          <cell r="A131">
            <v>6.3962813861468681E-2</v>
          </cell>
          <cell r="C131">
            <v>8.4565480858344699E-2</v>
          </cell>
          <cell r="AD131">
            <v>3.7783972952132316E-2</v>
          </cell>
        </row>
        <row r="132">
          <cell r="A132">
            <v>3.8406875562602499E-2</v>
          </cell>
        </row>
        <row r="170">
          <cell r="E170">
            <v>2.2246348203711012E-2</v>
          </cell>
          <cell r="F170">
            <v>3.5484886649874051E-2</v>
          </cell>
          <cell r="G170">
            <v>2.1583753148614611E-2</v>
          </cell>
          <cell r="H170">
            <v>1.3901133501259445E-2</v>
          </cell>
        </row>
        <row r="171">
          <cell r="A171">
            <v>9805.7999999999993</v>
          </cell>
          <cell r="E171">
            <v>2.2720364741641338E-2</v>
          </cell>
          <cell r="F171">
            <v>3.6056677720832084E-2</v>
          </cell>
          <cell r="G171">
            <v>2.2022912270123606E-2</v>
          </cell>
          <cell r="H171">
            <v>1.4033765450708472E-2</v>
          </cell>
        </row>
        <row r="172">
          <cell r="A172">
            <v>10159.400000000001</v>
          </cell>
          <cell r="E172">
            <v>2.1773453277033228E-2</v>
          </cell>
          <cell r="F172">
            <v>3.4668225665010224E-2</v>
          </cell>
          <cell r="G172">
            <v>2.1382636655948552E-2</v>
          </cell>
          <cell r="H172">
            <v>1.3285589009061677E-2</v>
          </cell>
        </row>
        <row r="173">
          <cell r="A173">
            <v>10880.2</v>
          </cell>
          <cell r="E173">
            <v>2.1226092896174862E-2</v>
          </cell>
          <cell r="F173">
            <v>3.4214148086980457E-2</v>
          </cell>
          <cell r="G173">
            <v>2.1180842279108176E-2</v>
          </cell>
          <cell r="H173">
            <v>1.3033305807872283E-2</v>
          </cell>
        </row>
        <row r="174">
          <cell r="A174">
            <v>11539.8</v>
          </cell>
          <cell r="E174">
            <v>2.1207706006151853E-2</v>
          </cell>
          <cell r="F174">
            <v>3.423046772929187E-2</v>
          </cell>
          <cell r="G174">
            <v>2.1217663966553436E-2</v>
          </cell>
          <cell r="H174">
            <v>1.3012803762738438E-2</v>
          </cell>
        </row>
        <row r="175">
          <cell r="A175">
            <v>12515.599999999999</v>
          </cell>
          <cell r="E175">
            <v>2.1323086196503919E-2</v>
          </cell>
          <cell r="F175">
            <v>3.4394749635391346E-2</v>
          </cell>
          <cell r="G175">
            <v>2.1195916383082162E-2</v>
          </cell>
          <cell r="H175">
            <v>1.3198833252309188E-2</v>
          </cell>
        </row>
        <row r="176">
          <cell r="A176">
            <v>13617.2</v>
          </cell>
          <cell r="E176">
            <v>2.1207064386038102E-2</v>
          </cell>
          <cell r="F176">
            <v>3.4362325371789092E-2</v>
          </cell>
          <cell r="G176">
            <v>2.1045515998197387E-2</v>
          </cell>
          <cell r="H176">
            <v>1.3316809373591709E-2</v>
          </cell>
        </row>
        <row r="177">
          <cell r="A177">
            <v>14878.599999999999</v>
          </cell>
          <cell r="E177">
            <v>2.1109418634171109E-2</v>
          </cell>
          <cell r="F177">
            <v>3.4580993969640254E-2</v>
          </cell>
          <cell r="G177">
            <v>2.1106259097525476E-2</v>
          </cell>
          <cell r="H177">
            <v>1.3474734872114787E-2</v>
          </cell>
        </row>
        <row r="178">
          <cell r="A178">
            <v>15793.2</v>
          </cell>
          <cell r="E178">
            <v>2.0261830410761471E-2</v>
          </cell>
          <cell r="F178">
            <v>3.3221740842851517E-2</v>
          </cell>
          <cell r="G178">
            <v>2.0106341079165028E-2</v>
          </cell>
          <cell r="H178">
            <v>1.3115399763686491E-2</v>
          </cell>
        </row>
        <row r="179">
          <cell r="A179">
            <v>17500</v>
          </cell>
          <cell r="E179">
            <v>1.987912087912088E-2</v>
          </cell>
          <cell r="F179">
            <v>3.2419354838709676E-2</v>
          </cell>
          <cell r="G179">
            <v>1.935483870967742E-2</v>
          </cell>
          <cell r="H179">
            <v>1.3064516129032259E-2</v>
          </cell>
        </row>
        <row r="180">
          <cell r="A180">
            <v>19104.800000000003</v>
          </cell>
          <cell r="E180">
            <v>1.9723745683526306E-2</v>
          </cell>
          <cell r="F180">
            <v>3.2088565763384008E-2</v>
          </cell>
          <cell r="G180">
            <v>1.8836748182419035E-2</v>
          </cell>
          <cell r="H180">
            <v>1.3251817580964968E-2</v>
          </cell>
        </row>
        <row r="181">
          <cell r="A181">
            <v>20577</v>
          </cell>
          <cell r="E181">
            <v>1.8825228695233509E-2</v>
          </cell>
          <cell r="F181">
            <v>3.0146491904394758E-2</v>
          </cell>
          <cell r="G181">
            <v>1.7501927525057824E-2</v>
          </cell>
          <cell r="H181">
            <v>1.264456437933693E-2</v>
          </cell>
        </row>
        <row r="182">
          <cell r="A182">
            <v>22392.6</v>
          </cell>
          <cell r="E182">
            <v>1.8365717327655046E-2</v>
          </cell>
          <cell r="F182">
            <v>2.9491380538538253E-2</v>
          </cell>
          <cell r="G182">
            <v>1.6747399914517739E-2</v>
          </cell>
          <cell r="H182">
            <v>1.2743980624020516E-2</v>
          </cell>
        </row>
        <row r="183">
          <cell r="A183">
            <v>24728.400000000001</v>
          </cell>
          <cell r="E183">
            <v>1.8743438585157073E-2</v>
          </cell>
          <cell r="F183">
            <v>3.0119387490267324E-2</v>
          </cell>
          <cell r="G183">
            <v>1.6844017648585518E-2</v>
          </cell>
          <cell r="H183">
            <v>1.3275369841681806E-2</v>
          </cell>
        </row>
        <row r="184">
          <cell r="A184">
            <v>27509.599999999999</v>
          </cell>
          <cell r="E184">
            <v>1.8066102552976061E-2</v>
          </cell>
          <cell r="F184">
            <v>2.9305490380103241E-2</v>
          </cell>
          <cell r="G184">
            <v>1.6072266541529798E-2</v>
          </cell>
          <cell r="H184">
            <v>1.3233223838573439E-2</v>
          </cell>
        </row>
        <row r="185">
          <cell r="A185">
            <v>30263.599999999999</v>
          </cell>
          <cell r="E185">
            <v>1.7746666666666668E-2</v>
          </cell>
          <cell r="F185">
            <v>2.8519391472037713E-2</v>
          </cell>
          <cell r="G185">
            <v>1.5748875080351402E-2</v>
          </cell>
          <cell r="H185">
            <v>1.2770516391686308E-2</v>
          </cell>
        </row>
        <row r="186">
          <cell r="A186">
            <v>33697.600000000006</v>
          </cell>
          <cell r="E186">
            <v>1.7029848013184398E-2</v>
          </cell>
          <cell r="F186">
            <v>2.6972157772621807E-2</v>
          </cell>
          <cell r="G186">
            <v>1.4694508894044856E-2</v>
          </cell>
          <cell r="H186">
            <v>1.2277648878576951E-2</v>
          </cell>
        </row>
        <row r="187">
          <cell r="A187">
            <v>37692.600000000006</v>
          </cell>
          <cell r="E187">
            <v>1.8243576398400262E-2</v>
          </cell>
          <cell r="F187">
            <v>2.8908759440923686E-2</v>
          </cell>
          <cell r="G187">
            <v>1.5934542929073703E-2</v>
          </cell>
          <cell r="H187">
            <v>1.2974216511849986E-2</v>
          </cell>
        </row>
        <row r="188">
          <cell r="A188">
            <v>42000.399999999994</v>
          </cell>
          <cell r="E188">
            <v>1.8435176522723914E-2</v>
          </cell>
          <cell r="F188">
            <v>2.9282027217268889E-2</v>
          </cell>
          <cell r="G188">
            <v>1.6107461285781322E-2</v>
          </cell>
          <cell r="H188">
            <v>1.3174565931487565E-2</v>
          </cell>
        </row>
        <row r="189">
          <cell r="A189">
            <v>47097</v>
          </cell>
          <cell r="E189">
            <v>1.8882642611234585E-2</v>
          </cell>
          <cell r="F189">
            <v>3.033251662583129E-2</v>
          </cell>
          <cell r="G189">
            <v>1.6604830241512075E-2</v>
          </cell>
          <cell r="H189">
            <v>1.3727686384319215E-2</v>
          </cell>
        </row>
        <row r="190">
          <cell r="A190">
            <v>52662.8</v>
          </cell>
          <cell r="E190">
            <v>1.9030156438965395E-2</v>
          </cell>
          <cell r="F190">
            <v>3.0636854666499184E-2</v>
          </cell>
          <cell r="G190">
            <v>1.6766109785202862E-2</v>
          </cell>
          <cell r="H190">
            <v>1.387074488129632E-2</v>
          </cell>
        </row>
        <row r="191">
          <cell r="A191">
            <v>58269.399999999994</v>
          </cell>
          <cell r="E191">
            <v>1.9204158451335364E-2</v>
          </cell>
          <cell r="F191">
            <v>3.0487735473222925E-2</v>
          </cell>
          <cell r="G191">
            <v>1.6982528029138924E-2</v>
          </cell>
          <cell r="H191">
            <v>1.3505207444084002E-2</v>
          </cell>
        </row>
        <row r="192">
          <cell r="A192">
            <v>64525.399999999994</v>
          </cell>
          <cell r="E192">
            <v>1.9326173123641478E-2</v>
          </cell>
          <cell r="F192">
            <v>3.1147287620421411E-2</v>
          </cell>
          <cell r="G192">
            <v>1.7479779506465405E-2</v>
          </cell>
          <cell r="H192">
            <v>1.3667508113956006E-2</v>
          </cell>
        </row>
        <row r="193">
          <cell r="A193">
            <v>69156.200000000012</v>
          </cell>
          <cell r="E193">
            <v>2.0482334869431643E-2</v>
          </cell>
          <cell r="F193">
            <v>3.2094545804650265E-2</v>
          </cell>
          <cell r="G193">
            <v>1.8235209165743994E-2</v>
          </cell>
          <cell r="H193">
            <v>1.3859336638906272E-2</v>
          </cell>
        </row>
        <row r="194">
          <cell r="A194">
            <v>76408.399999999994</v>
          </cell>
          <cell r="E194">
            <v>2.1488958633754631E-2</v>
          </cell>
          <cell r="F194">
            <v>3.3179079717104688E-2</v>
          </cell>
          <cell r="G194">
            <v>1.8623941325416921E-2</v>
          </cell>
          <cell r="H194">
            <v>1.4555138391687769E-2</v>
          </cell>
        </row>
        <row r="195">
          <cell r="A195">
            <v>83640.200000000012</v>
          </cell>
          <cell r="E195">
            <v>2.2376182243465881E-2</v>
          </cell>
          <cell r="F195">
            <v>3.5157591978588261E-2</v>
          </cell>
          <cell r="G195">
            <v>1.9929692805496745E-2</v>
          </cell>
          <cell r="H195">
            <v>1.5227899173091516E-2</v>
          </cell>
        </row>
        <row r="196">
          <cell r="A196">
            <v>91018.200000000012</v>
          </cell>
          <cell r="E196">
            <v>2.2486553088642988E-2</v>
          </cell>
          <cell r="F196">
            <v>3.48858581774069E-2</v>
          </cell>
          <cell r="G196">
            <v>1.9670624563467264E-2</v>
          </cell>
          <cell r="H196">
            <v>1.5215233613939639E-2</v>
          </cell>
        </row>
        <row r="197">
          <cell r="A197">
            <v>97117.799999999988</v>
          </cell>
          <cell r="E197">
            <v>2.2938513937438381E-2</v>
          </cell>
          <cell r="F197">
            <v>3.5303652101941585E-2</v>
          </cell>
          <cell r="G197">
            <v>1.9688243611408078E-2</v>
          </cell>
          <cell r="H197">
            <v>1.5615408490533505E-2</v>
          </cell>
        </row>
        <row r="198">
          <cell r="A198">
            <v>103934.79999999999</v>
          </cell>
          <cell r="E198">
            <v>2.3266167317227554E-2</v>
          </cell>
          <cell r="F198">
            <v>3.556867298883943E-2</v>
          </cell>
          <cell r="G198">
            <v>1.9650345139023289E-2</v>
          </cell>
          <cell r="H198">
            <v>1.5918327849816144E-2</v>
          </cell>
        </row>
        <row r="199">
          <cell r="A199">
            <v>112550.39999999999</v>
          </cell>
          <cell r="E199">
            <v>2.3266977546142091E-2</v>
          </cell>
          <cell r="F199">
            <v>3.5409708969465652E-2</v>
          </cell>
          <cell r="G199">
            <v>1.9762344942748093E-2</v>
          </cell>
          <cell r="H199">
            <v>1.5647364026717559E-2</v>
          </cell>
        </row>
        <row r="200">
          <cell r="A200">
            <v>120877</v>
          </cell>
          <cell r="E200">
            <v>2.2749981766464884E-2</v>
          </cell>
          <cell r="F200">
            <v>3.4672780325135474E-2</v>
          </cell>
          <cell r="G200">
            <v>1.9380019452549673E-2</v>
          </cell>
          <cell r="H200">
            <v>1.5292760872585799E-2</v>
          </cell>
        </row>
        <row r="201">
          <cell r="A201">
            <v>129084.6</v>
          </cell>
          <cell r="E201">
            <v>2.2403198290568836E-2</v>
          </cell>
          <cell r="F201">
            <v>3.3857131696137924E-2</v>
          </cell>
          <cell r="G201">
            <v>1.9263001640667726E-2</v>
          </cell>
          <cell r="H201">
            <v>1.4594130055470195E-2</v>
          </cell>
        </row>
        <row r="202">
          <cell r="A202">
            <v>134055.4</v>
          </cell>
          <cell r="E202">
            <v>2.134625327306993E-2</v>
          </cell>
          <cell r="F202">
            <v>3.2109079049697696E-2</v>
          </cell>
          <cell r="G202">
            <v>1.8553222448006824E-2</v>
          </cell>
          <cell r="H202">
            <v>1.3555856601690876E-2</v>
          </cell>
        </row>
        <row r="203">
          <cell r="A203">
            <v>142528.20000000001</v>
          </cell>
        </row>
        <row r="204">
          <cell r="A204">
            <v>150776.59999999998</v>
          </cell>
        </row>
        <row r="205">
          <cell r="A205">
            <v>159800.20000000001</v>
          </cell>
        </row>
        <row r="206">
          <cell r="A206">
            <v>167705.20000000001</v>
          </cell>
        </row>
      </sheetData>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inks Fix"/>
      <sheetName val="Edge 10797 Drilling Inventory"/>
      <sheetName val="corp profile"/>
      <sheetName val="#REF"/>
      <sheetName val="D"/>
      <sheetName val="Income Statement"/>
      <sheetName val="Projections"/>
      <sheetName val="c"/>
      <sheetName val="Canada"/>
      <sheetName val="Model"/>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sh"/>
      <sheetName val="Exhibit 3"/>
      <sheetName val="Cash_published"/>
      <sheetName val="NVF_published"/>
      <sheetName val="Exhibit 5"/>
      <sheetName val="IFRS"/>
      <sheetName val="Exhibit 4"/>
      <sheetName val="IFRS Life"/>
      <sheetName val="Exhibit 1"/>
      <sheetName val="Exhibit 2"/>
      <sheetName val="MCEV Roll-up"/>
      <sheetName val="Weekahead"/>
      <sheetName val="MCEV_Capital"/>
      <sheetName val="Assets(new)"/>
      <sheetName val="MCEV P&amp;L"/>
      <sheetName val="Cash Flow"/>
      <sheetName val="upside_downside"/>
      <sheetName val="Income Statement"/>
      <sheetName val="Balance Sheet"/>
      <sheetName val="RI"/>
      <sheetName val="BULLBEAR"/>
      <sheetName val="Sheet2"/>
      <sheetName val="DCF"/>
      <sheetName val="MWA RR"/>
      <sheetName val="NonQtr"/>
      <sheetName val="REVENUE BY GEOGRAPHY"/>
      <sheetName val="Data 20d"/>
      <sheetName val="Data"/>
      <sheetName val="Risk-Reward_View_Chart"/>
      <sheetName val="Valsum"/>
      <sheetName val="Inputs"/>
      <sheetName val="FX"/>
      <sheetName val="Interims"/>
      <sheetName val="Financial Statements"/>
      <sheetName val="Good 12-00 (2)"/>
      <sheetName val="Good 11-36"/>
      <sheetName val="Good 11-50"/>
      <sheetName val="Sheet3 (5)"/>
      <sheetName val="Summary"/>
      <sheetName val="Floater Demand"/>
      <sheetName val="CPB"/>
      <sheetName val="Total_Food_Promo"/>
      <sheetName val="CPB_2yr"/>
      <sheetName val="B11_BarSingle_AverageLine"/>
      <sheetName val="Quero_Sales"/>
      <sheetName val="L2005"/>
      <sheetName val="C2000"/>
      <sheetName val="Cell Reference"/>
      <sheetName val="Shading Period-Level"/>
      <sheetName val="Sources of Change"/>
      <sheetName val="Basic (gridlines)"/>
      <sheetName val="Average (reference) Line"/>
      <sheetName val="Double (overlapping)"/>
      <sheetName val="Reference Step Line"/>
      <sheetName val="Double (gridlines)"/>
      <sheetName val="Growth Line"/>
      <sheetName val="Reference Marks"/>
      <sheetName val="Single-point highlighting"/>
      <sheetName val="CPNO"/>
      <sheetName val="MMP"/>
      <sheetName val="PAA"/>
      <sheetName val="EEP"/>
      <sheetName val="KMP"/>
      <sheetName val="ETP"/>
      <sheetName val="BPL"/>
      <sheetName val="NS"/>
      <sheetName val="BWP"/>
      <sheetName val="EPD"/>
      <sheetName val="RGNC"/>
      <sheetName val="画像1"/>
      <sheetName val="業績推移"/>
      <sheetName val="バリュエーション比較"/>
      <sheetName val="自動車設備投資"/>
      <sheetName val="ロボット機械統計年"/>
      <sheetName val="ロボット機械統計"/>
      <sheetName val="株価と関連指標"/>
      <sheetName val="画像3"/>
      <sheetName val="利益率比較"/>
      <sheetName val="ロボット試算"/>
      <sheetName val="画像2"/>
      <sheetName val="内訳"/>
      <sheetName val="株価(過去1年) "/>
      <sheetName val="WWロボット出荷台数"/>
      <sheetName val="長期営業利益"/>
      <sheetName val="中国NC化率"/>
      <sheetName val="画像4"/>
      <sheetName val="成長率比較"/>
      <sheetName val="バリュエーション"/>
      <sheetName val="四半期"/>
      <sheetName val="画像5"/>
      <sheetName val="RRBox"/>
      <sheetName val="シェアと競合"/>
      <sheetName val="WP Detail "/>
      <sheetName val="Model"/>
      <sheetName val="Sheet4"/>
      <sheetName val="ForeignStake"/>
      <sheetName val="rev change analysis"/>
      <sheetName val="rev contribution analysis"/>
      <sheetName val="WPZ"/>
      <sheetName val="TPP"/>
      <sheetName val="EPE"/>
      <sheetName val="WMZ"/>
      <sheetName val="HEP"/>
      <sheetName val="MGG"/>
      <sheetName val="ETE"/>
      <sheetName val="BGH"/>
      <sheetName val="SEP"/>
      <sheetName val="TCLP"/>
      <sheetName val="SXL"/>
      <sheetName val="WES"/>
      <sheetName val="HTC"/>
      <sheetName val="MS Tele Rep"/>
      <sheetName val="China Handset"/>
      <sheetName val="Smartphone"/>
      <sheetName val="IDC"/>
      <sheetName val="CW"/>
      <sheetName val="R2000"/>
      <sheetName val="__FDS_DOWNL_SCRATCH_SHEET__"/>
      <sheetName val="FIH"/>
      <sheetName val="MIC"/>
      <sheetName val="Valuation"/>
      <sheetName val="Sales by App"/>
      <sheetName val="Net Income &amp; EPS"/>
      <sheetName val="IDC_2"/>
      <sheetName val="Sales by Region Comp"/>
      <sheetName val="What's Changed"/>
      <sheetName val="Outsourcing"/>
      <sheetName val="Nokia vs HTC"/>
      <sheetName val="2012 Outlook"/>
      <sheetName val="Charts"/>
      <sheetName val="Pension"/>
      <sheetName val="Walk"/>
      <sheetName val=" Capital"/>
      <sheetName val="New Business"/>
      <sheetName val="Basket_June09_2010"/>
      <sheetName val="C1070"/>
      <sheetName val="Basket_Jan09"/>
      <sheetName val="Basket_2010"/>
      <sheetName val="Inflation v Price 6mth lag"/>
      <sheetName val="Basket_2011"/>
      <sheetName val="Basket_June09"/>
      <sheetName val="Basket_June09_Futures"/>
      <sheetName val="Commodities Exposure"/>
      <sheetName val="Chart 6"/>
      <sheetName val="Front page benchmarks_9x3"/>
      <sheetName val="Front page benchmarks_6x5"/>
      <sheetName val="Benchmarks_All_gray2"/>
      <sheetName val="Sector yardstick_OLD"/>
      <sheetName val="Front page benchmarks_6x3"/>
      <sheetName val="Benchmarks_All_gray1"/>
      <sheetName val="P&amp;L"/>
      <sheetName val="Commodity Index"/>
      <sheetName val="Prices_Quarterly"/>
      <sheetName val="Inflation_Monthly"/>
      <sheetName val="Inflation_Quarterly"/>
      <sheetName val="Prices_Monthly"/>
      <sheetName val="Exposure"/>
      <sheetName val="NewChubb_INPUT"/>
      <sheetName val="2008 - present spreads"/>
      <sheetName val="Book Values"/>
      <sheetName val="1Q09e UR loss tables"/>
      <sheetName val="CMBX Spreads"/>
      <sheetName val="4Q08 UR Loss"/>
      <sheetName val="Excess Capital"/>
      <sheetName val="BVPS tables"/>
      <sheetName val="1Q09E UR Loss"/>
      <sheetName val="RBC Equity Sensitivity"/>
      <sheetName val="1Q09 BVPS table"/>
      <sheetName val="ｾｸﾞﾒﾝﾄ"/>
      <sheetName val="単独"/>
    </sheetNames>
    <sheetDataSet>
      <sheetData sheetId="0" refreshError="1">
        <row r="5">
          <cell r="F5" t="str">
            <v>Display horizontal line for the average?</v>
          </cell>
        </row>
        <row r="10">
          <cell r="Y10" t="str">
            <v>invisible1</v>
          </cell>
        </row>
        <row r="11">
          <cell r="D11" t="str">
            <v>Jupiter</v>
          </cell>
          <cell r="E11">
            <v>78</v>
          </cell>
          <cell r="X11" t="str">
            <v xml:space="preserve">  </v>
          </cell>
          <cell r="Y11">
            <v>44.5</v>
          </cell>
        </row>
        <row r="12">
          <cell r="D12" t="str">
            <v>Juno</v>
          </cell>
          <cell r="E12">
            <v>58</v>
          </cell>
        </row>
        <row r="13">
          <cell r="D13" t="str">
            <v>Neptune</v>
          </cell>
          <cell r="E13">
            <v>45</v>
          </cell>
          <cell r="X13" t="str">
            <v>width</v>
          </cell>
          <cell r="Y13">
            <v>0.624</v>
          </cell>
        </row>
        <row r="14">
          <cell r="D14" t="str">
            <v>Pluto</v>
          </cell>
          <cell r="E14">
            <v>37</v>
          </cell>
        </row>
        <row r="15">
          <cell r="D15" t="str">
            <v>Minerva</v>
          </cell>
          <cell r="E15">
            <v>26</v>
          </cell>
          <cell r="X15" t="str">
            <v>scaling</v>
          </cell>
          <cell r="Y15">
            <v>8.0000000000000002E-3</v>
          </cell>
        </row>
        <row r="16">
          <cell r="D16" t="str">
            <v>Hermes</v>
          </cell>
          <cell r="E16">
            <v>23</v>
          </cell>
        </row>
        <row r="17">
          <cell r="X17" t="str">
            <v>label</v>
          </cell>
          <cell r="Y17" t="str">
            <v>average: 44.5</v>
          </cell>
        </row>
        <row r="28">
          <cell r="R28" t="b">
            <v>1</v>
          </cell>
        </row>
        <row r="34">
          <cell r="R34" t="str">
            <v>Notes:</v>
          </cell>
        </row>
        <row r="35">
          <cell r="R35" t="str">
            <v>-doesn't work for negative average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summary"/>
      <sheetName val="consensus"/>
      <sheetName val="Gaap Adj"/>
      <sheetName val="COVER SHEET"/>
      <sheetName val="MW-Cache"/>
      <sheetName val="__FDSCACHE__"/>
      <sheetName val="IS-ANNUAL"/>
      <sheetName val="IS-QTRLY"/>
      <sheetName val="REV-ANNUAL"/>
      <sheetName val="REV-QTRLY"/>
      <sheetName val="SEL_FRANCHISES"/>
      <sheetName val="CFBS"/>
      <sheetName val="FOOTNOTES"/>
      <sheetName val="AGREEMENTS"/>
      <sheetName val="MGMT PROJECTIONS"/>
      <sheetName val="PIPELINE"/>
      <sheetName val="PIPELINE_UNADJ"/>
      <sheetName val="DCF"/>
      <sheetName val="DEBT"/>
      <sheetName val="patent expirations"/>
      <sheetName val="Var-YOY"/>
      <sheetName val="Var-Seq"/>
      <sheetName val="revenue snapshot"/>
      <sheetName val="rev contribution analysis"/>
      <sheetName val="rev change analysis"/>
      <sheetName val="2015 rev change"/>
      <sheetName val="MWA RR"/>
      <sheetName val="mwareDates"/>
      <sheetName val="MW Valuation"/>
      <sheetName val="mwareSettings"/>
      <sheetName val="ANOMALIES"/>
      <sheetName val="ASSUMPTIONS"/>
      <sheetName val="2008 pro forma EPS (wIMCL)"/>
      <sheetName val="prasugrel sales potential"/>
      <sheetName val="prasugrel npv"/>
      <sheetName val="Cialis JV"/>
      <sheetName val="tabs"/>
      <sheetName val="pipeline_summary"/>
      <sheetName val="C38001"/>
      <sheetName val="C3800"/>
      <sheetName val="Product Mix"/>
      <sheetName val="calendar"/>
      <sheetName val="patents"/>
      <sheetName val="launches"/>
      <sheetName val="pipeline handout"/>
      <sheetName val="FCF vs Guidance"/>
      <sheetName val="#REF"/>
      <sheetName val="diabetes_multiple"/>
      <sheetName val="TR Convert"/>
      <sheetName val="Annual"/>
      <sheetName val="Becker"/>
      <sheetName val="HGSI"/>
      <sheetName val="Partnerships"/>
    </sheetNames>
    <sheetDataSet>
      <sheetData sheetId="0" refreshError="1"/>
      <sheetData sheetId="1">
        <row r="1">
          <cell r="B1" t="str">
            <v>Eli Lilly &amp; Co.</v>
          </cell>
        </row>
      </sheetData>
      <sheetData sheetId="2"/>
      <sheetData sheetId="3"/>
      <sheetData sheetId="4"/>
      <sheetData sheetId="5"/>
      <sheetData sheetId="6"/>
      <sheetData sheetId="7" refreshError="1"/>
      <sheetData sheetId="8"/>
      <sheetData sheetId="9" refreshError="1"/>
      <sheetData sheetId="10"/>
      <sheetData sheetId="11"/>
      <sheetData sheetId="12"/>
      <sheetData sheetId="13" refreshError="1"/>
      <sheetData sheetId="14" refreshError="1"/>
      <sheetData sheetId="15"/>
      <sheetData sheetId="16"/>
      <sheetData sheetId="17"/>
      <sheetData sheetId="18" refreshError="1">
        <row r="4">
          <cell r="L4">
            <v>38442</v>
          </cell>
          <cell r="M4">
            <v>38533</v>
          </cell>
          <cell r="N4">
            <v>38625</v>
          </cell>
          <cell r="O4">
            <v>38717</v>
          </cell>
          <cell r="P4">
            <v>38717</v>
          </cell>
          <cell r="Q4">
            <v>38807</v>
          </cell>
          <cell r="R4">
            <v>38898</v>
          </cell>
          <cell r="S4">
            <v>38990</v>
          </cell>
          <cell r="T4">
            <v>39082</v>
          </cell>
          <cell r="U4">
            <v>39082</v>
          </cell>
          <cell r="V4">
            <v>39172</v>
          </cell>
          <cell r="W4">
            <v>39263</v>
          </cell>
          <cell r="X4">
            <v>39355</v>
          </cell>
          <cell r="Y4">
            <v>39447</v>
          </cell>
          <cell r="Z4">
            <v>39447</v>
          </cell>
          <cell r="AA4">
            <v>39538</v>
          </cell>
          <cell r="AB4">
            <v>39629</v>
          </cell>
          <cell r="AC4">
            <v>39721</v>
          </cell>
          <cell r="AD4">
            <v>39813</v>
          </cell>
          <cell r="AE4">
            <v>39813</v>
          </cell>
          <cell r="AF4">
            <v>39903</v>
          </cell>
          <cell r="AG4">
            <v>39994</v>
          </cell>
          <cell r="AH4">
            <v>40086</v>
          </cell>
          <cell r="AI4">
            <v>40178</v>
          </cell>
          <cell r="AJ4">
            <v>40178</v>
          </cell>
          <cell r="AK4">
            <v>40268</v>
          </cell>
          <cell r="AL4">
            <v>40359</v>
          </cell>
          <cell r="AM4">
            <v>40451</v>
          </cell>
          <cell r="AN4">
            <v>40543</v>
          </cell>
          <cell r="AO4">
            <v>40543</v>
          </cell>
          <cell r="AP4">
            <v>40633</v>
          </cell>
          <cell r="AQ4">
            <v>40724</v>
          </cell>
          <cell r="AR4">
            <v>40816</v>
          </cell>
          <cell r="AS4">
            <v>40908</v>
          </cell>
          <cell r="AT4">
            <v>40908</v>
          </cell>
          <cell r="AU4">
            <v>40999</v>
          </cell>
          <cell r="AV4">
            <v>41090</v>
          </cell>
          <cell r="AW4">
            <v>41182</v>
          </cell>
          <cell r="AX4">
            <v>41274</v>
          </cell>
          <cell r="AY4">
            <v>41274</v>
          </cell>
          <cell r="AZ4">
            <v>41364</v>
          </cell>
          <cell r="BA4">
            <v>41455</v>
          </cell>
          <cell r="BB4">
            <v>41547</v>
          </cell>
          <cell r="BC4">
            <v>41639</v>
          </cell>
          <cell r="BD4">
            <v>41639</v>
          </cell>
          <cell r="BE4">
            <v>41729</v>
          </cell>
          <cell r="BF4">
            <v>41820</v>
          </cell>
          <cell r="BG4">
            <v>41912</v>
          </cell>
          <cell r="BH4">
            <v>42004</v>
          </cell>
          <cell r="BI4">
            <v>42004</v>
          </cell>
          <cell r="BJ4">
            <v>42094</v>
          </cell>
          <cell r="BK4">
            <v>42185</v>
          </cell>
          <cell r="BL4">
            <v>42277</v>
          </cell>
          <cell r="BM4">
            <v>42369</v>
          </cell>
          <cell r="BN4">
            <v>42369</v>
          </cell>
          <cell r="BO4">
            <v>42460</v>
          </cell>
          <cell r="BP4">
            <v>42551</v>
          </cell>
          <cell r="BQ4">
            <v>42643</v>
          </cell>
          <cell r="BR4">
            <v>42735</v>
          </cell>
          <cell r="BS4">
            <v>42735</v>
          </cell>
          <cell r="BT4">
            <v>42825</v>
          </cell>
          <cell r="BU4">
            <v>42916</v>
          </cell>
          <cell r="BV4">
            <v>43008</v>
          </cell>
          <cell r="BW4">
            <v>43100</v>
          </cell>
          <cell r="BX4">
            <v>43100</v>
          </cell>
          <cell r="BY4">
            <v>43190</v>
          </cell>
          <cell r="BZ4">
            <v>43281</v>
          </cell>
          <cell r="CA4">
            <v>43373</v>
          </cell>
          <cell r="CB4">
            <v>43465</v>
          </cell>
          <cell r="CC4">
            <v>43465</v>
          </cell>
          <cell r="CD4">
            <v>43555</v>
          </cell>
          <cell r="CE4">
            <v>43646</v>
          </cell>
          <cell r="CF4">
            <v>43738</v>
          </cell>
          <cell r="CG4">
            <v>43830</v>
          </cell>
          <cell r="CH4">
            <v>43830</v>
          </cell>
          <cell r="CI4">
            <v>43921</v>
          </cell>
          <cell r="CJ4">
            <v>44012</v>
          </cell>
          <cell r="CK4">
            <v>44104</v>
          </cell>
          <cell r="CL4">
            <v>44196</v>
          </cell>
          <cell r="CM4">
            <v>44196</v>
          </cell>
        </row>
        <row r="5">
          <cell r="H5" t="str">
            <v>Eli Lilly &amp; Co.</v>
          </cell>
          <cell r="K5">
            <v>40359</v>
          </cell>
        </row>
        <row r="6">
          <cell r="H6" t="str">
            <v>DCF Valuation</v>
          </cell>
          <cell r="K6">
            <v>40359</v>
          </cell>
        </row>
        <row r="7">
          <cell r="AJ7">
            <v>0</v>
          </cell>
          <cell r="AO7">
            <v>1</v>
          </cell>
          <cell r="AT7">
            <v>2</v>
          </cell>
          <cell r="AY7">
            <v>3</v>
          </cell>
          <cell r="BD7">
            <v>4</v>
          </cell>
          <cell r="BI7">
            <v>5</v>
          </cell>
          <cell r="BN7">
            <v>6</v>
          </cell>
          <cell r="BS7">
            <v>5.5</v>
          </cell>
          <cell r="BX7">
            <v>6.5</v>
          </cell>
          <cell r="CC7">
            <v>7.5</v>
          </cell>
          <cell r="CH7">
            <v>8.5</v>
          </cell>
          <cell r="CM7">
            <v>9.5</v>
          </cell>
        </row>
        <row r="9">
          <cell r="H9" t="str">
            <v>($M)</v>
          </cell>
          <cell r="L9" t="str">
            <v>1Q:05A</v>
          </cell>
          <cell r="M9" t="str">
            <v>2Q:05A</v>
          </cell>
          <cell r="N9" t="str">
            <v>3Q:05A</v>
          </cell>
          <cell r="O9" t="str">
            <v>4Q:05A</v>
          </cell>
          <cell r="P9" t="str">
            <v>2005A</v>
          </cell>
          <cell r="Q9" t="str">
            <v>1Q:06A</v>
          </cell>
          <cell r="R9" t="str">
            <v>2Q:06A</v>
          </cell>
          <cell r="S9" t="str">
            <v>3Q:06A</v>
          </cell>
          <cell r="T9" t="str">
            <v>4Q:06A</v>
          </cell>
          <cell r="U9" t="str">
            <v>2006A</v>
          </cell>
          <cell r="V9" t="str">
            <v>1Q:07A</v>
          </cell>
          <cell r="W9" t="str">
            <v>2Q:07A</v>
          </cell>
          <cell r="X9" t="str">
            <v>3Q:07A</v>
          </cell>
          <cell r="Y9" t="str">
            <v>4Q:07A</v>
          </cell>
          <cell r="Z9" t="str">
            <v>2007A</v>
          </cell>
          <cell r="AA9" t="str">
            <v>1Q:08A</v>
          </cell>
          <cell r="AB9" t="str">
            <v>2Q:08A</v>
          </cell>
          <cell r="AC9" t="str">
            <v>3Q:08A</v>
          </cell>
          <cell r="AD9" t="str">
            <v>4Q:08A</v>
          </cell>
          <cell r="AE9" t="str">
            <v>2008A</v>
          </cell>
          <cell r="AF9" t="str">
            <v>1Q:09A</v>
          </cell>
          <cell r="AG9" t="str">
            <v>2Q:09A</v>
          </cell>
          <cell r="AH9" t="str">
            <v>3Q:09A</v>
          </cell>
          <cell r="AI9" t="str">
            <v>4Q:09A</v>
          </cell>
          <cell r="AJ9" t="str">
            <v>2009A</v>
          </cell>
          <cell r="AK9" t="str">
            <v>1Q:10A</v>
          </cell>
          <cell r="AL9" t="str">
            <v>2Q:10A</v>
          </cell>
          <cell r="AM9" t="str">
            <v>3Q:10E</v>
          </cell>
          <cell r="AN9" t="str">
            <v>4Q:10E</v>
          </cell>
          <cell r="AO9" t="str">
            <v>2010E</v>
          </cell>
          <cell r="AP9" t="str">
            <v>1Q:11E</v>
          </cell>
          <cell r="AQ9" t="str">
            <v>2Q:11E</v>
          </cell>
          <cell r="AR9" t="str">
            <v>3Q:11E</v>
          </cell>
          <cell r="AS9" t="str">
            <v>4Q:11E</v>
          </cell>
          <cell r="AT9" t="str">
            <v>2011E</v>
          </cell>
          <cell r="AU9" t="str">
            <v>1Q:12E</v>
          </cell>
          <cell r="AV9" t="str">
            <v>2Q:12E</v>
          </cell>
          <cell r="AW9" t="str">
            <v>3Q:12E</v>
          </cell>
          <cell r="AX9" t="str">
            <v>4Q:12E</v>
          </cell>
          <cell r="AY9" t="str">
            <v>2012E</v>
          </cell>
          <cell r="AZ9" t="str">
            <v>1Q:13E</v>
          </cell>
          <cell r="BA9" t="str">
            <v>2Q:13E</v>
          </cell>
          <cell r="BB9" t="str">
            <v>3Q:13E</v>
          </cell>
          <cell r="BC9" t="str">
            <v>4Q:13E</v>
          </cell>
          <cell r="BD9" t="str">
            <v>2013E</v>
          </cell>
          <cell r="BE9" t="str">
            <v>1Q:14E</v>
          </cell>
          <cell r="BF9" t="str">
            <v>2Q:14E</v>
          </cell>
          <cell r="BG9" t="str">
            <v>3Q:14E</v>
          </cell>
          <cell r="BH9" t="str">
            <v>4Q:14E</v>
          </cell>
          <cell r="BI9" t="str">
            <v>2014E</v>
          </cell>
          <cell r="BJ9" t="str">
            <v>1Q:15E</v>
          </cell>
          <cell r="BK9" t="str">
            <v>2Q:15E</v>
          </cell>
          <cell r="BL9" t="str">
            <v>3Q:15E</v>
          </cell>
          <cell r="BM9" t="str">
            <v>4Q:15E</v>
          </cell>
          <cell r="BN9" t="str">
            <v>2015E</v>
          </cell>
          <cell r="BO9" t="str">
            <v>1Q:16E</v>
          </cell>
          <cell r="BP9" t="str">
            <v>2Q:16E</v>
          </cell>
          <cell r="BQ9" t="str">
            <v>3Q:16E</v>
          </cell>
          <cell r="BR9" t="str">
            <v>4Q:16E</v>
          </cell>
          <cell r="BS9" t="str">
            <v>2016E</v>
          </cell>
          <cell r="BT9" t="str">
            <v>1Q:17E</v>
          </cell>
          <cell r="BU9" t="str">
            <v>2Q:17E</v>
          </cell>
          <cell r="BV9" t="str">
            <v>3Q:17E</v>
          </cell>
          <cell r="BW9" t="str">
            <v>4Q:17E</v>
          </cell>
          <cell r="BX9" t="str">
            <v>2017E</v>
          </cell>
          <cell r="BY9" t="str">
            <v>1Q:18E</v>
          </cell>
          <cell r="BZ9" t="str">
            <v>2Q:18E</v>
          </cell>
          <cell r="CA9" t="str">
            <v>3Q:18E</v>
          </cell>
          <cell r="CB9" t="str">
            <v>4Q:18E</v>
          </cell>
          <cell r="CC9" t="str">
            <v>2018E</v>
          </cell>
          <cell r="CD9" t="str">
            <v>1Q:19E</v>
          </cell>
          <cell r="CE9" t="str">
            <v>2Q:19E</v>
          </cell>
          <cell r="CF9" t="str">
            <v>3Q:19E</v>
          </cell>
          <cell r="CG9" t="str">
            <v>4Q:19E</v>
          </cell>
          <cell r="CH9" t="str">
            <v>2019E</v>
          </cell>
          <cell r="CI9" t="str">
            <v>1Q:20E</v>
          </cell>
          <cell r="CJ9" t="str">
            <v>2Q:20E</v>
          </cell>
          <cell r="CK9" t="str">
            <v>3Q:20E</v>
          </cell>
          <cell r="CL9" t="str">
            <v>4Q:20E</v>
          </cell>
          <cell r="CM9" t="str">
            <v>2020E</v>
          </cell>
        </row>
        <row r="10">
          <cell r="H10" t="str">
            <v>EBIT</v>
          </cell>
          <cell r="AO10">
            <v>6469.3282424700001</v>
          </cell>
          <cell r="AT10">
            <v>6467.3240859350544</v>
          </cell>
          <cell r="AY10">
            <v>5177.2438341357383</v>
          </cell>
          <cell r="BD10">
            <v>5697.780702994366</v>
          </cell>
          <cell r="BI10">
            <v>4616.5216886035241</v>
          </cell>
          <cell r="BN10">
            <v>3639.0059716746882</v>
          </cell>
          <cell r="BS10">
            <v>4177.6971310879208</v>
          </cell>
          <cell r="BX10">
            <v>2756.6823298796207</v>
          </cell>
          <cell r="CC10">
            <v>1830.2349406402082</v>
          </cell>
          <cell r="CH10">
            <v>1158.8537381545757</v>
          </cell>
          <cell r="CM10">
            <v>1130.5997065473766</v>
          </cell>
        </row>
        <row r="11">
          <cell r="H11" t="str">
            <v>EBIT*(1-Tax rate)</v>
          </cell>
          <cell r="AO11">
            <v>4979.516503129068</v>
          </cell>
          <cell r="AT11">
            <v>4979.839546169992</v>
          </cell>
          <cell r="AY11">
            <v>3908.8190947724825</v>
          </cell>
          <cell r="BD11">
            <v>4273.3355272457748</v>
          </cell>
          <cell r="BI11">
            <v>3439.3086580096256</v>
          </cell>
          <cell r="BN11">
            <v>2692.8644190392693</v>
          </cell>
          <cell r="BS11">
            <v>3133.2728483159408</v>
          </cell>
          <cell r="BX11">
            <v>2067.5117474097156</v>
          </cell>
          <cell r="CC11">
            <v>1372.6762054801561</v>
          </cell>
          <cell r="CH11">
            <v>869.14030361593177</v>
          </cell>
          <cell r="CM11">
            <v>847.94977991053247</v>
          </cell>
        </row>
        <row r="12">
          <cell r="H12" t="str">
            <v>After Tax GAAP Adjustments**</v>
          </cell>
          <cell r="AK12">
            <v>-49.399999999999636</v>
          </cell>
          <cell r="AL12">
            <v>-17.829904970000825</v>
          </cell>
          <cell r="AM12">
            <v>0</v>
          </cell>
          <cell r="AN12">
            <v>0</v>
          </cell>
          <cell r="AO12">
            <v>-750</v>
          </cell>
          <cell r="AP12">
            <v>0</v>
          </cell>
          <cell r="AQ12">
            <v>0</v>
          </cell>
          <cell r="AR12">
            <v>0</v>
          </cell>
          <cell r="AS12">
            <v>0</v>
          </cell>
          <cell r="AT12">
            <v>-500</v>
          </cell>
          <cell r="AU12">
            <v>0</v>
          </cell>
          <cell r="AV12">
            <v>0</v>
          </cell>
          <cell r="AW12">
            <v>0</v>
          </cell>
          <cell r="AX12">
            <v>0</v>
          </cell>
          <cell r="AY12">
            <v>-500</v>
          </cell>
          <cell r="AZ12">
            <v>0</v>
          </cell>
          <cell r="BA12">
            <v>0</v>
          </cell>
          <cell r="BB12">
            <v>0</v>
          </cell>
          <cell r="BC12">
            <v>0</v>
          </cell>
          <cell r="BD12">
            <v>-500</v>
          </cell>
          <cell r="BE12">
            <v>0</v>
          </cell>
          <cell r="BF12">
            <v>0</v>
          </cell>
          <cell r="BG12">
            <v>0</v>
          </cell>
          <cell r="BH12">
            <v>0</v>
          </cell>
          <cell r="BI12">
            <v>-500</v>
          </cell>
          <cell r="BJ12">
            <v>0</v>
          </cell>
          <cell r="BK12">
            <v>0</v>
          </cell>
          <cell r="BL12">
            <v>0</v>
          </cell>
          <cell r="BM12">
            <v>0</v>
          </cell>
          <cell r="BN12">
            <v>-500</v>
          </cell>
          <cell r="BS12">
            <v>-500</v>
          </cell>
          <cell r="BX12">
            <v>-500</v>
          </cell>
          <cell r="CC12">
            <v>-500</v>
          </cell>
          <cell r="CH12">
            <v>-500</v>
          </cell>
          <cell r="CM12">
            <v>-500</v>
          </cell>
        </row>
        <row r="13">
          <cell r="H13" t="str">
            <v>D&amp;A</v>
          </cell>
          <cell r="AO13">
            <v>1411.2411999999999</v>
          </cell>
          <cell r="AT13">
            <v>1297.1546704530724</v>
          </cell>
          <cell r="AY13">
            <v>1271.5573220741931</v>
          </cell>
          <cell r="BD13">
            <v>1248.8929324934602</v>
          </cell>
          <cell r="BI13">
            <v>1225.8825656162667</v>
          </cell>
          <cell r="BN13">
            <v>1204.6098964970342</v>
          </cell>
          <cell r="BS13">
            <v>1264.6673605474127</v>
          </cell>
          <cell r="BX13">
            <v>1244.4226470898066</v>
          </cell>
          <cell r="CC13">
            <v>1244.295579923561</v>
          </cell>
          <cell r="CH13">
            <v>1247.4374741968252</v>
          </cell>
          <cell r="CM13">
            <v>1240.8885125126264</v>
          </cell>
        </row>
        <row r="14">
          <cell r="H14" t="str">
            <v>Capital Expenditure</v>
          </cell>
          <cell r="AO14">
            <v>818.7611259928085</v>
          </cell>
          <cell r="AT14">
            <v>818.7256132524584</v>
          </cell>
          <cell r="AY14">
            <v>815.8643795878902</v>
          </cell>
          <cell r="BD14">
            <v>790.51799546095424</v>
          </cell>
          <cell r="BI14">
            <v>780.97815383927139</v>
          </cell>
          <cell r="BN14">
            <v>757.40883933403632</v>
          </cell>
          <cell r="BS14">
            <v>672.22022597135151</v>
          </cell>
          <cell r="BX14">
            <v>853.15197542735041</v>
          </cell>
          <cell r="CC14">
            <v>885.71452265620292</v>
          </cell>
          <cell r="CH14">
            <v>791.94785735483788</v>
          </cell>
          <cell r="CM14">
            <v>853.85178663089869</v>
          </cell>
        </row>
        <row r="15">
          <cell r="H15" t="str">
            <v>Change in working capital</v>
          </cell>
          <cell r="AO15">
            <v>26.244399437840002</v>
          </cell>
          <cell r="AT15">
            <v>-5.1390600868598995</v>
          </cell>
          <cell r="AY15">
            <v>-1.9920843442387195</v>
          </cell>
          <cell r="BD15">
            <v>21.547567688920935</v>
          </cell>
          <cell r="BI15">
            <v>15.738084957972205</v>
          </cell>
          <cell r="BN15">
            <v>45.74154920050205</v>
          </cell>
          <cell r="BS15">
            <v>-447.69278513228073</v>
          </cell>
          <cell r="BX15">
            <v>352.89890007085796</v>
          </cell>
          <cell r="CC15">
            <v>-367.28181281080651</v>
          </cell>
          <cell r="CH15">
            <v>271.66525684200042</v>
          </cell>
          <cell r="CM15">
            <v>-196.68656813392045</v>
          </cell>
        </row>
        <row r="16">
          <cell r="H16" t="str">
            <v>FCF</v>
          </cell>
          <cell r="AK16">
            <v>-49.399999999999636</v>
          </cell>
          <cell r="AL16">
            <v>-17.829904970000825</v>
          </cell>
          <cell r="AM16">
            <v>0</v>
          </cell>
          <cell r="AN16">
            <v>0</v>
          </cell>
          <cell r="AO16">
            <v>4848.2409765740986</v>
          </cell>
          <cell r="AP16">
            <v>0</v>
          </cell>
          <cell r="AQ16">
            <v>0</v>
          </cell>
          <cell r="AR16">
            <v>0</v>
          </cell>
          <cell r="AS16">
            <v>0</v>
          </cell>
          <cell r="AT16">
            <v>3599.2699247079954</v>
          </cell>
          <cell r="AU16">
            <v>0</v>
          </cell>
          <cell r="AV16">
            <v>0</v>
          </cell>
          <cell r="AW16">
            <v>0</v>
          </cell>
          <cell r="AX16">
            <v>0</v>
          </cell>
          <cell r="AY16">
            <v>2992.6251869284529</v>
          </cell>
          <cell r="AZ16">
            <v>0</v>
          </cell>
          <cell r="BA16">
            <v>0</v>
          </cell>
          <cell r="BB16">
            <v>0</v>
          </cell>
          <cell r="BC16">
            <v>0</v>
          </cell>
          <cell r="BD16">
            <v>4204.4457567238242</v>
          </cell>
          <cell r="BE16">
            <v>0</v>
          </cell>
          <cell r="BF16">
            <v>0</v>
          </cell>
          <cell r="BG16">
            <v>0</v>
          </cell>
          <cell r="BH16">
            <v>0</v>
          </cell>
          <cell r="BI16">
            <v>1580.5072228291165</v>
          </cell>
          <cell r="BJ16">
            <v>0</v>
          </cell>
          <cell r="BK16">
            <v>0</v>
          </cell>
          <cell r="BL16">
            <v>0</v>
          </cell>
          <cell r="BM16">
            <v>0</v>
          </cell>
          <cell r="BN16">
            <v>3393.0843984187377</v>
          </cell>
          <cell r="BS16">
            <v>2778.0271977597213</v>
          </cell>
          <cell r="BX16">
            <v>2311.6813191430297</v>
          </cell>
          <cell r="CC16">
            <v>863.97544993670772</v>
          </cell>
          <cell r="CH16">
            <v>1096.2951772999195</v>
          </cell>
          <cell r="CM16">
            <v>538.29993765833979</v>
          </cell>
        </row>
        <row r="17">
          <cell r="BJ17">
            <v>0</v>
          </cell>
          <cell r="BK17">
            <v>0</v>
          </cell>
          <cell r="BL17">
            <v>0</v>
          </cell>
          <cell r="BM17">
            <v>0</v>
          </cell>
        </row>
        <row r="18">
          <cell r="H18" t="str">
            <v>WACC*</v>
          </cell>
          <cell r="J18">
            <v>0.08</v>
          </cell>
          <cell r="AO18" t="str">
            <v>Equity value per share</v>
          </cell>
        </row>
        <row r="19">
          <cell r="H19" t="str">
            <v>Perpetuity</v>
          </cell>
          <cell r="J19">
            <v>-5.0000000000000001E-3</v>
          </cell>
          <cell r="AT19" t="str">
            <v>Perpetuity</v>
          </cell>
        </row>
        <row r="20">
          <cell r="Z20">
            <v>-2.5000000000000001E-2</v>
          </cell>
          <cell r="AE20">
            <v>-0.02</v>
          </cell>
          <cell r="AJ20">
            <v>-1.4999999999999999E-2</v>
          </cell>
          <cell r="AO20">
            <v>-0.01</v>
          </cell>
          <cell r="AT20">
            <v>-5.0000000000000001E-3</v>
          </cell>
          <cell r="AY20">
            <v>0</v>
          </cell>
          <cell r="BD20">
            <v>5.0000000000000001E-3</v>
          </cell>
          <cell r="BI20">
            <v>0.01</v>
          </cell>
          <cell r="BN20">
            <v>1.4999999999999999E-2</v>
          </cell>
        </row>
        <row r="21">
          <cell r="H21" t="str">
            <v>CF value</v>
          </cell>
          <cell r="J21">
            <v>18934.550387869403</v>
          </cell>
          <cell r="U21">
            <v>5.9999999999999991E-2</v>
          </cell>
          <cell r="Z21">
            <v>36.296306698241203</v>
          </cell>
          <cell r="AA21">
            <v>45.211498355794248</v>
          </cell>
          <cell r="AB21">
            <v>45.211498355794248</v>
          </cell>
          <cell r="AC21">
            <v>45.211498355794248</v>
          </cell>
          <cell r="AD21">
            <v>45.211498355794248</v>
          </cell>
          <cell r="AE21">
            <v>39.00754108026495</v>
          </cell>
          <cell r="AF21">
            <v>45.211498355794248</v>
          </cell>
          <cell r="AG21">
            <v>45.211498355794248</v>
          </cell>
          <cell r="AH21">
            <v>45.211498355794248</v>
          </cell>
          <cell r="AI21">
            <v>45.211498355794248</v>
          </cell>
          <cell r="AJ21">
            <v>40.848096384704569</v>
          </cell>
          <cell r="AK21">
            <v>45.211498355794248</v>
          </cell>
          <cell r="AL21">
            <v>45.211498355794248</v>
          </cell>
          <cell r="AM21">
            <v>45.211498355794248</v>
          </cell>
          <cell r="AN21">
            <v>45.211498355794248</v>
          </cell>
          <cell r="AO21">
            <v>42.934059063069476</v>
          </cell>
          <cell r="AP21">
            <v>45.211498355794248</v>
          </cell>
          <cell r="AQ21">
            <v>45.211498355794248</v>
          </cell>
          <cell r="AR21">
            <v>45.211498355794248</v>
          </cell>
          <cell r="AS21">
            <v>45.211498355794248</v>
          </cell>
          <cell r="AT21">
            <v>45.31801640977222</v>
          </cell>
          <cell r="AU21">
            <v>45.211498355794248</v>
          </cell>
          <cell r="AV21">
            <v>45.211498355794248</v>
          </cell>
          <cell r="AW21">
            <v>45.211498355794248</v>
          </cell>
          <cell r="AX21">
            <v>45.211498355794248</v>
          </cell>
          <cell r="AY21">
            <v>48.068736425198466</v>
          </cell>
          <cell r="AZ21">
            <v>45.211498355794248</v>
          </cell>
          <cell r="BA21">
            <v>45.211498355794248</v>
          </cell>
          <cell r="BB21">
            <v>45.211498355794248</v>
          </cell>
          <cell r="BC21">
            <v>45.211498355794248</v>
          </cell>
          <cell r="BD21">
            <v>51.277909776529093</v>
          </cell>
          <cell r="BE21">
            <v>45.211498355794248</v>
          </cell>
          <cell r="BF21">
            <v>45.211498355794248</v>
          </cell>
          <cell r="BG21">
            <v>45.211498355794248</v>
          </cell>
          <cell r="BH21">
            <v>45.211498355794248</v>
          </cell>
          <cell r="BI21">
            <v>55.070569191738002</v>
          </cell>
          <cell r="BJ21">
            <v>45.211498355794248</v>
          </cell>
          <cell r="BK21">
            <v>45.211498355794248</v>
          </cell>
          <cell r="BL21">
            <v>45.211498355794248</v>
          </cell>
          <cell r="BM21">
            <v>45.211498355794248</v>
          </cell>
          <cell r="BN21">
            <v>59.621760489988702</v>
          </cell>
        </row>
        <row r="22">
          <cell r="H22" t="str">
            <v>TV</v>
          </cell>
          <cell r="J22">
            <v>19812.369894384632</v>
          </cell>
          <cell r="U22">
            <v>6.4999999999999988E-2</v>
          </cell>
          <cell r="Z22">
            <v>34.429141829352304</v>
          </cell>
          <cell r="AA22">
            <v>42.020618845109333</v>
          </cell>
          <cell r="AB22">
            <v>42.020618845109333</v>
          </cell>
          <cell r="AC22">
            <v>42.020618845109333</v>
          </cell>
          <cell r="AD22">
            <v>42.020618845109333</v>
          </cell>
          <cell r="AE22">
            <v>36.810416457272673</v>
          </cell>
          <cell r="AF22">
            <v>42.020618845109333</v>
          </cell>
          <cell r="AG22">
            <v>42.020618845109333</v>
          </cell>
          <cell r="AH22">
            <v>42.020618845109333</v>
          </cell>
          <cell r="AI22">
            <v>42.020618845109333</v>
          </cell>
          <cell r="AJ22">
            <v>38.419739576402961</v>
          </cell>
          <cell r="AK22">
            <v>42.020618845109333</v>
          </cell>
          <cell r="AL22">
            <v>42.020618845109333</v>
          </cell>
          <cell r="AM22">
            <v>42.020618845109333</v>
          </cell>
          <cell r="AN22">
            <v>42.020618845109333</v>
          </cell>
          <cell r="AO22">
            <v>40.23022808542455</v>
          </cell>
          <cell r="AP22">
            <v>42.020618845109333</v>
          </cell>
          <cell r="AQ22">
            <v>42.020618845109333</v>
          </cell>
          <cell r="AR22">
            <v>42.020618845109333</v>
          </cell>
          <cell r="AS22">
            <v>42.020618845109333</v>
          </cell>
          <cell r="AT22">
            <v>42.282115062315668</v>
          </cell>
          <cell r="AU22">
            <v>42.020618845109333</v>
          </cell>
          <cell r="AV22">
            <v>42.020618845109333</v>
          </cell>
          <cell r="AW22">
            <v>42.020618845109333</v>
          </cell>
          <cell r="AX22">
            <v>42.020618845109333</v>
          </cell>
          <cell r="AY22">
            <v>44.62712875019124</v>
          </cell>
          <cell r="AZ22">
            <v>42.020618845109333</v>
          </cell>
          <cell r="BA22">
            <v>42.020618845109333</v>
          </cell>
          <cell r="BB22">
            <v>42.020618845109333</v>
          </cell>
          <cell r="BC22">
            <v>42.020618845109333</v>
          </cell>
          <cell r="BD22">
            <v>47.332913774663048</v>
          </cell>
          <cell r="BE22">
            <v>42.020618845109333</v>
          </cell>
          <cell r="BF22">
            <v>42.020618845109333</v>
          </cell>
          <cell r="BG22">
            <v>42.020618845109333</v>
          </cell>
          <cell r="BH22">
            <v>42.020618845109333</v>
          </cell>
          <cell r="BI22">
            <v>50.489662969880165</v>
          </cell>
          <cell r="BJ22">
            <v>42.020618845109333</v>
          </cell>
          <cell r="BK22">
            <v>42.020618845109333</v>
          </cell>
          <cell r="BL22">
            <v>42.020618845109333</v>
          </cell>
          <cell r="BM22">
            <v>42.020618845109333</v>
          </cell>
          <cell r="BN22">
            <v>54.220366564227668</v>
          </cell>
        </row>
        <row r="23">
          <cell r="H23" t="str">
            <v>Firm Value</v>
          </cell>
          <cell r="J23">
            <v>38746.920282254039</v>
          </cell>
          <cell r="U23">
            <v>6.9999999999999993E-2</v>
          </cell>
          <cell r="Z23">
            <v>32.753214008700212</v>
          </cell>
          <cell r="AA23">
            <v>39.276848987815995</v>
          </cell>
          <cell r="AB23">
            <v>39.276848987815995</v>
          </cell>
          <cell r="AC23">
            <v>39.276848987815995</v>
          </cell>
          <cell r="AD23">
            <v>39.276848987815995</v>
          </cell>
          <cell r="AE23">
            <v>34.844324840741685</v>
          </cell>
          <cell r="AF23">
            <v>39.276848987815995</v>
          </cell>
          <cell r="AG23">
            <v>39.276848987815995</v>
          </cell>
          <cell r="AH23">
            <v>39.276848987815995</v>
          </cell>
          <cell r="AI23">
            <v>39.276848987815995</v>
          </cell>
          <cell r="AJ23">
            <v>36.260832659420146</v>
          </cell>
          <cell r="AK23">
            <v>39.276848987815995</v>
          </cell>
          <cell r="AL23">
            <v>39.276848987815995</v>
          </cell>
          <cell r="AM23">
            <v>39.276848987815995</v>
          </cell>
          <cell r="AN23">
            <v>39.276848987815995</v>
          </cell>
          <cell r="AO23">
            <v>37.843988456766667</v>
          </cell>
          <cell r="AP23">
            <v>39.276848987815995</v>
          </cell>
          <cell r="AQ23">
            <v>39.276848987815995</v>
          </cell>
          <cell r="AR23">
            <v>39.276848987815995</v>
          </cell>
          <cell r="AS23">
            <v>39.276848987815995</v>
          </cell>
          <cell r="AT23">
            <v>39.625038728781497</v>
          </cell>
          <cell r="AU23">
            <v>39.276848987815995</v>
          </cell>
          <cell r="AV23">
            <v>39.276848987815995</v>
          </cell>
          <cell r="AW23">
            <v>39.276848987815995</v>
          </cell>
          <cell r="AX23">
            <v>39.276848987815995</v>
          </cell>
          <cell r="AY23">
            <v>41.643562370398307</v>
          </cell>
          <cell r="AZ23">
            <v>39.276848987815995</v>
          </cell>
          <cell r="BA23">
            <v>39.276848987815995</v>
          </cell>
          <cell r="BB23">
            <v>39.276848987815995</v>
          </cell>
          <cell r="BC23">
            <v>39.276848987815995</v>
          </cell>
          <cell r="BD23">
            <v>43.95044653224609</v>
          </cell>
          <cell r="BE23">
            <v>39.276848987815995</v>
          </cell>
          <cell r="BF23">
            <v>39.276848987815995</v>
          </cell>
          <cell r="BG23">
            <v>39.276848987815995</v>
          </cell>
          <cell r="BH23">
            <v>39.276848987815995</v>
          </cell>
          <cell r="BI23">
            <v>46.612235949762763</v>
          </cell>
          <cell r="BJ23">
            <v>39.276848987815995</v>
          </cell>
          <cell r="BK23">
            <v>39.276848987815995</v>
          </cell>
          <cell r="BL23">
            <v>39.276848987815995</v>
          </cell>
          <cell r="BM23">
            <v>39.276848987815995</v>
          </cell>
          <cell r="BN23">
            <v>49.717656936865545</v>
          </cell>
        </row>
        <row r="24">
          <cell r="H24" t="str">
            <v>TV as % of firm value</v>
          </cell>
          <cell r="J24">
            <v>0.51132760358914597</v>
          </cell>
          <cell r="U24">
            <v>7.4999999999999997E-2</v>
          </cell>
          <cell r="Z24">
            <v>31.239986122298539</v>
          </cell>
          <cell r="AA24">
            <v>36.891002966086809</v>
          </cell>
          <cell r="AB24">
            <v>36.891002966086809</v>
          </cell>
          <cell r="AC24">
            <v>36.891002966086809</v>
          </cell>
          <cell r="AD24">
            <v>36.891002966086809</v>
          </cell>
          <cell r="AE24">
            <v>33.074642326422207</v>
          </cell>
          <cell r="AF24">
            <v>36.891002966086809</v>
          </cell>
          <cell r="AG24">
            <v>36.891002966086809</v>
          </cell>
          <cell r="AH24">
            <v>36.891002966086809</v>
          </cell>
          <cell r="AI24">
            <v>36.891002966086809</v>
          </cell>
          <cell r="AJ24">
            <v>34.328866255952171</v>
          </cell>
          <cell r="AK24">
            <v>36.891002966086809</v>
          </cell>
          <cell r="AL24">
            <v>36.891002966086809</v>
          </cell>
          <cell r="AM24">
            <v>36.891002966086809</v>
          </cell>
          <cell r="AN24">
            <v>36.891002966086809</v>
          </cell>
          <cell r="AO24">
            <v>35.722448399874352</v>
          </cell>
          <cell r="AP24">
            <v>36.891002966086809</v>
          </cell>
          <cell r="AQ24">
            <v>36.891002966086809</v>
          </cell>
          <cell r="AR24">
            <v>36.891002966086809</v>
          </cell>
          <cell r="AS24">
            <v>36.891002966086809</v>
          </cell>
          <cell r="AT24">
            <v>37.279981384257958</v>
          </cell>
          <cell r="AU24">
            <v>36.891002966086809</v>
          </cell>
          <cell r="AV24">
            <v>36.891002966086809</v>
          </cell>
          <cell r="AW24">
            <v>36.891002966086809</v>
          </cell>
          <cell r="AX24">
            <v>36.891002966086809</v>
          </cell>
          <cell r="AY24">
            <v>39.03220599168953</v>
          </cell>
          <cell r="AZ24">
            <v>36.891002966086809</v>
          </cell>
          <cell r="BA24">
            <v>36.891002966086809</v>
          </cell>
          <cell r="BB24">
            <v>36.891002966086809</v>
          </cell>
          <cell r="BC24">
            <v>36.891002966086809</v>
          </cell>
          <cell r="BD24">
            <v>41.018060546778635</v>
          </cell>
          <cell r="BE24">
            <v>36.891002966086809</v>
          </cell>
          <cell r="BF24">
            <v>36.891002966086809</v>
          </cell>
          <cell r="BG24">
            <v>36.891002966086809</v>
          </cell>
          <cell r="BH24">
            <v>36.891002966086809</v>
          </cell>
          <cell r="BI24">
            <v>43.28760860973761</v>
          </cell>
          <cell r="BJ24">
            <v>36.891002966086809</v>
          </cell>
          <cell r="BK24">
            <v>36.891002966086809</v>
          </cell>
          <cell r="BL24">
            <v>36.891002966086809</v>
          </cell>
          <cell r="BM24">
            <v>36.891002966086809</v>
          </cell>
          <cell r="BN24">
            <v>45.90631791315181</v>
          </cell>
        </row>
        <row r="25">
          <cell r="H25" t="str">
            <v>Debt</v>
          </cell>
          <cell r="J25">
            <v>6888.9</v>
          </cell>
          <cell r="P25" t="str">
            <v>WACC</v>
          </cell>
          <cell r="U25">
            <v>0.08</v>
          </cell>
          <cell r="Z25">
            <v>29.866351817741549</v>
          </cell>
          <cell r="AA25">
            <v>34.796183856355967</v>
          </cell>
          <cell r="AB25">
            <v>34.796183856355967</v>
          </cell>
          <cell r="AC25">
            <v>34.796183856355967</v>
          </cell>
          <cell r="AD25">
            <v>34.796183856355967</v>
          </cell>
          <cell r="AE25">
            <v>31.473338194584553</v>
          </cell>
          <cell r="AF25">
            <v>34.796183856355967</v>
          </cell>
          <cell r="AG25">
            <v>34.796183856355967</v>
          </cell>
          <cell r="AH25">
            <v>34.796183856355967</v>
          </cell>
          <cell r="AI25">
            <v>34.796183856355967</v>
          </cell>
          <cell r="AJ25">
            <v>32.589830847099471</v>
          </cell>
          <cell r="AK25">
            <v>34.796183856355967</v>
          </cell>
          <cell r="AL25">
            <v>34.796183856355967</v>
          </cell>
          <cell r="AM25">
            <v>34.796183856355967</v>
          </cell>
          <cell r="AN25">
            <v>34.796183856355967</v>
          </cell>
          <cell r="AO25">
            <v>33.823849041984381</v>
          </cell>
          <cell r="AP25">
            <v>34.796183856355967</v>
          </cell>
          <cell r="AQ25">
            <v>34.796183856355967</v>
          </cell>
          <cell r="AR25">
            <v>34.796183856355967</v>
          </cell>
          <cell r="AS25">
            <v>34.796183856355967</v>
          </cell>
          <cell r="AT25">
            <v>35.194980369634287</v>
          </cell>
          <cell r="AU25">
            <v>34.796183856355967</v>
          </cell>
          <cell r="AV25">
            <v>34.796183856355967</v>
          </cell>
          <cell r="AW25">
            <v>34.796183856355967</v>
          </cell>
          <cell r="AX25">
            <v>34.796183856355967</v>
          </cell>
          <cell r="AY25">
            <v>36.727421265243002</v>
          </cell>
          <cell r="AZ25">
            <v>34.796183856355967</v>
          </cell>
          <cell r="BA25">
            <v>34.796183856355967</v>
          </cell>
          <cell r="BB25">
            <v>34.796183856355967</v>
          </cell>
          <cell r="BC25">
            <v>34.796183856355967</v>
          </cell>
          <cell r="BD25">
            <v>38.451417272802793</v>
          </cell>
          <cell r="BE25">
            <v>34.796183856355967</v>
          </cell>
          <cell r="BF25">
            <v>34.796183856355967</v>
          </cell>
          <cell r="BG25">
            <v>34.796183856355967</v>
          </cell>
          <cell r="BH25">
            <v>34.796183856355967</v>
          </cell>
          <cell r="BI25">
            <v>40.405279414703905</v>
          </cell>
          <cell r="BJ25">
            <v>34.796183856355967</v>
          </cell>
          <cell r="BK25">
            <v>34.796183856355967</v>
          </cell>
          <cell r="BL25">
            <v>34.796183856355967</v>
          </cell>
          <cell r="BM25">
            <v>34.796183856355967</v>
          </cell>
          <cell r="BN25">
            <v>42.638264719733733</v>
          </cell>
        </row>
        <row r="26">
          <cell r="H26" t="str">
            <v>Cash</v>
          </cell>
          <cell r="J26">
            <v>5196.600000000004</v>
          </cell>
          <cell r="U26">
            <v>8.5000000000000006E-2</v>
          </cell>
          <cell r="Z26">
            <v>28.613401423203477</v>
          </cell>
          <cell r="AA26">
            <v>32.94122834973065</v>
          </cell>
          <cell r="AB26">
            <v>32.94122834973065</v>
          </cell>
          <cell r="AC26">
            <v>32.94122834973065</v>
          </cell>
          <cell r="AD26">
            <v>32.94122834973065</v>
          </cell>
          <cell r="AE26">
            <v>30.017476558305074</v>
          </cell>
          <cell r="AF26">
            <v>32.94122834973065</v>
          </cell>
          <cell r="AG26">
            <v>32.94122834973065</v>
          </cell>
          <cell r="AH26">
            <v>32.94122834973065</v>
          </cell>
          <cell r="AI26">
            <v>32.94122834973065</v>
          </cell>
          <cell r="AJ26">
            <v>31.01619310379369</v>
          </cell>
          <cell r="AK26">
            <v>32.94122834973065</v>
          </cell>
          <cell r="AL26">
            <v>32.94122834973065</v>
          </cell>
          <cell r="AM26">
            <v>32.94122834973065</v>
          </cell>
          <cell r="AN26">
            <v>32.94122834973065</v>
          </cell>
          <cell r="AO26">
            <v>32.114781303831165</v>
          </cell>
          <cell r="AP26">
            <v>32.94122834973065</v>
          </cell>
          <cell r="AQ26">
            <v>32.94122834973065</v>
          </cell>
          <cell r="AR26">
            <v>32.94122834973065</v>
          </cell>
          <cell r="AS26">
            <v>32.94122834973065</v>
          </cell>
          <cell r="AT26">
            <v>33.329010367030484</v>
          </cell>
          <cell r="AU26">
            <v>32.94122834973065</v>
          </cell>
          <cell r="AV26">
            <v>32.94122834973065</v>
          </cell>
          <cell r="AW26">
            <v>32.94122834973065</v>
          </cell>
          <cell r="AX26">
            <v>32.94122834973065</v>
          </cell>
          <cell r="AY26">
            <v>34.678153770585283</v>
          </cell>
          <cell r="AZ26">
            <v>32.94122834973065</v>
          </cell>
          <cell r="BA26">
            <v>32.94122834973065</v>
          </cell>
          <cell r="BB26">
            <v>32.94122834973065</v>
          </cell>
          <cell r="BC26">
            <v>32.94122834973065</v>
          </cell>
          <cell r="BD26">
            <v>36.186019927499451</v>
          </cell>
          <cell r="BE26">
            <v>32.94122834973065</v>
          </cell>
          <cell r="BF26">
            <v>32.94122834973065</v>
          </cell>
          <cell r="BG26">
            <v>32.94122834973065</v>
          </cell>
          <cell r="BH26">
            <v>32.94122834973065</v>
          </cell>
          <cell r="BI26">
            <v>37.882369354027908</v>
          </cell>
          <cell r="BJ26">
            <v>32.94122834973065</v>
          </cell>
          <cell r="BK26">
            <v>32.94122834973065</v>
          </cell>
          <cell r="BL26">
            <v>32.94122834973065</v>
          </cell>
          <cell r="BM26">
            <v>32.94122834973065</v>
          </cell>
          <cell r="BN26">
            <v>39.804898704093496</v>
          </cell>
        </row>
        <row r="27">
          <cell r="H27" t="str">
            <v>Equity Value</v>
          </cell>
          <cell r="J27">
            <v>37054.620282254044</v>
          </cell>
          <cell r="U27">
            <v>9.0000000000000011E-2</v>
          </cell>
          <cell r="Z27">
            <v>27.465509792927993</v>
          </cell>
          <cell r="AA27">
            <v>31.286336554152637</v>
          </cell>
          <cell r="AB27">
            <v>31.286336554152637</v>
          </cell>
          <cell r="AC27">
            <v>31.286336554152637</v>
          </cell>
          <cell r="AD27">
            <v>31.286336554152637</v>
          </cell>
          <cell r="AE27">
            <v>28.688108880741098</v>
          </cell>
          <cell r="AF27">
            <v>31.286336554152637</v>
          </cell>
          <cell r="AG27">
            <v>31.286336554152637</v>
          </cell>
          <cell r="AH27">
            <v>31.286336554152637</v>
          </cell>
          <cell r="AI27">
            <v>31.286336554152637</v>
          </cell>
          <cell r="AJ27">
            <v>29.585424121742228</v>
          </cell>
          <cell r="AK27">
            <v>31.286336554152637</v>
          </cell>
          <cell r="AL27">
            <v>31.286336554152637</v>
          </cell>
          <cell r="AM27">
            <v>31.286336554152637</v>
          </cell>
          <cell r="AN27">
            <v>31.286336554152637</v>
          </cell>
          <cell r="AO27">
            <v>30.568197957124433</v>
          </cell>
          <cell r="AP27">
            <v>31.286336554152637</v>
          </cell>
          <cell r="AQ27">
            <v>31.286336554152637</v>
          </cell>
          <cell r="AR27">
            <v>31.286336554152637</v>
          </cell>
          <cell r="AS27">
            <v>31.286336554152637</v>
          </cell>
          <cell r="AT27">
            <v>31.649249176044847</v>
          </cell>
          <cell r="AU27">
            <v>31.286336554152637</v>
          </cell>
          <cell r="AV27">
            <v>31.286336554152637</v>
          </cell>
          <cell r="AW27">
            <v>31.286336554152637</v>
          </cell>
          <cell r="AX27">
            <v>31.286336554152637</v>
          </cell>
          <cell r="AY27">
            <v>32.844095260114784</v>
          </cell>
          <cell r="AZ27">
            <v>31.286336554152637</v>
          </cell>
          <cell r="BA27">
            <v>31.286336554152637</v>
          </cell>
          <cell r="BB27">
            <v>31.286336554152637</v>
          </cell>
          <cell r="BC27">
            <v>31.286336554152637</v>
          </cell>
          <cell r="BD27">
            <v>34.171702020192491</v>
          </cell>
          <cell r="BE27">
            <v>31.286336554152637</v>
          </cell>
          <cell r="BF27">
            <v>31.286336554152637</v>
          </cell>
          <cell r="BG27">
            <v>31.286336554152637</v>
          </cell>
          <cell r="BH27">
            <v>31.286336554152637</v>
          </cell>
          <cell r="BI27">
            <v>35.655497810867566</v>
          </cell>
          <cell r="BJ27">
            <v>31.286336554152637</v>
          </cell>
          <cell r="BK27">
            <v>31.286336554152637</v>
          </cell>
          <cell r="BL27">
            <v>31.286336554152637</v>
          </cell>
          <cell r="BM27">
            <v>31.286336554152637</v>
          </cell>
          <cell r="BN27">
            <v>37.32476807537703</v>
          </cell>
        </row>
        <row r="28">
          <cell r="U28">
            <v>9.5000000000000015E-2</v>
          </cell>
          <cell r="Z28">
            <v>26.409652184338402</v>
          </cell>
          <cell r="AA28">
            <v>29.800081848715003</v>
          </cell>
          <cell r="AB28">
            <v>29.800081848715003</v>
          </cell>
          <cell r="AC28">
            <v>29.800081848715003</v>
          </cell>
          <cell r="AD28">
            <v>29.800081848715003</v>
          </cell>
          <cell r="AE28">
            <v>27.469443358241673</v>
          </cell>
          <cell r="AF28">
            <v>29.800081848715003</v>
          </cell>
          <cell r="AG28">
            <v>29.800081848715003</v>
          </cell>
          <cell r="AH28">
            <v>29.800081848715003</v>
          </cell>
          <cell r="AI28">
            <v>29.800081848715003</v>
          </cell>
          <cell r="AJ28">
            <v>28.278911589922938</v>
          </cell>
          <cell r="AK28">
            <v>29.800081848715003</v>
          </cell>
          <cell r="AL28">
            <v>29.800081848715003</v>
          </cell>
          <cell r="AM28">
            <v>29.800081848715003</v>
          </cell>
          <cell r="AN28">
            <v>29.800081848715003</v>
          </cell>
          <cell r="AO28">
            <v>29.16196784266614</v>
          </cell>
          <cell r="AP28">
            <v>29.800081848715003</v>
          </cell>
          <cell r="AQ28">
            <v>29.800081848715003</v>
          </cell>
          <cell r="AR28">
            <v>29.800081848715003</v>
          </cell>
          <cell r="AS28">
            <v>29.800081848715003</v>
          </cell>
          <cell r="AT28">
            <v>30.129124690908693</v>
          </cell>
          <cell r="AU28">
            <v>29.800081848715003</v>
          </cell>
          <cell r="AV28">
            <v>29.800081848715003</v>
          </cell>
          <cell r="AW28">
            <v>29.800081848715003</v>
          </cell>
          <cell r="AX28">
            <v>29.800081848715003</v>
          </cell>
          <cell r="AY28">
            <v>31.192997223975496</v>
          </cell>
          <cell r="AZ28">
            <v>29.800081848715003</v>
          </cell>
          <cell r="BA28">
            <v>29.800081848715003</v>
          </cell>
          <cell r="BB28">
            <v>29.800081848715003</v>
          </cell>
          <cell r="BC28">
            <v>29.800081848715003</v>
          </cell>
          <cell r="BD28">
            <v>32.368856339470391</v>
          </cell>
          <cell r="BE28">
            <v>29.800081848715003</v>
          </cell>
          <cell r="BF28">
            <v>29.800081848715003</v>
          </cell>
          <cell r="BG28">
            <v>29.800081848715003</v>
          </cell>
          <cell r="BH28">
            <v>29.800081848715003</v>
          </cell>
          <cell r="BI28">
            <v>33.67536646779805</v>
          </cell>
          <cell r="BJ28">
            <v>29.800081848715003</v>
          </cell>
          <cell r="BK28">
            <v>29.800081848715003</v>
          </cell>
          <cell r="BL28">
            <v>29.800081848715003</v>
          </cell>
          <cell r="BM28">
            <v>29.800081848715003</v>
          </cell>
          <cell r="BN28">
            <v>35.135583670046607</v>
          </cell>
        </row>
        <row r="29">
          <cell r="H29" t="str">
            <v>Shares</v>
          </cell>
          <cell r="J29">
            <v>1103.5312287364941</v>
          </cell>
          <cell r="U29">
            <v>0.10000000000000002</v>
          </cell>
          <cell r="Z29">
            <v>25.434884318238222</v>
          </cell>
          <cell r="AA29">
            <v>28.457317772349153</v>
          </cell>
          <cell r="AB29">
            <v>28.457317772349153</v>
          </cell>
          <cell r="AC29">
            <v>28.457317772349153</v>
          </cell>
          <cell r="AD29">
            <v>28.457317772349153</v>
          </cell>
          <cell r="AE29">
            <v>26.348213647131018</v>
          </cell>
          <cell r="AF29">
            <v>28.457317772349153</v>
          </cell>
          <cell r="AG29">
            <v>28.457317772349153</v>
          </cell>
          <cell r="AH29">
            <v>28.457317772349153</v>
          </cell>
          <cell r="AI29">
            <v>28.457317772349153</v>
          </cell>
          <cell r="AJ29">
            <v>27.081143912296877</v>
          </cell>
          <cell r="AK29">
            <v>28.457317772349153</v>
          </cell>
          <cell r="AL29">
            <v>28.457317772349153</v>
          </cell>
          <cell r="AM29">
            <v>28.457317772349153</v>
          </cell>
          <cell r="AN29">
            <v>28.457317772349153</v>
          </cell>
          <cell r="AO29">
            <v>27.877807243998895</v>
          </cell>
          <cell r="AP29">
            <v>28.457317772349153</v>
          </cell>
          <cell r="AQ29">
            <v>28.457317772349153</v>
          </cell>
          <cell r="AR29">
            <v>28.457317772349153</v>
          </cell>
          <cell r="AS29">
            <v>28.457317772349153</v>
          </cell>
          <cell r="AT29">
            <v>28.746894514946554</v>
          </cell>
          <cell r="AU29">
            <v>28.457317772349153</v>
          </cell>
          <cell r="AV29">
            <v>28.457317772349153</v>
          </cell>
          <cell r="AW29">
            <v>28.457317772349153</v>
          </cell>
          <cell r="AX29">
            <v>28.457317772349153</v>
          </cell>
          <cell r="AY29">
            <v>29.698752002174945</v>
          </cell>
          <cell r="AZ29">
            <v>28.457317772349153</v>
          </cell>
          <cell r="BA29">
            <v>28.457317772349153</v>
          </cell>
          <cell r="BB29">
            <v>28.457317772349153</v>
          </cell>
          <cell r="BC29">
            <v>28.457317772349153</v>
          </cell>
          <cell r="BD29">
            <v>30.745795238126167</v>
          </cell>
          <cell r="BE29">
            <v>28.457317772349153</v>
          </cell>
          <cell r="BF29">
            <v>28.457317772349153</v>
          </cell>
          <cell r="BG29">
            <v>28.457317772349153</v>
          </cell>
          <cell r="BH29">
            <v>28.457317772349153</v>
          </cell>
          <cell r="BI29">
            <v>31.903053551545938</v>
          </cell>
          <cell r="BJ29">
            <v>28.457317772349153</v>
          </cell>
          <cell r="BK29">
            <v>28.457317772349153</v>
          </cell>
          <cell r="BL29">
            <v>28.457317772349153</v>
          </cell>
          <cell r="BM29">
            <v>28.457317772349153</v>
          </cell>
          <cell r="BN29">
            <v>33.188896122012352</v>
          </cell>
        </row>
        <row r="30">
          <cell r="H30" t="str">
            <v>CF value/share</v>
          </cell>
          <cell r="J30">
            <v>17.158146407463995</v>
          </cell>
        </row>
        <row r="31">
          <cell r="H31" t="str">
            <v>TV/share</v>
          </cell>
          <cell r="J31">
            <v>17.953610535398372</v>
          </cell>
        </row>
        <row r="32">
          <cell r="H32" t="str">
            <v>Net cash/share</v>
          </cell>
          <cell r="J32">
            <v>-1.5335315901640789</v>
          </cell>
        </row>
        <row r="33">
          <cell r="H33" t="str">
            <v>Price/share</v>
          </cell>
          <cell r="J33">
            <v>33.57822535269829</v>
          </cell>
        </row>
        <row r="34">
          <cell r="H34" t="str">
            <v>Current price</v>
          </cell>
          <cell r="J34">
            <v>35.15</v>
          </cell>
        </row>
        <row r="35">
          <cell r="H35" t="str">
            <v>Upside (downside)</v>
          </cell>
          <cell r="J35">
            <v>-4.4716206182125462E-2</v>
          </cell>
        </row>
        <row r="37">
          <cell r="H37" t="str">
            <v>**We assume one-time charge expense in out years for cash restructuring and litigation outflows.</v>
          </cell>
        </row>
        <row r="38">
          <cell r="AO38" t="str">
            <v>TV per share</v>
          </cell>
        </row>
        <row r="39">
          <cell r="P39" t="str">
            <v>WACC</v>
          </cell>
          <cell r="AT39" t="str">
            <v>Perpetuity</v>
          </cell>
        </row>
        <row r="40">
          <cell r="Z40">
            <v>-2.5000000000000001E-2</v>
          </cell>
          <cell r="AE40">
            <v>-0.02</v>
          </cell>
          <cell r="AJ40">
            <v>-1.4999999999999999E-2</v>
          </cell>
          <cell r="AO40">
            <v>-0.01</v>
          </cell>
          <cell r="AT40">
            <v>-5.0000000000000001E-3</v>
          </cell>
          <cell r="AY40">
            <v>0</v>
          </cell>
          <cell r="BD40">
            <v>5.0000000000000001E-3</v>
          </cell>
          <cell r="BI40">
            <v>0.01</v>
          </cell>
          <cell r="BN40">
            <v>1.4999999999999999E-2</v>
          </cell>
        </row>
        <row r="41">
          <cell r="U41">
            <v>7.9999999999999988E-2</v>
          </cell>
          <cell r="Z41">
            <v>14.24173700044164</v>
          </cell>
          <cell r="AA41">
            <v>19.171569039056052</v>
          </cell>
          <cell r="AB41">
            <v>19.171569039056052</v>
          </cell>
          <cell r="AC41">
            <v>19.171569039056052</v>
          </cell>
          <cell r="AD41">
            <v>19.171569039056052</v>
          </cell>
          <cell r="AE41">
            <v>15.030510126619943</v>
          </cell>
          <cell r="AF41">
            <v>19.171569039056052</v>
          </cell>
          <cell r="AG41">
            <v>19.171569039056052</v>
          </cell>
          <cell r="AH41">
            <v>19.171569039056052</v>
          </cell>
          <cell r="AI41">
            <v>19.171569039056052</v>
          </cell>
          <cell r="AJ41">
            <v>15.902312002922281</v>
          </cell>
          <cell r="AK41">
            <v>19.171569039056052</v>
          </cell>
          <cell r="AL41">
            <v>19.171569039056052</v>
          </cell>
          <cell r="AM41">
            <v>19.171569039056052</v>
          </cell>
          <cell r="AN41">
            <v>19.171569039056052</v>
          </cell>
          <cell r="AO41">
            <v>16.870980754369331</v>
          </cell>
          <cell r="AP41">
            <v>19.171569039056052</v>
          </cell>
          <cell r="AQ41">
            <v>19.171569039056052</v>
          </cell>
          <cell r="AR41">
            <v>19.171569039056052</v>
          </cell>
          <cell r="AS41">
            <v>19.171569039056052</v>
          </cell>
          <cell r="AT41">
            <v>17.953610535398372</v>
          </cell>
          <cell r="AU41">
            <v>19.171569039056052</v>
          </cell>
          <cell r="AV41">
            <v>19.171569039056052</v>
          </cell>
          <cell r="AW41">
            <v>19.171569039056052</v>
          </cell>
          <cell r="AX41">
            <v>19.171569039056052</v>
          </cell>
          <cell r="AY41">
            <v>19.171569039056052</v>
          </cell>
          <cell r="AZ41">
            <v>19.171569039056052</v>
          </cell>
          <cell r="BA41">
            <v>19.171569039056052</v>
          </cell>
          <cell r="BB41">
            <v>19.171569039056052</v>
          </cell>
          <cell r="BC41">
            <v>19.171569039056052</v>
          </cell>
          <cell r="BD41">
            <v>20.551922009868093</v>
          </cell>
          <cell r="BE41">
            <v>19.171569039056052</v>
          </cell>
          <cell r="BF41">
            <v>19.171569039056052</v>
          </cell>
          <cell r="BG41">
            <v>19.171569039056052</v>
          </cell>
          <cell r="BH41">
            <v>19.171569039056052</v>
          </cell>
          <cell r="BI41">
            <v>22.129468262224698</v>
          </cell>
          <cell r="BJ41">
            <v>19.171569039056052</v>
          </cell>
          <cell r="BK41">
            <v>19.171569039056052</v>
          </cell>
          <cell r="BL41">
            <v>19.171569039056052</v>
          </cell>
          <cell r="BM41">
            <v>19.171569039056052</v>
          </cell>
          <cell r="BN41">
            <v>23.949713938020793</v>
          </cell>
        </row>
        <row r="42">
          <cell r="U42">
            <v>8.4999999999999992E-2</v>
          </cell>
          <cell r="Z42">
            <v>13.222807614228175</v>
          </cell>
          <cell r="AA42">
            <v>17.550634540755347</v>
          </cell>
          <cell r="AB42">
            <v>17.550634540755347</v>
          </cell>
          <cell r="AC42">
            <v>17.550634540755347</v>
          </cell>
          <cell r="AD42">
            <v>17.550634540755347</v>
          </cell>
          <cell r="AE42">
            <v>13.923503402332575</v>
          </cell>
          <cell r="AF42">
            <v>17.550634540755347</v>
          </cell>
          <cell r="AG42">
            <v>17.550634540755347</v>
          </cell>
          <cell r="AH42">
            <v>17.550634540755347</v>
          </cell>
          <cell r="AI42">
            <v>17.550634540755347</v>
          </cell>
          <cell r="AJ42">
            <v>14.694268769247413</v>
          </cell>
          <cell r="AK42">
            <v>17.550634540755347</v>
          </cell>
          <cell r="AL42">
            <v>17.550634540755347</v>
          </cell>
          <cell r="AM42">
            <v>17.550634540755347</v>
          </cell>
          <cell r="AN42">
            <v>17.550634540755347</v>
          </cell>
          <cell r="AO42">
            <v>15.546167332679607</v>
          </cell>
          <cell r="AP42">
            <v>17.550634540755347</v>
          </cell>
          <cell r="AQ42">
            <v>17.550634540755347</v>
          </cell>
          <cell r="AR42">
            <v>17.550634540755347</v>
          </cell>
          <cell r="AS42">
            <v>17.550634540755347</v>
          </cell>
          <cell r="AT42">
            <v>16.492721292048703</v>
          </cell>
          <cell r="AU42">
            <v>17.550634540755347</v>
          </cell>
          <cell r="AV42">
            <v>17.550634540755347</v>
          </cell>
          <cell r="AW42">
            <v>17.550634540755347</v>
          </cell>
          <cell r="AX42">
            <v>17.550634540755347</v>
          </cell>
          <cell r="AY42">
            <v>17.550634540755347</v>
          </cell>
          <cell r="AZ42">
            <v>17.550634540755347</v>
          </cell>
          <cell r="BA42">
            <v>17.550634540755347</v>
          </cell>
          <cell r="BB42">
            <v>17.550634540755347</v>
          </cell>
          <cell r="BC42">
            <v>17.550634540755347</v>
          </cell>
          <cell r="BD42">
            <v>18.740786945550322</v>
          </cell>
          <cell r="BE42">
            <v>17.550634540755347</v>
          </cell>
          <cell r="BF42">
            <v>17.550634540755347</v>
          </cell>
          <cell r="BG42">
            <v>17.550634540755347</v>
          </cell>
          <cell r="BH42">
            <v>17.550634540755347</v>
          </cell>
          <cell r="BI42">
            <v>20.089626337651286</v>
          </cell>
          <cell r="BJ42">
            <v>17.550634540755347</v>
          </cell>
          <cell r="BK42">
            <v>17.550634540755347</v>
          </cell>
          <cell r="BL42">
            <v>17.550634540755347</v>
          </cell>
          <cell r="BM42">
            <v>17.550634540755347</v>
          </cell>
          <cell r="BN42">
            <v>21.631157071480963</v>
          </cell>
        </row>
        <row r="43">
          <cell r="U43">
            <v>0.09</v>
          </cell>
          <cell r="Z43">
            <v>12.303763240273879</v>
          </cell>
          <cell r="AA43">
            <v>16.124590001498529</v>
          </cell>
          <cell r="AB43">
            <v>16.124590001498529</v>
          </cell>
          <cell r="AC43">
            <v>16.124590001498529</v>
          </cell>
          <cell r="AD43">
            <v>16.124590001498529</v>
          </cell>
          <cell r="AE43">
            <v>12.928989437565182</v>
          </cell>
          <cell r="AF43">
            <v>16.124590001498529</v>
          </cell>
          <cell r="AG43">
            <v>16.124590001498529</v>
          </cell>
          <cell r="AH43">
            <v>16.124590001498529</v>
          </cell>
          <cell r="AI43">
            <v>16.124590001498529</v>
          </cell>
          <cell r="AJ43">
            <v>13.613760986979472</v>
          </cell>
          <cell r="AK43">
            <v>16.124590001498529</v>
          </cell>
          <cell r="AL43">
            <v>16.124590001498529</v>
          </cell>
          <cell r="AM43">
            <v>16.124590001498529</v>
          </cell>
          <cell r="AN43">
            <v>16.124590001498529</v>
          </cell>
          <cell r="AO43">
            <v>14.367009691335191</v>
          </cell>
          <cell r="AP43">
            <v>16.124590001498529</v>
          </cell>
          <cell r="AQ43">
            <v>16.124590001498529</v>
          </cell>
          <cell r="AR43">
            <v>16.124590001498529</v>
          </cell>
          <cell r="AS43">
            <v>16.124590001498529</v>
          </cell>
          <cell r="AT43">
            <v>15.199547732991508</v>
          </cell>
          <cell r="AU43">
            <v>16.124590001498529</v>
          </cell>
          <cell r="AV43">
            <v>16.124590001498529</v>
          </cell>
          <cell r="AW43">
            <v>16.124590001498529</v>
          </cell>
          <cell r="AX43">
            <v>16.124590001498529</v>
          </cell>
          <cell r="AY43">
            <v>16.124590001498529</v>
          </cell>
          <cell r="AZ43">
            <v>16.124590001498529</v>
          </cell>
          <cell r="BA43">
            <v>16.124590001498529</v>
          </cell>
          <cell r="BB43">
            <v>16.124590001498529</v>
          </cell>
          <cell r="BC43">
            <v>16.124590001498529</v>
          </cell>
          <cell r="BD43">
            <v>17.158460772182849</v>
          </cell>
          <cell r="BE43">
            <v>16.124590001498529</v>
          </cell>
          <cell r="BF43">
            <v>16.124590001498529</v>
          </cell>
          <cell r="BG43">
            <v>16.124590001498529</v>
          </cell>
          <cell r="BH43">
            <v>16.124590001498529</v>
          </cell>
          <cell r="BI43">
            <v>18.321565389202703</v>
          </cell>
          <cell r="BJ43">
            <v>16.124590001498529</v>
          </cell>
          <cell r="BK43">
            <v>16.124590001498529</v>
          </cell>
          <cell r="BL43">
            <v>16.124590001498529</v>
          </cell>
          <cell r="BM43">
            <v>16.124590001498529</v>
          </cell>
          <cell r="BN43">
            <v>19.639750621825208</v>
          </cell>
        </row>
        <row r="44">
          <cell r="U44">
            <v>9.5000000000000001E-2</v>
          </cell>
          <cell r="Z44">
            <v>11.471727768507133</v>
          </cell>
          <cell r="AA44">
            <v>14.862157432883734</v>
          </cell>
          <cell r="AB44">
            <v>14.862157432883734</v>
          </cell>
          <cell r="AC44">
            <v>14.862157432883734</v>
          </cell>
          <cell r="AD44">
            <v>14.862157432883734</v>
          </cell>
          <cell r="AE44">
            <v>12.03188571305631</v>
          </cell>
          <cell r="AF44">
            <v>14.862157432883734</v>
          </cell>
          <cell r="AG44">
            <v>14.862157432883734</v>
          </cell>
          <cell r="AH44">
            <v>14.862157432883734</v>
          </cell>
          <cell r="AI44">
            <v>14.862157432883734</v>
          </cell>
          <cell r="AJ44">
            <v>12.642967107109957</v>
          </cell>
          <cell r="AK44">
            <v>14.862157432883734</v>
          </cell>
          <cell r="AL44">
            <v>14.862157432883734</v>
          </cell>
          <cell r="AM44">
            <v>14.862157432883734</v>
          </cell>
          <cell r="AN44">
            <v>14.862157432883734</v>
          </cell>
          <cell r="AO44">
            <v>13.312246729168718</v>
          </cell>
          <cell r="AP44">
            <v>14.862157432883734</v>
          </cell>
          <cell r="AQ44">
            <v>14.862157432883734</v>
          </cell>
          <cell r="AR44">
            <v>14.862157432883734</v>
          </cell>
          <cell r="AS44">
            <v>14.862157432883734</v>
          </cell>
          <cell r="AT44">
            <v>14.04845431343335</v>
          </cell>
          <cell r="AU44">
            <v>14.862157432883734</v>
          </cell>
          <cell r="AV44">
            <v>14.862157432883734</v>
          </cell>
          <cell r="AW44">
            <v>14.862157432883734</v>
          </cell>
          <cell r="AX44">
            <v>14.862157432883734</v>
          </cell>
          <cell r="AY44">
            <v>14.862157432883734</v>
          </cell>
          <cell r="AZ44">
            <v>14.862157432883734</v>
          </cell>
          <cell r="BA44">
            <v>14.862157432883734</v>
          </cell>
          <cell r="BB44">
            <v>14.862157432883734</v>
          </cell>
          <cell r="BC44">
            <v>14.862157432883734</v>
          </cell>
          <cell r="BD44">
            <v>15.766272010050828</v>
          </cell>
          <cell r="BE44">
            <v>14.862157432883734</v>
          </cell>
          <cell r="BF44">
            <v>14.862157432883734</v>
          </cell>
          <cell r="BG44">
            <v>14.862157432883734</v>
          </cell>
          <cell r="BH44">
            <v>14.862157432883734</v>
          </cell>
          <cell r="BI44">
            <v>16.776753008061107</v>
          </cell>
          <cell r="BJ44">
            <v>14.862157432883734</v>
          </cell>
          <cell r="BK44">
            <v>14.862157432883734</v>
          </cell>
          <cell r="BL44">
            <v>14.862157432883734</v>
          </cell>
          <cell r="BM44">
            <v>14.862157432883734</v>
          </cell>
          <cell r="BN44">
            <v>17.913544130822675</v>
          </cell>
        </row>
        <row r="45">
          <cell r="U45">
            <v>0.1</v>
          </cell>
          <cell r="Z45">
            <v>10.715900428211482</v>
          </cell>
          <cell r="AA45">
            <v>13.738333882322411</v>
          </cell>
          <cell r="AB45">
            <v>13.738333882322411</v>
          </cell>
          <cell r="AC45">
            <v>13.738333882322411</v>
          </cell>
          <cell r="AD45">
            <v>13.738333882322411</v>
          </cell>
          <cell r="AE45">
            <v>11.219639337229969</v>
          </cell>
          <cell r="AF45">
            <v>13.738333882322411</v>
          </cell>
          <cell r="AG45">
            <v>13.738333882322411</v>
          </cell>
          <cell r="AH45">
            <v>13.738333882322411</v>
          </cell>
          <cell r="AI45">
            <v>13.738333882322411</v>
          </cell>
          <cell r="AJ45">
            <v>11.767181629641369</v>
          </cell>
          <cell r="AK45">
            <v>13.738333882322411</v>
          </cell>
          <cell r="AL45">
            <v>13.738333882322411</v>
          </cell>
          <cell r="AM45">
            <v>13.738333882322411</v>
          </cell>
          <cell r="AN45">
            <v>13.738333882322411</v>
          </cell>
          <cell r="AO45">
            <v>12.364500494090171</v>
          </cell>
          <cell r="AP45">
            <v>13.738333882322411</v>
          </cell>
          <cell r="AQ45">
            <v>13.738333882322411</v>
          </cell>
          <cell r="AR45">
            <v>13.738333882322411</v>
          </cell>
          <cell r="AS45">
            <v>13.738333882322411</v>
          </cell>
          <cell r="AT45">
            <v>13.018706869438857</v>
          </cell>
          <cell r="AU45">
            <v>13.738333882322411</v>
          </cell>
          <cell r="AV45">
            <v>13.738333882322411</v>
          </cell>
          <cell r="AW45">
            <v>13.738333882322411</v>
          </cell>
          <cell r="AX45">
            <v>13.738333882322411</v>
          </cell>
          <cell r="AY45">
            <v>13.738333882322411</v>
          </cell>
          <cell r="AZ45">
            <v>13.738333882322411</v>
          </cell>
          <cell r="BA45">
            <v>13.738333882322411</v>
          </cell>
          <cell r="BB45">
            <v>13.738333882322411</v>
          </cell>
          <cell r="BC45">
            <v>13.738333882322411</v>
          </cell>
          <cell r="BD45">
            <v>14.533711107088447</v>
          </cell>
          <cell r="BE45">
            <v>13.738333882322411</v>
          </cell>
          <cell r="BF45">
            <v>13.738333882322411</v>
          </cell>
          <cell r="BG45">
            <v>13.738333882322411</v>
          </cell>
          <cell r="BH45">
            <v>13.738333882322411</v>
          </cell>
          <cell r="BI45">
            <v>15.417463579050706</v>
          </cell>
          <cell r="BJ45">
            <v>13.738333882322411</v>
          </cell>
          <cell r="BK45">
            <v>13.738333882322411</v>
          </cell>
          <cell r="BL45">
            <v>13.738333882322411</v>
          </cell>
          <cell r="BM45">
            <v>13.738333882322411</v>
          </cell>
          <cell r="BN45">
            <v>16.405186930067348</v>
          </cell>
        </row>
        <row r="46">
          <cell r="U46">
            <v>0.10500000000000001</v>
          </cell>
          <cell r="Z46">
            <v>10.027156032078421</v>
          </cell>
          <cell r="AA46">
            <v>12.732896548671011</v>
          </cell>
          <cell r="AB46">
            <v>12.732896548671011</v>
          </cell>
          <cell r="AC46">
            <v>12.732896548671011</v>
          </cell>
          <cell r="AD46">
            <v>12.732896548671011</v>
          </cell>
          <cell r="AE46">
            <v>10.481720438865976</v>
          </cell>
          <cell r="AF46">
            <v>12.732896548671011</v>
          </cell>
          <cell r="AG46">
            <v>12.732896548671011</v>
          </cell>
          <cell r="AH46">
            <v>12.732896548671011</v>
          </cell>
          <cell r="AI46">
            <v>12.732896548671011</v>
          </cell>
          <cell r="AJ46">
            <v>10.974165212885827</v>
          </cell>
          <cell r="AK46">
            <v>12.732896548671011</v>
          </cell>
          <cell r="AL46">
            <v>12.732896548671011</v>
          </cell>
          <cell r="AM46">
            <v>12.732896548671011</v>
          </cell>
          <cell r="AN46">
            <v>12.732896548671011</v>
          </cell>
          <cell r="AO46">
            <v>11.509431271603059</v>
          </cell>
          <cell r="AP46">
            <v>12.732896548671011</v>
          </cell>
          <cell r="AQ46">
            <v>12.732896548671011</v>
          </cell>
          <cell r="AR46">
            <v>12.732896548671011</v>
          </cell>
          <cell r="AS46">
            <v>12.732896548671011</v>
          </cell>
          <cell r="AT46">
            <v>12.093357881112762</v>
          </cell>
          <cell r="AU46">
            <v>12.732896548671011</v>
          </cell>
          <cell r="AV46">
            <v>12.732896548671011</v>
          </cell>
          <cell r="AW46">
            <v>12.732896548671011</v>
          </cell>
          <cell r="AX46">
            <v>12.732896548671011</v>
          </cell>
          <cell r="AY46">
            <v>12.732896548671011</v>
          </cell>
          <cell r="AZ46">
            <v>12.732896548671011</v>
          </cell>
          <cell r="BA46">
            <v>12.732896548671011</v>
          </cell>
          <cell r="BB46">
            <v>12.732896548671011</v>
          </cell>
          <cell r="BC46">
            <v>12.732896548671011</v>
          </cell>
          <cell r="BD46">
            <v>13.436389082985084</v>
          </cell>
          <cell r="BE46">
            <v>12.732896548671011</v>
          </cell>
          <cell r="BF46">
            <v>12.732896548671011</v>
          </cell>
          <cell r="BG46">
            <v>12.732896548671011</v>
          </cell>
          <cell r="BH46">
            <v>12.732896548671011</v>
          </cell>
          <cell r="BI46">
            <v>14.213933463016426</v>
          </cell>
          <cell r="BJ46">
            <v>12.732896548671011</v>
          </cell>
          <cell r="BK46">
            <v>12.732896548671011</v>
          </cell>
          <cell r="BL46">
            <v>12.732896548671011</v>
          </cell>
          <cell r="BM46">
            <v>12.732896548671011</v>
          </cell>
          <cell r="BN46">
            <v>15.077871663051255</v>
          </cell>
        </row>
        <row r="47">
          <cell r="U47">
            <v>0.11000000000000001</v>
          </cell>
          <cell r="Z47">
            <v>9.3977340856858476</v>
          </cell>
          <cell r="AA47">
            <v>11.829315632331836</v>
          </cell>
          <cell r="AB47">
            <v>11.829315632331836</v>
          </cell>
          <cell r="AC47">
            <v>11.829315632331836</v>
          </cell>
          <cell r="AD47">
            <v>11.829315632331836</v>
          </cell>
          <cell r="AE47">
            <v>9.809232501272092</v>
          </cell>
          <cell r="AF47">
            <v>11.829315632331836</v>
          </cell>
          <cell r="AG47">
            <v>11.829315632331836</v>
          </cell>
          <cell r="AH47">
            <v>11.829315632331836</v>
          </cell>
          <cell r="AI47">
            <v>11.829315632331836</v>
          </cell>
          <cell r="AJ47">
            <v>10.253650790105237</v>
          </cell>
          <cell r="AK47">
            <v>11.829315632331836</v>
          </cell>
          <cell r="AL47">
            <v>11.829315632331836</v>
          </cell>
          <cell r="AM47">
            <v>11.829315632331836</v>
          </cell>
          <cell r="AN47">
            <v>11.829315632331836</v>
          </cell>
          <cell r="AO47">
            <v>10.735103936341144</v>
          </cell>
          <cell r="AP47">
            <v>11.829315632331836</v>
          </cell>
          <cell r="AQ47">
            <v>11.829315632331836</v>
          </cell>
          <cell r="AR47">
            <v>11.829315632331836</v>
          </cell>
          <cell r="AS47">
            <v>11.829315632331836</v>
          </cell>
          <cell r="AT47">
            <v>11.258422573554084</v>
          </cell>
          <cell r="AU47">
            <v>11.829315632331836</v>
          </cell>
          <cell r="AV47">
            <v>11.829315632331836</v>
          </cell>
          <cell r="AW47">
            <v>11.829315632331836</v>
          </cell>
          <cell r="AX47">
            <v>11.829315632331836</v>
          </cell>
          <cell r="AY47">
            <v>11.829315632331836</v>
          </cell>
          <cell r="AZ47">
            <v>11.829315632331836</v>
          </cell>
          <cell r="BA47">
            <v>11.829315632331836</v>
          </cell>
          <cell r="BB47">
            <v>11.829315632331836</v>
          </cell>
          <cell r="BC47">
            <v>11.829315632331836</v>
          </cell>
          <cell r="BD47">
            <v>12.454579458612232</v>
          </cell>
          <cell r="BE47">
            <v>11.829315632331836</v>
          </cell>
          <cell r="BF47">
            <v>11.829315632331836</v>
          </cell>
          <cell r="BG47">
            <v>11.829315632331836</v>
          </cell>
          <cell r="BH47">
            <v>11.829315632331836</v>
          </cell>
          <cell r="BI47">
            <v>13.142369667520667</v>
          </cell>
          <cell r="BJ47">
            <v>11.829315632331836</v>
          </cell>
          <cell r="BK47">
            <v>11.829315632331836</v>
          </cell>
          <cell r="BL47">
            <v>11.829315632331836</v>
          </cell>
          <cell r="BM47">
            <v>11.829315632331836</v>
          </cell>
          <cell r="BN47">
            <v>13.902558845787889</v>
          </cell>
        </row>
        <row r="48">
          <cell r="U48">
            <v>0.11500000000000002</v>
          </cell>
          <cell r="Z48">
            <v>8.8209945444671316</v>
          </cell>
          <cell r="AA48">
            <v>11.013950824752719</v>
          </cell>
          <cell r="AB48">
            <v>11.013950824752719</v>
          </cell>
          <cell r="AC48">
            <v>11.013950824752719</v>
          </cell>
          <cell r="AD48">
            <v>11.013950824752719</v>
          </cell>
          <cell r="AE48">
            <v>9.1946093181454192</v>
          </cell>
          <cell r="AF48">
            <v>11.013950824752719</v>
          </cell>
          <cell r="AG48">
            <v>11.013950824752719</v>
          </cell>
          <cell r="AH48">
            <v>11.013950824752719</v>
          </cell>
          <cell r="AI48">
            <v>11.013950824752719</v>
          </cell>
          <cell r="AJ48">
            <v>9.5969636897989545</v>
          </cell>
          <cell r="AK48">
            <v>11.013950824752719</v>
          </cell>
          <cell r="AL48">
            <v>11.013950824752719</v>
          </cell>
          <cell r="AM48">
            <v>11.013950824752719</v>
          </cell>
          <cell r="AN48">
            <v>11.013950824752719</v>
          </cell>
          <cell r="AO48">
            <v>10.031506411184777</v>
          </cell>
          <cell r="AP48">
            <v>11.013950824752719</v>
          </cell>
          <cell r="AQ48">
            <v>11.013950824752719</v>
          </cell>
          <cell r="AR48">
            <v>11.013950824752719</v>
          </cell>
          <cell r="AS48">
            <v>11.013950824752719</v>
          </cell>
          <cell r="AT48">
            <v>10.502261026019415</v>
          </cell>
          <cell r="AU48">
            <v>11.013950824752719</v>
          </cell>
          <cell r="AV48">
            <v>11.013950824752719</v>
          </cell>
          <cell r="AW48">
            <v>11.013950824752719</v>
          </cell>
          <cell r="AX48">
            <v>11.013950824752719</v>
          </cell>
          <cell r="AY48">
            <v>11.013950824752719</v>
          </cell>
          <cell r="AZ48">
            <v>11.013950824752719</v>
          </cell>
          <cell r="BA48">
            <v>11.013950824752719</v>
          </cell>
          <cell r="BB48">
            <v>11.013950824752719</v>
          </cell>
          <cell r="BC48">
            <v>11.013950824752719</v>
          </cell>
          <cell r="BD48">
            <v>11.572157877916323</v>
          </cell>
          <cell r="BE48">
            <v>11.013950824752719</v>
          </cell>
          <cell r="BF48">
            <v>11.013950824752719</v>
          </cell>
          <cell r="BG48">
            <v>11.013950824752719</v>
          </cell>
          <cell r="BH48">
            <v>11.013950824752719</v>
          </cell>
          <cell r="BI48">
            <v>12.183527507571696</v>
          </cell>
          <cell r="BJ48">
            <v>11.013950824752719</v>
          </cell>
          <cell r="BK48">
            <v>11.013950824752719</v>
          </cell>
          <cell r="BL48">
            <v>11.013950824752719</v>
          </cell>
          <cell r="BM48">
            <v>11.013950824752719</v>
          </cell>
          <cell r="BN48">
            <v>12.856034100192609</v>
          </cell>
        </row>
        <row r="49">
          <cell r="U49">
            <v>0.12000000000000002</v>
          </cell>
          <cell r="Z49">
            <v>8.291224129408441</v>
          </cell>
          <cell r="AA49">
            <v>10.275448707386531</v>
          </cell>
          <cell r="AB49">
            <v>10.275448707386531</v>
          </cell>
          <cell r="AC49">
            <v>10.275448707386531</v>
          </cell>
          <cell r="AD49">
            <v>10.275448707386531</v>
          </cell>
          <cell r="AE49">
            <v>8.6313769142046866</v>
          </cell>
          <cell r="AF49">
            <v>10.275448707386531</v>
          </cell>
          <cell r="AG49">
            <v>10.275448707386531</v>
          </cell>
          <cell r="AH49">
            <v>10.275448707386531</v>
          </cell>
          <cell r="AI49">
            <v>10.275448707386531</v>
          </cell>
          <cell r="AJ49">
            <v>8.9967262015784293</v>
          </cell>
          <cell r="AK49">
            <v>10.275448707386531</v>
          </cell>
          <cell r="AL49">
            <v>10.275448707386531</v>
          </cell>
          <cell r="AM49">
            <v>10.275448707386531</v>
          </cell>
          <cell r="AN49">
            <v>10.275448707386531</v>
          </cell>
          <cell r="AO49">
            <v>9.3901792802886153</v>
          </cell>
          <cell r="AP49">
            <v>10.275448707386531</v>
          </cell>
          <cell r="AQ49">
            <v>10.275448707386531</v>
          </cell>
          <cell r="AR49">
            <v>10.275448707386531</v>
          </cell>
          <cell r="AS49">
            <v>10.275448707386531</v>
          </cell>
          <cell r="AT49">
            <v>9.8151086052956149</v>
          </cell>
          <cell r="AU49">
            <v>10.275448707386531</v>
          </cell>
          <cell r="AV49">
            <v>10.275448707386531</v>
          </cell>
          <cell r="AW49">
            <v>10.275448707386531</v>
          </cell>
          <cell r="AX49">
            <v>10.275448707386531</v>
          </cell>
          <cell r="AY49">
            <v>10.275448707386531</v>
          </cell>
          <cell r="AZ49">
            <v>10.275448707386531</v>
          </cell>
          <cell r="BA49">
            <v>10.275448707386531</v>
          </cell>
          <cell r="BB49">
            <v>10.275448707386531</v>
          </cell>
          <cell r="BC49">
            <v>10.275448707386531</v>
          </cell>
          <cell r="BD49">
            <v>10.775818383572309</v>
          </cell>
          <cell r="BE49">
            <v>10.275448707386531</v>
          </cell>
          <cell r="BF49">
            <v>10.275448707386531</v>
          </cell>
          <cell r="BG49">
            <v>10.275448707386531</v>
          </cell>
          <cell r="BH49">
            <v>10.275448707386531</v>
          </cell>
          <cell r="BI49">
            <v>11.321676212138613</v>
          </cell>
          <cell r="BJ49">
            <v>10.275448707386531</v>
          </cell>
          <cell r="BK49">
            <v>10.275448707386531</v>
          </cell>
          <cell r="BL49">
            <v>10.275448707386531</v>
          </cell>
          <cell r="BM49">
            <v>10.275448707386531</v>
          </cell>
          <cell r="BN49">
            <v>11.919520500568373</v>
          </cell>
        </row>
      </sheetData>
      <sheetData sheetId="19"/>
      <sheetData sheetId="20"/>
      <sheetData sheetId="21"/>
      <sheetData sheetId="22"/>
      <sheetData sheetId="23"/>
      <sheetData sheetId="24" refreshError="1">
        <row r="1">
          <cell r="U1" t="str">
            <v>SmartCharts</v>
          </cell>
          <cell r="BD1" t="str">
            <v>.</v>
          </cell>
        </row>
        <row r="2">
          <cell r="BD2" t="str">
            <v>.</v>
          </cell>
        </row>
        <row r="3">
          <cell r="BD3" t="str">
            <v>.</v>
          </cell>
        </row>
        <row r="4">
          <cell r="BD4" t="str">
            <v>.</v>
          </cell>
        </row>
        <row r="5">
          <cell r="C5" t="str">
            <v>Define value axis here:</v>
          </cell>
        </row>
        <row r="6">
          <cell r="C6" t="str">
            <v>Eli Lilly revenue contributions 2010E-2015E</v>
          </cell>
        </row>
        <row r="10">
          <cell r="C10" t="str">
            <v>Input your data here:</v>
          </cell>
          <cell r="BD10" t="str">
            <v>.</v>
          </cell>
        </row>
        <row r="11">
          <cell r="C11" t="str">
            <v>Sales ($M)</v>
          </cell>
          <cell r="D11" t="str">
            <v>2010E</v>
          </cell>
          <cell r="E11" t="str">
            <v>2011E</v>
          </cell>
          <cell r="F11" t="str">
            <v>2012E</v>
          </cell>
          <cell r="G11" t="str">
            <v>2013E</v>
          </cell>
          <cell r="H11" t="str">
            <v>2014E</v>
          </cell>
          <cell r="I11" t="str">
            <v>2015E</v>
          </cell>
          <cell r="BD11" t="str">
            <v>.</v>
          </cell>
        </row>
        <row r="12">
          <cell r="C12" t="str">
            <v>In-line products</v>
          </cell>
          <cell r="D12">
            <v>8741.7301775000014</v>
          </cell>
          <cell r="E12">
            <v>9422.206420550001</v>
          </cell>
          <cell r="F12">
            <v>9908.4720542889991</v>
          </cell>
          <cell r="G12">
            <v>10300.675416810274</v>
          </cell>
          <cell r="H12">
            <v>10709.128179281421</v>
          </cell>
          <cell r="I12">
            <v>10990.829805762725</v>
          </cell>
          <cell r="BD12" t="str">
            <v>.</v>
          </cell>
        </row>
        <row r="13">
          <cell r="C13" t="str">
            <v>Pipeline products launching 2010–2015</v>
          </cell>
          <cell r="D13">
            <v>141.25</v>
          </cell>
          <cell r="E13">
            <v>332.1875</v>
          </cell>
          <cell r="F13">
            <v>643.02499999999986</v>
          </cell>
          <cell r="G13">
            <v>1188.9100000000001</v>
          </cell>
          <cell r="H13">
            <v>2060.8072999999999</v>
          </cell>
          <cell r="I13">
            <v>3252.5061575</v>
          </cell>
          <cell r="BD13" t="str">
            <v>.</v>
          </cell>
        </row>
        <row r="14">
          <cell r="C14" t="str">
            <v>Products expiring 2010–2015</v>
          </cell>
          <cell r="D14">
            <v>13516.758760000001</v>
          </cell>
          <cell r="E14">
            <v>13145.262609800002</v>
          </cell>
          <cell r="F14">
            <v>10919.249930854003</v>
          </cell>
          <cell r="G14">
            <v>10206.164042898221</v>
          </cell>
          <cell r="H14">
            <v>7639.4611699592915</v>
          </cell>
          <cell r="I14">
            <v>5257.1242554678174</v>
          </cell>
          <cell r="BD14" t="str">
            <v>.</v>
          </cell>
        </row>
        <row r="15">
          <cell r="C15" t="str">
            <v>Δ in expiring products off 2010 base</v>
          </cell>
          <cell r="D15">
            <v>0</v>
          </cell>
          <cell r="E15">
            <v>-371.49615019999874</v>
          </cell>
          <cell r="F15">
            <v>-2597.5088291459979</v>
          </cell>
          <cell r="G15">
            <v>-3310.5947171017797</v>
          </cell>
          <cell r="H15">
            <v>-5877.2975900407091</v>
          </cell>
          <cell r="I15">
            <v>-8259.6345045321832</v>
          </cell>
          <cell r="BD15" t="str">
            <v>.</v>
          </cell>
        </row>
        <row r="16">
          <cell r="C16" t="str">
            <v>Net product sales</v>
          </cell>
          <cell r="D16">
            <v>22399.738937500002</v>
          </cell>
          <cell r="E16">
            <v>22899.656530350003</v>
          </cell>
          <cell r="F16">
            <v>21470.746985143003</v>
          </cell>
          <cell r="G16">
            <v>21695.749459708495</v>
          </cell>
          <cell r="H16">
            <v>20409.396649240713</v>
          </cell>
          <cell r="I16">
            <v>19500.460218730543</v>
          </cell>
          <cell r="BD16" t="str">
            <v>.</v>
          </cell>
        </row>
        <row r="17">
          <cell r="BD17" t="str">
            <v>.</v>
          </cell>
        </row>
        <row r="18">
          <cell r="BD18" t="str">
            <v>.</v>
          </cell>
        </row>
        <row r="20">
          <cell r="BD20" t="str">
            <v>.</v>
          </cell>
        </row>
        <row r="21">
          <cell r="BD21" t="str">
            <v>.</v>
          </cell>
        </row>
        <row r="22">
          <cell r="BD22" t="str">
            <v>.</v>
          </cell>
        </row>
        <row r="23">
          <cell r="BD23" t="str">
            <v>.</v>
          </cell>
        </row>
        <row r="24">
          <cell r="BD24" t="str">
            <v>.</v>
          </cell>
        </row>
        <row r="25">
          <cell r="BD25" t="str">
            <v>.</v>
          </cell>
        </row>
        <row r="26">
          <cell r="BD26" t="str">
            <v>.</v>
          </cell>
        </row>
        <row r="27">
          <cell r="BD27" t="str">
            <v>.</v>
          </cell>
        </row>
        <row r="28">
          <cell r="BD28" t="str">
            <v>.</v>
          </cell>
        </row>
        <row r="29">
          <cell r="BD29" t="str">
            <v>.</v>
          </cell>
        </row>
        <row r="30">
          <cell r="BD30" t="str">
            <v>.</v>
          </cell>
        </row>
        <row r="31">
          <cell r="BD31" t="str">
            <v>.</v>
          </cell>
        </row>
        <row r="32">
          <cell r="BD32" t="str">
            <v>.</v>
          </cell>
        </row>
        <row r="33">
          <cell r="BD33" t="str">
            <v>.</v>
          </cell>
        </row>
        <row r="34">
          <cell r="BD34" t="str">
            <v>.</v>
          </cell>
        </row>
        <row r="35">
          <cell r="BD35" t="str">
            <v>.</v>
          </cell>
        </row>
        <row r="36">
          <cell r="BD36" t="str">
            <v>.</v>
          </cell>
        </row>
        <row r="37">
          <cell r="M37" t="str">
            <v>Do not change the width of the exhibit or font sizes (they are optimized for export to Word).</v>
          </cell>
          <cell r="BD37" t="str">
            <v>.</v>
          </cell>
        </row>
        <row r="38">
          <cell r="BD38" t="str">
            <v>.</v>
          </cell>
        </row>
        <row r="39">
          <cell r="M39" t="str">
            <v>Do not delete any rows or columns (some gray cells are used for calculations).</v>
          </cell>
          <cell r="BD39" t="str">
            <v>.</v>
          </cell>
        </row>
        <row r="40">
          <cell r="BD40" t="str">
            <v>.</v>
          </cell>
        </row>
        <row r="41">
          <cell r="BD41" t="str">
            <v>.</v>
          </cell>
        </row>
        <row r="42">
          <cell r="BD42" t="str">
            <v>.</v>
          </cell>
        </row>
        <row r="43">
          <cell r="BD43" t="str">
            <v>.</v>
          </cell>
        </row>
        <row r="44">
          <cell r="BD44" t="str">
            <v>.</v>
          </cell>
        </row>
        <row r="45">
          <cell r="BD45" t="str">
            <v>.</v>
          </cell>
        </row>
        <row r="46">
          <cell r="BD46" t="str">
            <v>.</v>
          </cell>
        </row>
        <row r="47">
          <cell r="BD47" t="str">
            <v>.</v>
          </cell>
        </row>
        <row r="48">
          <cell r="BD48" t="str">
            <v>.</v>
          </cell>
        </row>
        <row r="49">
          <cell r="BD49" t="str">
            <v>.</v>
          </cell>
        </row>
        <row r="50">
          <cell r="BD50" t="str">
            <v>.</v>
          </cell>
        </row>
        <row r="51">
          <cell r="BD51" t="str">
            <v>.</v>
          </cell>
        </row>
        <row r="52">
          <cell r="BD52" t="str">
            <v>.</v>
          </cell>
        </row>
        <row r="53">
          <cell r="BD53" t="str">
            <v>.</v>
          </cell>
        </row>
        <row r="54">
          <cell r="BD54" t="str">
            <v>.</v>
          </cell>
        </row>
        <row r="55">
          <cell r="BD55" t="str">
            <v>.</v>
          </cell>
        </row>
        <row r="56">
          <cell r="BD56" t="str">
            <v>.</v>
          </cell>
        </row>
        <row r="57">
          <cell r="BD57" t="str">
            <v>.</v>
          </cell>
        </row>
        <row r="58">
          <cell r="BD58" t="str">
            <v>.</v>
          </cell>
        </row>
        <row r="59">
          <cell r="BD59" t="str">
            <v>.</v>
          </cell>
        </row>
        <row r="60">
          <cell r="BD60" t="str">
            <v>.</v>
          </cell>
        </row>
        <row r="61">
          <cell r="BD61" t="str">
            <v>.</v>
          </cell>
        </row>
        <row r="62">
          <cell r="BD62" t="str">
            <v>.</v>
          </cell>
        </row>
        <row r="63">
          <cell r="BD63" t="str">
            <v>.</v>
          </cell>
        </row>
        <row r="64">
          <cell r="BD64" t="str">
            <v>.</v>
          </cell>
        </row>
        <row r="65">
          <cell r="BD65" t="str">
            <v>.</v>
          </cell>
        </row>
        <row r="66">
          <cell r="BD66" t="str">
            <v>.</v>
          </cell>
        </row>
        <row r="67">
          <cell r="BD67" t="str">
            <v>.</v>
          </cell>
        </row>
        <row r="68">
          <cell r="BD68" t="str">
            <v>.</v>
          </cell>
        </row>
        <row r="69">
          <cell r="BD69" t="str">
            <v>.</v>
          </cell>
        </row>
        <row r="70">
          <cell r="BD70" t="str">
            <v>.</v>
          </cell>
        </row>
        <row r="71">
          <cell r="BD71" t="str">
            <v>.</v>
          </cell>
        </row>
        <row r="72">
          <cell r="BD72" t="str">
            <v>.</v>
          </cell>
        </row>
        <row r="73">
          <cell r="BD73" t="str">
            <v>.</v>
          </cell>
        </row>
        <row r="74">
          <cell r="BD74" t="str">
            <v>.</v>
          </cell>
        </row>
        <row r="75">
          <cell r="BD75" t="str">
            <v>.</v>
          </cell>
        </row>
        <row r="76">
          <cell r="BD76" t="str">
            <v>.</v>
          </cell>
        </row>
        <row r="77">
          <cell r="BD77" t="str">
            <v>.</v>
          </cell>
        </row>
        <row r="78">
          <cell r="BD78" t="str">
            <v>.</v>
          </cell>
        </row>
        <row r="79">
          <cell r="BD79" t="str">
            <v>.</v>
          </cell>
        </row>
        <row r="80">
          <cell r="BD80" t="str">
            <v>.</v>
          </cell>
        </row>
        <row r="81">
          <cell r="BD81" t="str">
            <v>.</v>
          </cell>
        </row>
        <row r="82">
          <cell r="BD82" t="str">
            <v>.</v>
          </cell>
        </row>
        <row r="83">
          <cell r="BD83" t="str">
            <v>.</v>
          </cell>
        </row>
        <row r="84">
          <cell r="BD84" t="str">
            <v>.</v>
          </cell>
        </row>
        <row r="85">
          <cell r="BD85" t="str">
            <v>.</v>
          </cell>
        </row>
        <row r="86">
          <cell r="BD86" t="str">
            <v>.</v>
          </cell>
        </row>
        <row r="87">
          <cell r="BD87" t="str">
            <v>.</v>
          </cell>
        </row>
        <row r="88">
          <cell r="BD88" t="str">
            <v>.</v>
          </cell>
        </row>
        <row r="89">
          <cell r="BD89" t="str">
            <v>.</v>
          </cell>
        </row>
        <row r="90">
          <cell r="BD90" t="str">
            <v>.</v>
          </cell>
        </row>
        <row r="91">
          <cell r="BD91" t="str">
            <v>.</v>
          </cell>
        </row>
        <row r="92">
          <cell r="BD92" t="str">
            <v>.</v>
          </cell>
        </row>
        <row r="93">
          <cell r="BD93" t="str">
            <v>.</v>
          </cell>
        </row>
        <row r="94">
          <cell r="BD94" t="str">
            <v>.</v>
          </cell>
        </row>
        <row r="95">
          <cell r="BD95" t="str">
            <v>.</v>
          </cell>
        </row>
        <row r="96">
          <cell r="BD96" t="str">
            <v>.</v>
          </cell>
        </row>
        <row r="97">
          <cell r="BD97" t="str">
            <v>.</v>
          </cell>
        </row>
        <row r="98">
          <cell r="BD98" t="str">
            <v>.</v>
          </cell>
        </row>
        <row r="99">
          <cell r="BD99" t="str">
            <v>.</v>
          </cell>
        </row>
        <row r="100">
          <cell r="BD100" t="str">
            <v>.</v>
          </cell>
        </row>
        <row r="101">
          <cell r="BD101" t="str">
            <v>.</v>
          </cell>
        </row>
        <row r="102">
          <cell r="BD102" t="str">
            <v>.</v>
          </cell>
        </row>
        <row r="103">
          <cell r="BD103" t="str">
            <v>.</v>
          </cell>
        </row>
        <row r="104">
          <cell r="BD104" t="str">
            <v>.</v>
          </cell>
        </row>
        <row r="105">
          <cell r="BD105" t="str">
            <v>.</v>
          </cell>
        </row>
        <row r="106">
          <cell r="BD106" t="str">
            <v>.</v>
          </cell>
        </row>
        <row r="107">
          <cell r="BD107" t="str">
            <v>.</v>
          </cell>
        </row>
        <row r="108">
          <cell r="BD108" t="str">
            <v>.</v>
          </cell>
        </row>
        <row r="109">
          <cell r="BD109" t="str">
            <v>.</v>
          </cell>
        </row>
        <row r="110">
          <cell r="BD110" t="str">
            <v>.</v>
          </cell>
        </row>
        <row r="111">
          <cell r="BD111" t="str">
            <v>.</v>
          </cell>
        </row>
        <row r="112">
          <cell r="BD112" t="str">
            <v>.</v>
          </cell>
        </row>
        <row r="113">
          <cell r="BD113" t="str">
            <v>.</v>
          </cell>
        </row>
        <row r="114">
          <cell r="BD114" t="str">
            <v>.</v>
          </cell>
        </row>
        <row r="115">
          <cell r="BD115" t="str">
            <v>.</v>
          </cell>
        </row>
        <row r="116">
          <cell r="BD116" t="str">
            <v>.</v>
          </cell>
        </row>
        <row r="117">
          <cell r="BD117" t="str">
            <v>.</v>
          </cell>
        </row>
        <row r="118">
          <cell r="BD118" t="str">
            <v>.</v>
          </cell>
        </row>
        <row r="119">
          <cell r="BD119" t="str">
            <v>.</v>
          </cell>
        </row>
        <row r="120">
          <cell r="BD120" t="str">
            <v>.</v>
          </cell>
        </row>
        <row r="121">
          <cell r="BD121" t="str">
            <v>.</v>
          </cell>
        </row>
        <row r="122">
          <cell r="BD122" t="str">
            <v>.</v>
          </cell>
        </row>
        <row r="123">
          <cell r="BD123" t="str">
            <v>.</v>
          </cell>
        </row>
        <row r="124">
          <cell r="BD124" t="str">
            <v>.</v>
          </cell>
        </row>
        <row r="125">
          <cell r="BD125" t="str">
            <v>.</v>
          </cell>
        </row>
        <row r="126">
          <cell r="BD126" t="str">
            <v>.</v>
          </cell>
        </row>
        <row r="127">
          <cell r="BD127" t="str">
            <v>.</v>
          </cell>
        </row>
        <row r="128">
          <cell r="BD128" t="str">
            <v>.</v>
          </cell>
        </row>
        <row r="129">
          <cell r="BD129" t="str">
            <v>.</v>
          </cell>
        </row>
        <row r="130">
          <cell r="BD130" t="str">
            <v>.</v>
          </cell>
        </row>
        <row r="131">
          <cell r="BD131" t="str">
            <v>.</v>
          </cell>
        </row>
        <row r="132">
          <cell r="BD132" t="str">
            <v>.</v>
          </cell>
        </row>
        <row r="133">
          <cell r="BD133" t="str">
            <v>.</v>
          </cell>
        </row>
        <row r="134">
          <cell r="BD134" t="str">
            <v>.</v>
          </cell>
        </row>
        <row r="135">
          <cell r="BD135" t="str">
            <v>.</v>
          </cell>
        </row>
        <row r="136">
          <cell r="BD136" t="str">
            <v>.</v>
          </cell>
        </row>
        <row r="137">
          <cell r="BD137" t="str">
            <v>.</v>
          </cell>
        </row>
        <row r="138">
          <cell r="BD138" t="str">
            <v>.</v>
          </cell>
        </row>
        <row r="139">
          <cell r="BD139" t="str">
            <v>.</v>
          </cell>
        </row>
        <row r="140">
          <cell r="BD140" t="str">
            <v>.</v>
          </cell>
        </row>
        <row r="141">
          <cell r="BD141" t="str">
            <v>.</v>
          </cell>
        </row>
        <row r="142">
          <cell r="BD142" t="str">
            <v>.</v>
          </cell>
        </row>
        <row r="143">
          <cell r="BD143" t="str">
            <v>.</v>
          </cell>
        </row>
        <row r="144">
          <cell r="BD144" t="str">
            <v>.</v>
          </cell>
        </row>
        <row r="145">
          <cell r="BD145" t="str">
            <v>.</v>
          </cell>
        </row>
        <row r="146">
          <cell r="BD146" t="str">
            <v>.</v>
          </cell>
        </row>
        <row r="147">
          <cell r="BD147" t="str">
            <v>.</v>
          </cell>
        </row>
        <row r="148">
          <cell r="BD148" t="str">
            <v>.</v>
          </cell>
        </row>
        <row r="149">
          <cell r="BD149" t="str">
            <v>.</v>
          </cell>
        </row>
        <row r="150">
          <cell r="BD150" t="str">
            <v>.</v>
          </cell>
        </row>
        <row r="151">
          <cell r="BD151" t="str">
            <v>.</v>
          </cell>
        </row>
        <row r="152">
          <cell r="BD152" t="str">
            <v>.</v>
          </cell>
        </row>
        <row r="153">
          <cell r="BD153" t="str">
            <v>.</v>
          </cell>
        </row>
        <row r="154">
          <cell r="BD154" t="str">
            <v>.</v>
          </cell>
        </row>
        <row r="155">
          <cell r="BD155" t="str">
            <v>.</v>
          </cell>
        </row>
        <row r="156">
          <cell r="BD156" t="str">
            <v>.</v>
          </cell>
        </row>
        <row r="157">
          <cell r="BD157" t="str">
            <v>.</v>
          </cell>
        </row>
        <row r="158">
          <cell r="BD158" t="str">
            <v>.</v>
          </cell>
        </row>
        <row r="159">
          <cell r="BD159" t="str">
            <v>.</v>
          </cell>
        </row>
        <row r="160">
          <cell r="BD160" t="str">
            <v>.</v>
          </cell>
        </row>
        <row r="161">
          <cell r="BD161" t="str">
            <v>.</v>
          </cell>
        </row>
        <row r="162">
          <cell r="BD162" t="str">
            <v>.</v>
          </cell>
        </row>
        <row r="163">
          <cell r="BD163" t="str">
            <v>.</v>
          </cell>
        </row>
        <row r="164">
          <cell r="BD164" t="str">
            <v>.</v>
          </cell>
        </row>
        <row r="165">
          <cell r="BD165" t="str">
            <v>.</v>
          </cell>
        </row>
        <row r="166">
          <cell r="BD166" t="str">
            <v>.</v>
          </cell>
        </row>
        <row r="167">
          <cell r="BD167" t="str">
            <v>.</v>
          </cell>
        </row>
        <row r="168">
          <cell r="BD168" t="str">
            <v>.</v>
          </cell>
        </row>
        <row r="169">
          <cell r="BD169" t="str">
            <v>.</v>
          </cell>
        </row>
        <row r="170">
          <cell r="BD170" t="str">
            <v>.</v>
          </cell>
        </row>
        <row r="171">
          <cell r="BD171" t="str">
            <v>.</v>
          </cell>
        </row>
        <row r="172">
          <cell r="BD172" t="str">
            <v>.</v>
          </cell>
        </row>
        <row r="173">
          <cell r="BD173" t="str">
            <v>.</v>
          </cell>
        </row>
        <row r="174">
          <cell r="BD174" t="str">
            <v>.</v>
          </cell>
        </row>
        <row r="175">
          <cell r="BD175" t="str">
            <v>.</v>
          </cell>
        </row>
        <row r="176">
          <cell r="BD176" t="str">
            <v>.</v>
          </cell>
        </row>
        <row r="177">
          <cell r="BD177" t="str">
            <v>.</v>
          </cell>
        </row>
        <row r="178">
          <cell r="BD178" t="str">
            <v>.</v>
          </cell>
        </row>
        <row r="179">
          <cell r="BD179" t="str">
            <v>.</v>
          </cell>
        </row>
        <row r="180">
          <cell r="BD180" t="str">
            <v>.</v>
          </cell>
        </row>
        <row r="181">
          <cell r="BD181" t="str">
            <v>.</v>
          </cell>
        </row>
        <row r="182">
          <cell r="BD182" t="str">
            <v>.</v>
          </cell>
        </row>
        <row r="183">
          <cell r="BD183" t="str">
            <v>.</v>
          </cell>
        </row>
        <row r="184">
          <cell r="BD184" t="str">
            <v>.</v>
          </cell>
        </row>
        <row r="185">
          <cell r="BD185" t="str">
            <v>.</v>
          </cell>
        </row>
        <row r="186">
          <cell r="BD186" t="str">
            <v>.</v>
          </cell>
        </row>
        <row r="187">
          <cell r="BD187" t="str">
            <v>.</v>
          </cell>
        </row>
        <row r="188">
          <cell r="BD188" t="str">
            <v>.</v>
          </cell>
        </row>
        <row r="189">
          <cell r="BD189" t="str">
            <v>.</v>
          </cell>
        </row>
        <row r="190">
          <cell r="BD190" t="str">
            <v>.</v>
          </cell>
        </row>
        <row r="191">
          <cell r="BD191" t="str">
            <v>.</v>
          </cell>
        </row>
        <row r="192">
          <cell r="BD192" t="str">
            <v>.</v>
          </cell>
        </row>
        <row r="193">
          <cell r="BD193" t="str">
            <v>.</v>
          </cell>
        </row>
        <row r="194">
          <cell r="BD194" t="str">
            <v>.</v>
          </cell>
        </row>
        <row r="195">
          <cell r="BD195" t="str">
            <v>.</v>
          </cell>
        </row>
        <row r="196">
          <cell r="BD196" t="str">
            <v>.</v>
          </cell>
        </row>
        <row r="197">
          <cell r="BD197" t="str">
            <v>.</v>
          </cell>
        </row>
        <row r="198">
          <cell r="BD198" t="str">
            <v>.</v>
          </cell>
        </row>
        <row r="199">
          <cell r="BD199" t="str">
            <v>.</v>
          </cell>
        </row>
        <row r="200">
          <cell r="BD200" t="str">
            <v>.</v>
          </cell>
        </row>
        <row r="201">
          <cell r="BD201" t="str">
            <v>.</v>
          </cell>
        </row>
        <row r="202">
          <cell r="BD202" t="str">
            <v>.</v>
          </cell>
        </row>
        <row r="203">
          <cell r="BD203" t="str">
            <v>.</v>
          </cell>
        </row>
        <row r="204">
          <cell r="BD204" t="str">
            <v>.</v>
          </cell>
        </row>
        <row r="205">
          <cell r="BD205" t="str">
            <v>.</v>
          </cell>
        </row>
        <row r="206">
          <cell r="BD206" t="str">
            <v>.</v>
          </cell>
        </row>
        <row r="207">
          <cell r="BD207" t="str">
            <v>.</v>
          </cell>
        </row>
        <row r="208">
          <cell r="BD208" t="str">
            <v>.</v>
          </cell>
        </row>
        <row r="209">
          <cell r="BD209" t="str">
            <v>.</v>
          </cell>
        </row>
        <row r="210">
          <cell r="BD210" t="str">
            <v>.</v>
          </cell>
        </row>
        <row r="211">
          <cell r="BD211" t="str">
            <v>.</v>
          </cell>
        </row>
        <row r="212">
          <cell r="BD212" t="str">
            <v>.</v>
          </cell>
        </row>
        <row r="213">
          <cell r="BD213" t="str">
            <v>.</v>
          </cell>
        </row>
        <row r="214">
          <cell r="BD214" t="str">
            <v>.</v>
          </cell>
        </row>
        <row r="215">
          <cell r="BD215" t="str">
            <v>.</v>
          </cell>
        </row>
        <row r="216">
          <cell r="BD216" t="str">
            <v>.</v>
          </cell>
        </row>
        <row r="217">
          <cell r="BD217" t="str">
            <v>.</v>
          </cell>
        </row>
        <row r="218">
          <cell r="BD218" t="str">
            <v>.</v>
          </cell>
        </row>
        <row r="219">
          <cell r="BD219" t="str">
            <v>.</v>
          </cell>
        </row>
        <row r="220">
          <cell r="BD220" t="str">
            <v>.</v>
          </cell>
        </row>
        <row r="221">
          <cell r="BD221" t="str">
            <v>.</v>
          </cell>
        </row>
        <row r="222">
          <cell r="BD222" t="str">
            <v>.</v>
          </cell>
        </row>
        <row r="223">
          <cell r="BD223" t="str">
            <v>.</v>
          </cell>
        </row>
        <row r="224">
          <cell r="BD224" t="str">
            <v>.</v>
          </cell>
        </row>
        <row r="225">
          <cell r="BD225" t="str">
            <v>.</v>
          </cell>
        </row>
        <row r="226">
          <cell r="BD226" t="str">
            <v>.</v>
          </cell>
        </row>
        <row r="227">
          <cell r="BD227" t="str">
            <v>.</v>
          </cell>
        </row>
        <row r="228">
          <cell r="BD228" t="str">
            <v>.</v>
          </cell>
        </row>
        <row r="229">
          <cell r="BD229" t="str">
            <v>.</v>
          </cell>
        </row>
        <row r="230">
          <cell r="BD230" t="str">
            <v>.</v>
          </cell>
        </row>
        <row r="231">
          <cell r="BD231" t="str">
            <v>.</v>
          </cell>
        </row>
        <row r="232">
          <cell r="BD232" t="str">
            <v>.</v>
          </cell>
        </row>
        <row r="233">
          <cell r="BD233" t="str">
            <v>.</v>
          </cell>
        </row>
        <row r="234">
          <cell r="BD234" t="str">
            <v>.</v>
          </cell>
        </row>
        <row r="235">
          <cell r="BD235" t="str">
            <v>.</v>
          </cell>
        </row>
        <row r="236">
          <cell r="BD236" t="str">
            <v>.</v>
          </cell>
        </row>
        <row r="237">
          <cell r="BD237" t="str">
            <v>.</v>
          </cell>
        </row>
        <row r="238">
          <cell r="BD238" t="str">
            <v>.</v>
          </cell>
        </row>
        <row r="239">
          <cell r="BD239" t="str">
            <v>.</v>
          </cell>
        </row>
        <row r="240">
          <cell r="BD240" t="str">
            <v>.</v>
          </cell>
        </row>
        <row r="241">
          <cell r="BD241" t="str">
            <v>.</v>
          </cell>
        </row>
        <row r="242">
          <cell r="BD242" t="str">
            <v>.</v>
          </cell>
        </row>
        <row r="243">
          <cell r="BD243" t="str">
            <v>.</v>
          </cell>
        </row>
        <row r="244">
          <cell r="BD244" t="str">
            <v>.</v>
          </cell>
        </row>
        <row r="245">
          <cell r="BD245" t="str">
            <v>.</v>
          </cell>
        </row>
        <row r="246">
          <cell r="BD246" t="str">
            <v>.</v>
          </cell>
        </row>
        <row r="247">
          <cell r="BD247" t="str">
            <v>.</v>
          </cell>
        </row>
        <row r="248">
          <cell r="BD248" t="str">
            <v>.</v>
          </cell>
        </row>
        <row r="249">
          <cell r="BD249" t="str">
            <v>.</v>
          </cell>
        </row>
        <row r="250">
          <cell r="BD250" t="str">
            <v>.</v>
          </cell>
        </row>
        <row r="251">
          <cell r="BD251" t="str">
            <v>.</v>
          </cell>
        </row>
        <row r="252">
          <cell r="BD252" t="str">
            <v>.</v>
          </cell>
        </row>
        <row r="253">
          <cell r="BD253" t="str">
            <v>.</v>
          </cell>
        </row>
        <row r="254">
          <cell r="BD254" t="str">
            <v>.</v>
          </cell>
        </row>
        <row r="255">
          <cell r="BD255" t="str">
            <v>.</v>
          </cell>
        </row>
        <row r="256">
          <cell r="BD256" t="str">
            <v>.</v>
          </cell>
        </row>
        <row r="257">
          <cell r="BD257" t="str">
            <v>.</v>
          </cell>
        </row>
        <row r="258">
          <cell r="BD258" t="str">
            <v>.</v>
          </cell>
        </row>
        <row r="259">
          <cell r="BD259" t="str">
            <v>.</v>
          </cell>
        </row>
        <row r="260">
          <cell r="BD260" t="str">
            <v>.</v>
          </cell>
        </row>
        <row r="261">
          <cell r="BD261" t="str">
            <v>.</v>
          </cell>
        </row>
        <row r="262">
          <cell r="BD262" t="str">
            <v>.</v>
          </cell>
        </row>
        <row r="263">
          <cell r="BD263" t="str">
            <v>.</v>
          </cell>
        </row>
        <row r="264">
          <cell r="BD264" t="str">
            <v>.</v>
          </cell>
        </row>
        <row r="265">
          <cell r="BD265" t="str">
            <v>.</v>
          </cell>
        </row>
        <row r="266">
          <cell r="BD266" t="str">
            <v>.</v>
          </cell>
        </row>
        <row r="267">
          <cell r="BD267" t="str">
            <v>.</v>
          </cell>
        </row>
        <row r="268">
          <cell r="BD268" t="str">
            <v>.</v>
          </cell>
        </row>
        <row r="269">
          <cell r="BD269" t="str">
            <v>.</v>
          </cell>
        </row>
        <row r="270">
          <cell r="BD270" t="str">
            <v>.</v>
          </cell>
        </row>
        <row r="271">
          <cell r="BD271" t="str">
            <v>.</v>
          </cell>
        </row>
        <row r="272">
          <cell r="BD272" t="str">
            <v>.</v>
          </cell>
        </row>
        <row r="273">
          <cell r="BD273" t="str">
            <v>.</v>
          </cell>
        </row>
        <row r="274">
          <cell r="BD274" t="str">
            <v>.</v>
          </cell>
        </row>
        <row r="275">
          <cell r="BD275" t="str">
            <v>.</v>
          </cell>
        </row>
        <row r="276">
          <cell r="BD276" t="str">
            <v>.</v>
          </cell>
        </row>
        <row r="277">
          <cell r="BD277" t="str">
            <v>.</v>
          </cell>
        </row>
        <row r="278">
          <cell r="BD278" t="str">
            <v>.</v>
          </cell>
        </row>
        <row r="279">
          <cell r="BD279" t="str">
            <v>.</v>
          </cell>
        </row>
        <row r="280">
          <cell r="BD280" t="str">
            <v>.</v>
          </cell>
        </row>
        <row r="281">
          <cell r="BD281" t="str">
            <v>.</v>
          </cell>
        </row>
        <row r="282">
          <cell r="BD282" t="str">
            <v>.</v>
          </cell>
        </row>
        <row r="283">
          <cell r="BD283" t="str">
            <v>.</v>
          </cell>
        </row>
        <row r="284">
          <cell r="BD284" t="str">
            <v>.</v>
          </cell>
        </row>
        <row r="285">
          <cell r="BD285" t="str">
            <v>.</v>
          </cell>
        </row>
        <row r="286">
          <cell r="BD286" t="str">
            <v>.</v>
          </cell>
        </row>
        <row r="287">
          <cell r="BD287" t="str">
            <v>.</v>
          </cell>
        </row>
        <row r="288">
          <cell r="BD288" t="str">
            <v>.</v>
          </cell>
        </row>
        <row r="289">
          <cell r="BD289" t="str">
            <v>.</v>
          </cell>
        </row>
        <row r="290">
          <cell r="BD290" t="str">
            <v>.</v>
          </cell>
        </row>
        <row r="291">
          <cell r="BD291" t="str">
            <v>.</v>
          </cell>
        </row>
        <row r="292">
          <cell r="BD292" t="str">
            <v>.</v>
          </cell>
        </row>
        <row r="293">
          <cell r="BD293" t="str">
            <v>.</v>
          </cell>
        </row>
        <row r="294">
          <cell r="BD294" t="str">
            <v>.</v>
          </cell>
        </row>
        <row r="295">
          <cell r="BD295" t="str">
            <v>.</v>
          </cell>
        </row>
        <row r="296">
          <cell r="BD296" t="str">
            <v>.</v>
          </cell>
        </row>
        <row r="297">
          <cell r="BD297" t="str">
            <v>.</v>
          </cell>
        </row>
        <row r="298">
          <cell r="BD298" t="str">
            <v>.</v>
          </cell>
        </row>
        <row r="299">
          <cell r="BD299" t="str">
            <v>.</v>
          </cell>
        </row>
        <row r="300">
          <cell r="BD300" t="str">
            <v>.</v>
          </cell>
        </row>
        <row r="301">
          <cell r="BD301" t="str">
            <v>.</v>
          </cell>
        </row>
        <row r="302">
          <cell r="BD302" t="str">
            <v>.</v>
          </cell>
        </row>
        <row r="303">
          <cell r="BD303" t="str">
            <v>.</v>
          </cell>
        </row>
        <row r="304">
          <cell r="BD304" t="str">
            <v>.</v>
          </cell>
        </row>
        <row r="305">
          <cell r="BD305" t="str">
            <v>.</v>
          </cell>
        </row>
        <row r="306">
          <cell r="BD306" t="str">
            <v>.</v>
          </cell>
        </row>
        <row r="307">
          <cell r="BD307" t="str">
            <v>.</v>
          </cell>
        </row>
        <row r="308">
          <cell r="BD308" t="str">
            <v>.</v>
          </cell>
        </row>
        <row r="309">
          <cell r="BD309" t="str">
            <v>.</v>
          </cell>
        </row>
        <row r="310">
          <cell r="BD310" t="str">
            <v>.</v>
          </cell>
        </row>
        <row r="311">
          <cell r="BD311" t="str">
            <v>.</v>
          </cell>
        </row>
        <row r="312">
          <cell r="BD312" t="str">
            <v>.</v>
          </cell>
        </row>
        <row r="313">
          <cell r="BD313" t="str">
            <v>.</v>
          </cell>
        </row>
        <row r="314">
          <cell r="BD314" t="str">
            <v>.</v>
          </cell>
        </row>
        <row r="315">
          <cell r="BD315" t="str">
            <v>.</v>
          </cell>
        </row>
        <row r="316">
          <cell r="BD316" t="str">
            <v>.</v>
          </cell>
        </row>
        <row r="317">
          <cell r="BD317" t="str">
            <v>.</v>
          </cell>
        </row>
        <row r="318">
          <cell r="BD318" t="str">
            <v>.</v>
          </cell>
        </row>
        <row r="319">
          <cell r="BD319" t="str">
            <v>.</v>
          </cell>
        </row>
        <row r="320">
          <cell r="BD320" t="str">
            <v>.</v>
          </cell>
        </row>
        <row r="321">
          <cell r="BD321" t="str">
            <v>.</v>
          </cell>
        </row>
        <row r="322">
          <cell r="BD322" t="str">
            <v>.</v>
          </cell>
        </row>
        <row r="323">
          <cell r="BD323" t="str">
            <v>.</v>
          </cell>
        </row>
        <row r="324">
          <cell r="BD324" t="str">
            <v>.</v>
          </cell>
        </row>
        <row r="325">
          <cell r="BD325" t="str">
            <v>.</v>
          </cell>
        </row>
        <row r="326">
          <cell r="BD326" t="str">
            <v>.</v>
          </cell>
        </row>
        <row r="327">
          <cell r="BD327" t="str">
            <v>.</v>
          </cell>
        </row>
        <row r="328">
          <cell r="BD328" t="str">
            <v>.</v>
          </cell>
        </row>
        <row r="329">
          <cell r="BD329" t="str">
            <v>.</v>
          </cell>
        </row>
        <row r="330">
          <cell r="BD330" t="str">
            <v>.</v>
          </cell>
        </row>
        <row r="331">
          <cell r="BD331" t="str">
            <v>.</v>
          </cell>
        </row>
        <row r="332">
          <cell r="BD332" t="str">
            <v>.</v>
          </cell>
        </row>
        <row r="333">
          <cell r="BD333" t="str">
            <v>.</v>
          </cell>
        </row>
        <row r="334">
          <cell r="BD334" t="str">
            <v>.</v>
          </cell>
        </row>
        <row r="335">
          <cell r="BD335" t="str">
            <v>.</v>
          </cell>
        </row>
        <row r="336">
          <cell r="BD336" t="str">
            <v>.</v>
          </cell>
        </row>
        <row r="337">
          <cell r="BD337" t="str">
            <v>.</v>
          </cell>
        </row>
        <row r="338">
          <cell r="BD338" t="str">
            <v>.</v>
          </cell>
        </row>
        <row r="339">
          <cell r="BD339" t="str">
            <v>.</v>
          </cell>
        </row>
        <row r="340">
          <cell r="BD340" t="str">
            <v>.</v>
          </cell>
        </row>
        <row r="341">
          <cell r="BD341" t="str">
            <v>.</v>
          </cell>
        </row>
        <row r="342">
          <cell r="BD342" t="str">
            <v>.</v>
          </cell>
        </row>
        <row r="343">
          <cell r="BD343" t="str">
            <v>.</v>
          </cell>
        </row>
        <row r="344">
          <cell r="BD344" t="str">
            <v>.</v>
          </cell>
        </row>
        <row r="345">
          <cell r="BD345" t="str">
            <v>.</v>
          </cell>
        </row>
        <row r="346">
          <cell r="BD346" t="str">
            <v>.</v>
          </cell>
        </row>
        <row r="347">
          <cell r="BD347" t="str">
            <v>.</v>
          </cell>
        </row>
        <row r="348">
          <cell r="BD348" t="str">
            <v>.</v>
          </cell>
        </row>
        <row r="349">
          <cell r="BD349" t="str">
            <v>.</v>
          </cell>
        </row>
        <row r="350">
          <cell r="BD350" t="str">
            <v>.</v>
          </cell>
        </row>
        <row r="351">
          <cell r="BD351" t="str">
            <v>.</v>
          </cell>
        </row>
        <row r="352">
          <cell r="BD352" t="str">
            <v>.</v>
          </cell>
        </row>
        <row r="353">
          <cell r="BD353" t="str">
            <v>.</v>
          </cell>
        </row>
        <row r="354">
          <cell r="BD354" t="str">
            <v>.</v>
          </cell>
        </row>
        <row r="355">
          <cell r="BD355" t="str">
            <v>.</v>
          </cell>
        </row>
        <row r="356">
          <cell r="BD356" t="str">
            <v>.</v>
          </cell>
        </row>
        <row r="357">
          <cell r="BD357" t="str">
            <v>.</v>
          </cell>
        </row>
        <row r="358">
          <cell r="BD358" t="str">
            <v>.</v>
          </cell>
        </row>
        <row r="359">
          <cell r="BD359" t="str">
            <v>.</v>
          </cell>
        </row>
        <row r="360">
          <cell r="BD360" t="str">
            <v>.</v>
          </cell>
        </row>
        <row r="361">
          <cell r="BD361" t="str">
            <v>.</v>
          </cell>
        </row>
        <row r="362">
          <cell r="BD362" t="str">
            <v>.</v>
          </cell>
        </row>
        <row r="363">
          <cell r="BD363" t="str">
            <v>.</v>
          </cell>
        </row>
        <row r="364">
          <cell r="BD364" t="str">
            <v>.</v>
          </cell>
        </row>
        <row r="365">
          <cell r="BD365" t="str">
            <v>.</v>
          </cell>
        </row>
        <row r="366">
          <cell r="BD366" t="str">
            <v>.</v>
          </cell>
        </row>
        <row r="367">
          <cell r="BD367" t="str">
            <v>.</v>
          </cell>
        </row>
        <row r="368">
          <cell r="BD368" t="str">
            <v>.</v>
          </cell>
        </row>
        <row r="369">
          <cell r="BD369" t="str">
            <v>.</v>
          </cell>
        </row>
        <row r="370">
          <cell r="BD370" t="str">
            <v>.</v>
          </cell>
        </row>
        <row r="371">
          <cell r="BD371" t="str">
            <v>.</v>
          </cell>
        </row>
        <row r="372">
          <cell r="BD372" t="str">
            <v>.</v>
          </cell>
        </row>
        <row r="373">
          <cell r="BD373" t="str">
            <v>.</v>
          </cell>
        </row>
        <row r="374">
          <cell r="BD374" t="str">
            <v>.</v>
          </cell>
        </row>
        <row r="375">
          <cell r="BD375" t="str">
            <v>.</v>
          </cell>
        </row>
        <row r="376">
          <cell r="BD376" t="str">
            <v>.</v>
          </cell>
        </row>
        <row r="377">
          <cell r="BD377" t="str">
            <v>.</v>
          </cell>
        </row>
        <row r="378">
          <cell r="BD378" t="str">
            <v>.</v>
          </cell>
        </row>
        <row r="379">
          <cell r="BD379" t="str">
            <v>.</v>
          </cell>
        </row>
        <row r="380">
          <cell r="BD380" t="str">
            <v>.</v>
          </cell>
        </row>
        <row r="381">
          <cell r="BD381" t="str">
            <v>.</v>
          </cell>
        </row>
        <row r="382">
          <cell r="BD382" t="str">
            <v>.</v>
          </cell>
        </row>
        <row r="383">
          <cell r="BD383" t="str">
            <v>.</v>
          </cell>
        </row>
        <row r="384">
          <cell r="BD384" t="str">
            <v>.</v>
          </cell>
        </row>
        <row r="385">
          <cell r="BD385" t="str">
            <v>.</v>
          </cell>
        </row>
        <row r="386">
          <cell r="BD386" t="str">
            <v>.</v>
          </cell>
        </row>
        <row r="387">
          <cell r="BD387" t="str">
            <v>.</v>
          </cell>
        </row>
        <row r="388">
          <cell r="BD388" t="str">
            <v>.</v>
          </cell>
        </row>
        <row r="389">
          <cell r="BD389" t="str">
            <v>.</v>
          </cell>
        </row>
        <row r="390">
          <cell r="BD390" t="str">
            <v>.</v>
          </cell>
        </row>
        <row r="391">
          <cell r="BD391" t="str">
            <v>.</v>
          </cell>
        </row>
        <row r="392">
          <cell r="BD392" t="str">
            <v>.</v>
          </cell>
        </row>
        <row r="393">
          <cell r="BD393" t="str">
            <v>.</v>
          </cell>
        </row>
        <row r="394">
          <cell r="BD394" t="str">
            <v>.</v>
          </cell>
        </row>
        <row r="395">
          <cell r="BD395" t="str">
            <v>.</v>
          </cell>
        </row>
        <row r="396">
          <cell r="BD396" t="str">
            <v>.</v>
          </cell>
        </row>
        <row r="397">
          <cell r="BD397" t="str">
            <v>.</v>
          </cell>
        </row>
        <row r="398">
          <cell r="BD398" t="str">
            <v>.</v>
          </cell>
        </row>
        <row r="399">
          <cell r="BD399" t="str">
            <v>.</v>
          </cell>
        </row>
        <row r="400">
          <cell r="BD400" t="str">
            <v>.</v>
          </cell>
        </row>
        <row r="401">
          <cell r="BD401" t="str">
            <v>.</v>
          </cell>
        </row>
        <row r="402">
          <cell r="BD402" t="str">
            <v>.</v>
          </cell>
        </row>
        <row r="403">
          <cell r="BD403" t="str">
            <v>.</v>
          </cell>
        </row>
        <row r="404">
          <cell r="BD404" t="str">
            <v>.</v>
          </cell>
        </row>
        <row r="405">
          <cell r="BD405" t="str">
            <v>.</v>
          </cell>
        </row>
        <row r="406">
          <cell r="BD406" t="str">
            <v>.</v>
          </cell>
        </row>
        <row r="407">
          <cell r="BD407" t="str">
            <v>.</v>
          </cell>
        </row>
        <row r="408">
          <cell r="BD408" t="str">
            <v>.</v>
          </cell>
        </row>
        <row r="409">
          <cell r="BD409" t="str">
            <v>.</v>
          </cell>
        </row>
        <row r="410">
          <cell r="BD410" t="str">
            <v>.</v>
          </cell>
        </row>
        <row r="411">
          <cell r="BD411" t="str">
            <v>.</v>
          </cell>
        </row>
        <row r="412">
          <cell r="BD412" t="str">
            <v>.</v>
          </cell>
        </row>
        <row r="413">
          <cell r="BD413" t="str">
            <v>.</v>
          </cell>
        </row>
        <row r="414">
          <cell r="BD414" t="str">
            <v>.</v>
          </cell>
        </row>
        <row r="415">
          <cell r="BD415" t="str">
            <v>.</v>
          </cell>
        </row>
        <row r="416">
          <cell r="BD416" t="str">
            <v>.</v>
          </cell>
        </row>
        <row r="417">
          <cell r="BD417" t="str">
            <v>.</v>
          </cell>
        </row>
        <row r="418">
          <cell r="BD418" t="str">
            <v>.</v>
          </cell>
        </row>
        <row r="419">
          <cell r="BD419" t="str">
            <v>.</v>
          </cell>
        </row>
        <row r="420">
          <cell r="BD420" t="str">
            <v>.</v>
          </cell>
        </row>
        <row r="421">
          <cell r="BD421" t="str">
            <v>.</v>
          </cell>
        </row>
        <row r="422">
          <cell r="BD422" t="str">
            <v>.</v>
          </cell>
        </row>
        <row r="423">
          <cell r="BD423" t="str">
            <v>.</v>
          </cell>
        </row>
        <row r="424">
          <cell r="BD424" t="str">
            <v>.</v>
          </cell>
        </row>
        <row r="425">
          <cell r="BD425" t="str">
            <v>.</v>
          </cell>
        </row>
        <row r="426">
          <cell r="BD426" t="str">
            <v>.</v>
          </cell>
        </row>
        <row r="427">
          <cell r="BD427" t="str">
            <v>.</v>
          </cell>
        </row>
        <row r="428">
          <cell r="BD428" t="str">
            <v>.</v>
          </cell>
        </row>
        <row r="429">
          <cell r="BD429" t="str">
            <v>.</v>
          </cell>
        </row>
        <row r="430">
          <cell r="BD430" t="str">
            <v>.</v>
          </cell>
        </row>
        <row r="431">
          <cell r="BD431" t="str">
            <v>.</v>
          </cell>
        </row>
        <row r="432">
          <cell r="BD432" t="str">
            <v>.</v>
          </cell>
        </row>
        <row r="433">
          <cell r="BD433" t="str">
            <v>.</v>
          </cell>
        </row>
        <row r="434">
          <cell r="BD434" t="str">
            <v>.</v>
          </cell>
        </row>
        <row r="435">
          <cell r="BD435" t="str">
            <v>.</v>
          </cell>
        </row>
        <row r="436">
          <cell r="BD436" t="str">
            <v>.</v>
          </cell>
        </row>
        <row r="437">
          <cell r="BD437" t="str">
            <v>.</v>
          </cell>
        </row>
        <row r="438">
          <cell r="BD438" t="str">
            <v>.</v>
          </cell>
        </row>
        <row r="439">
          <cell r="BD439" t="str">
            <v>.</v>
          </cell>
        </row>
        <row r="440">
          <cell r="BD440" t="str">
            <v>.</v>
          </cell>
        </row>
        <row r="441">
          <cell r="BD441" t="str">
            <v>.</v>
          </cell>
        </row>
        <row r="442">
          <cell r="BD442" t="str">
            <v>.</v>
          </cell>
        </row>
        <row r="443">
          <cell r="BD443" t="str">
            <v>.</v>
          </cell>
        </row>
        <row r="444">
          <cell r="BD444" t="str">
            <v>.</v>
          </cell>
        </row>
        <row r="445">
          <cell r="BD445" t="str">
            <v>.</v>
          </cell>
        </row>
        <row r="446">
          <cell r="BD446" t="str">
            <v>.</v>
          </cell>
        </row>
        <row r="447">
          <cell r="BD447" t="str">
            <v>.</v>
          </cell>
        </row>
        <row r="448">
          <cell r="BD448" t="str">
            <v>.</v>
          </cell>
        </row>
        <row r="449">
          <cell r="BD449" t="str">
            <v>.</v>
          </cell>
        </row>
        <row r="450">
          <cell r="BD450" t="str">
            <v>.</v>
          </cell>
        </row>
        <row r="451">
          <cell r="BD451" t="str">
            <v>.</v>
          </cell>
        </row>
        <row r="452">
          <cell r="BD452" t="str">
            <v>.</v>
          </cell>
        </row>
        <row r="453">
          <cell r="BD453" t="str">
            <v>.</v>
          </cell>
        </row>
        <row r="454">
          <cell r="BD454" t="str">
            <v>.</v>
          </cell>
        </row>
        <row r="455">
          <cell r="BD455" t="str">
            <v>.</v>
          </cell>
        </row>
        <row r="456">
          <cell r="BD456" t="str">
            <v>.</v>
          </cell>
        </row>
        <row r="457">
          <cell r="BD457" t="str">
            <v>.</v>
          </cell>
        </row>
        <row r="458">
          <cell r="BD458" t="str">
            <v>.</v>
          </cell>
        </row>
        <row r="459">
          <cell r="BD459" t="str">
            <v>.</v>
          </cell>
        </row>
        <row r="460">
          <cell r="BD460" t="str">
            <v>.</v>
          </cell>
        </row>
        <row r="461">
          <cell r="BD461" t="str">
            <v>.</v>
          </cell>
        </row>
        <row r="462">
          <cell r="BD462" t="str">
            <v>.</v>
          </cell>
        </row>
        <row r="463">
          <cell r="BD463" t="str">
            <v>.</v>
          </cell>
        </row>
        <row r="464">
          <cell r="BD464" t="str">
            <v>.</v>
          </cell>
        </row>
        <row r="465">
          <cell r="BD465" t="str">
            <v>.</v>
          </cell>
        </row>
        <row r="466">
          <cell r="BD466" t="str">
            <v>.</v>
          </cell>
        </row>
        <row r="467">
          <cell r="BD467" t="str">
            <v>.</v>
          </cell>
        </row>
        <row r="468">
          <cell r="BD468" t="str">
            <v>.</v>
          </cell>
        </row>
        <row r="469">
          <cell r="BD469" t="str">
            <v>.</v>
          </cell>
        </row>
        <row r="470">
          <cell r="BD470" t="str">
            <v>.</v>
          </cell>
        </row>
        <row r="471">
          <cell r="BD471" t="str">
            <v>.</v>
          </cell>
        </row>
        <row r="472">
          <cell r="BD472" t="str">
            <v>.</v>
          </cell>
        </row>
        <row r="473">
          <cell r="BD473" t="str">
            <v>.</v>
          </cell>
        </row>
        <row r="474">
          <cell r="BD474" t="str">
            <v>.</v>
          </cell>
        </row>
        <row r="475">
          <cell r="BD475" t="str">
            <v>.</v>
          </cell>
        </row>
        <row r="476">
          <cell r="BD476" t="str">
            <v>.</v>
          </cell>
        </row>
        <row r="477">
          <cell r="BD477" t="str">
            <v>.</v>
          </cell>
        </row>
        <row r="478">
          <cell r="BD478" t="str">
            <v>.</v>
          </cell>
        </row>
        <row r="479">
          <cell r="BD479" t="str">
            <v>.</v>
          </cell>
        </row>
        <row r="480">
          <cell r="BD480" t="str">
            <v>.</v>
          </cell>
        </row>
        <row r="481">
          <cell r="BD481" t="str">
            <v>.</v>
          </cell>
        </row>
        <row r="482">
          <cell r="BD482" t="str">
            <v>.</v>
          </cell>
        </row>
        <row r="483">
          <cell r="BD483" t="str">
            <v>.</v>
          </cell>
        </row>
        <row r="484">
          <cell r="BD484" t="str">
            <v>.</v>
          </cell>
        </row>
        <row r="485">
          <cell r="BD485" t="str">
            <v>.</v>
          </cell>
        </row>
        <row r="486">
          <cell r="BD486" t="str">
            <v>.</v>
          </cell>
        </row>
        <row r="487">
          <cell r="BD487" t="str">
            <v>.</v>
          </cell>
        </row>
        <row r="488">
          <cell r="BD488" t="str">
            <v>.</v>
          </cell>
        </row>
        <row r="489">
          <cell r="BD489" t="str">
            <v>.</v>
          </cell>
        </row>
        <row r="490">
          <cell r="BD490" t="str">
            <v>.</v>
          </cell>
        </row>
        <row r="491">
          <cell r="BD491" t="str">
            <v>.</v>
          </cell>
        </row>
        <row r="492">
          <cell r="BD492" t="str">
            <v>.</v>
          </cell>
        </row>
        <row r="493">
          <cell r="BD493" t="str">
            <v>.</v>
          </cell>
        </row>
        <row r="494">
          <cell r="BD494" t="str">
            <v>.</v>
          </cell>
        </row>
        <row r="495">
          <cell r="BD495" t="str">
            <v>.</v>
          </cell>
        </row>
        <row r="496">
          <cell r="BD496" t="str">
            <v>.</v>
          </cell>
        </row>
        <row r="497">
          <cell r="BD497" t="str">
            <v>.</v>
          </cell>
        </row>
        <row r="498">
          <cell r="BD498" t="str">
            <v>.</v>
          </cell>
        </row>
        <row r="499">
          <cell r="BD499" t="str">
            <v>.</v>
          </cell>
        </row>
        <row r="500">
          <cell r="BD500" t="str">
            <v>.</v>
          </cell>
        </row>
        <row r="501">
          <cell r="BD501" t="str">
            <v>.</v>
          </cell>
        </row>
        <row r="502">
          <cell r="BD502" t="str">
            <v>.</v>
          </cell>
        </row>
        <row r="503">
          <cell r="BD503" t="str">
            <v>.</v>
          </cell>
        </row>
        <row r="504">
          <cell r="BD504" t="str">
            <v>.</v>
          </cell>
        </row>
        <row r="505">
          <cell r="BD505" t="str">
            <v>.</v>
          </cell>
        </row>
        <row r="506">
          <cell r="BD506" t="str">
            <v>.</v>
          </cell>
        </row>
        <row r="507">
          <cell r="BD507" t="str">
            <v>.</v>
          </cell>
        </row>
        <row r="508">
          <cell r="BD508" t="str">
            <v>.</v>
          </cell>
        </row>
        <row r="509">
          <cell r="BD509" t="str">
            <v>.</v>
          </cell>
        </row>
        <row r="510">
          <cell r="BD510" t="str">
            <v>.</v>
          </cell>
        </row>
        <row r="511">
          <cell r="BD511" t="str">
            <v>.</v>
          </cell>
        </row>
        <row r="512">
          <cell r="BD512" t="str">
            <v>.</v>
          </cell>
        </row>
        <row r="513">
          <cell r="BD513" t="str">
            <v>.</v>
          </cell>
        </row>
        <row r="514">
          <cell r="BD514" t="str">
            <v>.</v>
          </cell>
        </row>
        <row r="515">
          <cell r="BD515" t="str">
            <v>.</v>
          </cell>
        </row>
        <row r="516">
          <cell r="BD516" t="str">
            <v>.</v>
          </cell>
        </row>
        <row r="517">
          <cell r="BD517" t="str">
            <v>.</v>
          </cell>
        </row>
        <row r="518">
          <cell r="BD518" t="str">
            <v>.</v>
          </cell>
        </row>
        <row r="519">
          <cell r="BD519" t="str">
            <v>.</v>
          </cell>
        </row>
        <row r="520">
          <cell r="BD520" t="str">
            <v>.</v>
          </cell>
        </row>
        <row r="521">
          <cell r="BD521" t="str">
            <v>.</v>
          </cell>
        </row>
        <row r="522">
          <cell r="BD522" t="str">
            <v>.</v>
          </cell>
        </row>
        <row r="523">
          <cell r="BD523" t="str">
            <v>.</v>
          </cell>
        </row>
        <row r="524">
          <cell r="BD524" t="str">
            <v>.</v>
          </cell>
        </row>
        <row r="525">
          <cell r="BD525" t="str">
            <v>.</v>
          </cell>
        </row>
        <row r="526">
          <cell r="BD526" t="str">
            <v>.</v>
          </cell>
        </row>
        <row r="527">
          <cell r="BD527" t="str">
            <v>.</v>
          </cell>
        </row>
        <row r="528">
          <cell r="BD528" t="str">
            <v>.</v>
          </cell>
        </row>
        <row r="529">
          <cell r="BD529" t="str">
            <v>.</v>
          </cell>
        </row>
        <row r="530">
          <cell r="BD530" t="str">
            <v>.</v>
          </cell>
        </row>
        <row r="531">
          <cell r="BD531" t="str">
            <v>.</v>
          </cell>
        </row>
        <row r="532">
          <cell r="BD532" t="str">
            <v>.</v>
          </cell>
        </row>
        <row r="533">
          <cell r="BD533" t="str">
            <v>.</v>
          </cell>
        </row>
        <row r="534">
          <cell r="BD534" t="str">
            <v>.</v>
          </cell>
        </row>
        <row r="535">
          <cell r="BD535" t="str">
            <v>.</v>
          </cell>
        </row>
        <row r="536">
          <cell r="BD536" t="str">
            <v>.</v>
          </cell>
        </row>
        <row r="537">
          <cell r="BD537" t="str">
            <v>.</v>
          </cell>
        </row>
        <row r="538">
          <cell r="BD538" t="str">
            <v>.</v>
          </cell>
        </row>
        <row r="539">
          <cell r="BD539" t="str">
            <v>.</v>
          </cell>
        </row>
        <row r="540">
          <cell r="BD540" t="str">
            <v>.</v>
          </cell>
        </row>
        <row r="541">
          <cell r="BD541" t="str">
            <v>.</v>
          </cell>
        </row>
        <row r="542">
          <cell r="BD542" t="str">
            <v>.</v>
          </cell>
        </row>
        <row r="543">
          <cell r="BD543" t="str">
            <v>.</v>
          </cell>
        </row>
        <row r="544">
          <cell r="BD544" t="str">
            <v>.</v>
          </cell>
        </row>
        <row r="545">
          <cell r="BD545" t="str">
            <v>.</v>
          </cell>
        </row>
        <row r="546">
          <cell r="BD546" t="str">
            <v>.</v>
          </cell>
        </row>
        <row r="547">
          <cell r="BD547" t="str">
            <v>.</v>
          </cell>
        </row>
        <row r="548">
          <cell r="BD548" t="str">
            <v>.</v>
          </cell>
        </row>
        <row r="549">
          <cell r="BD549" t="str">
            <v>.</v>
          </cell>
        </row>
        <row r="550">
          <cell r="BD550" t="str">
            <v>.</v>
          </cell>
        </row>
        <row r="551">
          <cell r="BD551" t="str">
            <v>.</v>
          </cell>
        </row>
        <row r="552">
          <cell r="BD552" t="str">
            <v>.</v>
          </cell>
        </row>
        <row r="553">
          <cell r="BD553" t="str">
            <v>.</v>
          </cell>
        </row>
        <row r="554">
          <cell r="BD554" t="str">
            <v>.</v>
          </cell>
        </row>
        <row r="555">
          <cell r="BD555" t="str">
            <v>.</v>
          </cell>
        </row>
        <row r="556">
          <cell r="BD556" t="str">
            <v>.</v>
          </cell>
        </row>
        <row r="557">
          <cell r="BD557" t="str">
            <v>.</v>
          </cell>
        </row>
        <row r="558">
          <cell r="BD558" t="str">
            <v>.</v>
          </cell>
        </row>
        <row r="559">
          <cell r="BD559" t="str">
            <v>.</v>
          </cell>
        </row>
        <row r="560">
          <cell r="BD560" t="str">
            <v>.</v>
          </cell>
        </row>
        <row r="561">
          <cell r="BD561" t="str">
            <v>.</v>
          </cell>
        </row>
        <row r="562">
          <cell r="BD562" t="str">
            <v>.</v>
          </cell>
        </row>
        <row r="563">
          <cell r="BD563" t="str">
            <v>.</v>
          </cell>
        </row>
        <row r="564">
          <cell r="BD564" t="str">
            <v>.</v>
          </cell>
        </row>
        <row r="565">
          <cell r="BD565" t="str">
            <v>.</v>
          </cell>
        </row>
        <row r="566">
          <cell r="BD566" t="str">
            <v>.</v>
          </cell>
        </row>
        <row r="567">
          <cell r="BD567" t="str">
            <v>.</v>
          </cell>
        </row>
        <row r="568">
          <cell r="BD568" t="str">
            <v>.</v>
          </cell>
        </row>
        <row r="569">
          <cell r="BD569" t="str">
            <v>.</v>
          </cell>
        </row>
        <row r="570">
          <cell r="BD570" t="str">
            <v>.</v>
          </cell>
        </row>
        <row r="571">
          <cell r="BD571" t="str">
            <v>.</v>
          </cell>
        </row>
        <row r="572">
          <cell r="BD572" t="str">
            <v>.</v>
          </cell>
        </row>
        <row r="573">
          <cell r="BD573" t="str">
            <v>.</v>
          </cell>
        </row>
        <row r="574">
          <cell r="BD574" t="str">
            <v>.</v>
          </cell>
        </row>
        <row r="575">
          <cell r="BD575" t="str">
            <v>.</v>
          </cell>
        </row>
        <row r="576">
          <cell r="BD576" t="str">
            <v>.</v>
          </cell>
        </row>
        <row r="577">
          <cell r="BD577" t="str">
            <v>.</v>
          </cell>
        </row>
        <row r="578">
          <cell r="BD578" t="str">
            <v>.</v>
          </cell>
        </row>
        <row r="579">
          <cell r="BD579" t="str">
            <v>.</v>
          </cell>
        </row>
        <row r="580">
          <cell r="BD580" t="str">
            <v>.</v>
          </cell>
        </row>
        <row r="581">
          <cell r="BD581" t="str">
            <v>.</v>
          </cell>
        </row>
        <row r="582">
          <cell r="BD582" t="str">
            <v>.</v>
          </cell>
        </row>
        <row r="583">
          <cell r="BD583" t="str">
            <v>.</v>
          </cell>
        </row>
        <row r="584">
          <cell r="BD584" t="str">
            <v>.</v>
          </cell>
        </row>
        <row r="585">
          <cell r="BD585" t="str">
            <v>.</v>
          </cell>
        </row>
        <row r="586">
          <cell r="BD586" t="str">
            <v>.</v>
          </cell>
        </row>
        <row r="587">
          <cell r="BD587" t="str">
            <v>.</v>
          </cell>
        </row>
        <row r="588">
          <cell r="BD588" t="str">
            <v>.</v>
          </cell>
        </row>
        <row r="589">
          <cell r="BD589" t="str">
            <v>.</v>
          </cell>
        </row>
        <row r="590">
          <cell r="BD590" t="str">
            <v>.</v>
          </cell>
        </row>
        <row r="591">
          <cell r="BD591" t="str">
            <v>.</v>
          </cell>
        </row>
        <row r="592">
          <cell r="BD592" t="str">
            <v>.</v>
          </cell>
        </row>
        <row r="593">
          <cell r="BD593" t="str">
            <v>.</v>
          </cell>
        </row>
        <row r="594">
          <cell r="BD594" t="str">
            <v>.</v>
          </cell>
        </row>
        <row r="595">
          <cell r="BD595" t="str">
            <v>.</v>
          </cell>
        </row>
        <row r="596">
          <cell r="BD596" t="str">
            <v>.</v>
          </cell>
        </row>
        <row r="597">
          <cell r="BD597" t="str">
            <v>.</v>
          </cell>
        </row>
        <row r="598">
          <cell r="BD598" t="str">
            <v>.</v>
          </cell>
        </row>
        <row r="599">
          <cell r="BD599" t="str">
            <v>.</v>
          </cell>
        </row>
        <row r="600">
          <cell r="BD600" t="str">
            <v>.</v>
          </cell>
        </row>
        <row r="601">
          <cell r="BD601" t="str">
            <v>.</v>
          </cell>
        </row>
        <row r="602">
          <cell r="BD602" t="str">
            <v>.</v>
          </cell>
        </row>
        <row r="603">
          <cell r="BD603" t="str">
            <v>.</v>
          </cell>
        </row>
        <row r="604">
          <cell r="BD604" t="str">
            <v>.</v>
          </cell>
        </row>
        <row r="605">
          <cell r="BD605" t="str">
            <v>.</v>
          </cell>
        </row>
        <row r="606">
          <cell r="BD606" t="str">
            <v>.</v>
          </cell>
        </row>
        <row r="607">
          <cell r="BD607" t="str">
            <v>.</v>
          </cell>
        </row>
        <row r="608">
          <cell r="BD608" t="str">
            <v>.</v>
          </cell>
        </row>
        <row r="609">
          <cell r="BD609" t="str">
            <v>.</v>
          </cell>
        </row>
        <row r="610">
          <cell r="BD610" t="str">
            <v>.</v>
          </cell>
        </row>
        <row r="611">
          <cell r="BD611" t="str">
            <v>.</v>
          </cell>
        </row>
        <row r="612">
          <cell r="BD612" t="str">
            <v>.</v>
          </cell>
        </row>
        <row r="613">
          <cell r="BD613" t="str">
            <v>.</v>
          </cell>
        </row>
        <row r="614">
          <cell r="BD614" t="str">
            <v>.</v>
          </cell>
        </row>
        <row r="615">
          <cell r="BD615" t="str">
            <v>.</v>
          </cell>
        </row>
        <row r="616">
          <cell r="BD616" t="str">
            <v>.</v>
          </cell>
        </row>
        <row r="617">
          <cell r="BD617" t="str">
            <v>.</v>
          </cell>
        </row>
        <row r="618">
          <cell r="BD618" t="str">
            <v>.</v>
          </cell>
        </row>
        <row r="619">
          <cell r="BD619" t="str">
            <v>.</v>
          </cell>
        </row>
        <row r="620">
          <cell r="BD620" t="str">
            <v>.</v>
          </cell>
        </row>
        <row r="621">
          <cell r="BD621" t="str">
            <v>.</v>
          </cell>
        </row>
        <row r="622">
          <cell r="BD622" t="str">
            <v>.</v>
          </cell>
        </row>
        <row r="623">
          <cell r="BD623" t="str">
            <v>.</v>
          </cell>
        </row>
        <row r="624">
          <cell r="BD624" t="str">
            <v>.</v>
          </cell>
        </row>
        <row r="625">
          <cell r="BD625" t="str">
            <v>.</v>
          </cell>
        </row>
        <row r="626">
          <cell r="BD626" t="str">
            <v>.</v>
          </cell>
        </row>
        <row r="627">
          <cell r="BD627" t="str">
            <v>.</v>
          </cell>
        </row>
        <row r="628">
          <cell r="BD628" t="str">
            <v>.</v>
          </cell>
        </row>
        <row r="629">
          <cell r="BD629" t="str">
            <v>.</v>
          </cell>
        </row>
        <row r="630">
          <cell r="BD630" t="str">
            <v>.</v>
          </cell>
        </row>
        <row r="631">
          <cell r="BD631" t="str">
            <v>.</v>
          </cell>
        </row>
        <row r="632">
          <cell r="BD632" t="str">
            <v>.</v>
          </cell>
        </row>
        <row r="633">
          <cell r="BD633" t="str">
            <v>.</v>
          </cell>
        </row>
        <row r="634">
          <cell r="BD634" t="str">
            <v>.</v>
          </cell>
        </row>
        <row r="635">
          <cell r="BD635" t="str">
            <v>.</v>
          </cell>
        </row>
        <row r="636">
          <cell r="BD636" t="str">
            <v>.</v>
          </cell>
        </row>
        <row r="637">
          <cell r="BD637" t="str">
            <v>.</v>
          </cell>
        </row>
        <row r="638">
          <cell r="BD638" t="str">
            <v>.</v>
          </cell>
        </row>
        <row r="639">
          <cell r="BD639" t="str">
            <v>.</v>
          </cell>
        </row>
        <row r="640">
          <cell r="BD640" t="str">
            <v>.</v>
          </cell>
        </row>
        <row r="641">
          <cell r="BD641" t="str">
            <v>.</v>
          </cell>
        </row>
        <row r="642">
          <cell r="BD642" t="str">
            <v>.</v>
          </cell>
        </row>
        <row r="643">
          <cell r="BD643" t="str">
            <v>.</v>
          </cell>
        </row>
        <row r="644">
          <cell r="BD644" t="str">
            <v>.</v>
          </cell>
        </row>
        <row r="645">
          <cell r="BD645" t="str">
            <v>.</v>
          </cell>
        </row>
        <row r="646">
          <cell r="BD646" t="str">
            <v>.</v>
          </cell>
        </row>
        <row r="647">
          <cell r="BD647" t="str">
            <v>.</v>
          </cell>
        </row>
        <row r="648">
          <cell r="BD648" t="str">
            <v>.</v>
          </cell>
        </row>
        <row r="649">
          <cell r="BD649" t="str">
            <v>.</v>
          </cell>
        </row>
        <row r="650">
          <cell r="BD650" t="str">
            <v>.</v>
          </cell>
        </row>
        <row r="651">
          <cell r="BD651" t="str">
            <v>.</v>
          </cell>
        </row>
        <row r="652">
          <cell r="BD652" t="str">
            <v>.</v>
          </cell>
        </row>
        <row r="653">
          <cell r="BD653" t="str">
            <v>.</v>
          </cell>
        </row>
        <row r="654">
          <cell r="BD654" t="str">
            <v>.</v>
          </cell>
        </row>
        <row r="655">
          <cell r="BD655" t="str">
            <v>.</v>
          </cell>
        </row>
        <row r="656">
          <cell r="BD656" t="str">
            <v>.</v>
          </cell>
        </row>
        <row r="657">
          <cell r="BD657" t="str">
            <v>.</v>
          </cell>
        </row>
        <row r="658">
          <cell r="BD658" t="str">
            <v>.</v>
          </cell>
        </row>
        <row r="659">
          <cell r="BD659" t="str">
            <v>.</v>
          </cell>
        </row>
        <row r="660">
          <cell r="BD660" t="str">
            <v>.</v>
          </cell>
        </row>
        <row r="661">
          <cell r="BD661" t="str">
            <v>.</v>
          </cell>
        </row>
        <row r="662">
          <cell r="BD662" t="str">
            <v>.</v>
          </cell>
        </row>
        <row r="663">
          <cell r="BD663" t="str">
            <v>.</v>
          </cell>
        </row>
        <row r="664">
          <cell r="BD664" t="str">
            <v>.</v>
          </cell>
        </row>
        <row r="665">
          <cell r="BD665" t="str">
            <v>.</v>
          </cell>
        </row>
        <row r="666">
          <cell r="BD666" t="str">
            <v>.</v>
          </cell>
        </row>
        <row r="667">
          <cell r="BD667" t="str">
            <v>.</v>
          </cell>
        </row>
        <row r="668">
          <cell r="BD668" t="str">
            <v>.</v>
          </cell>
        </row>
        <row r="669">
          <cell r="BD669" t="str">
            <v>.</v>
          </cell>
        </row>
        <row r="670">
          <cell r="BD670" t="str">
            <v>.</v>
          </cell>
        </row>
        <row r="671">
          <cell r="BD671" t="str">
            <v>.</v>
          </cell>
        </row>
        <row r="672">
          <cell r="BD672" t="str">
            <v>.</v>
          </cell>
        </row>
        <row r="673">
          <cell r="BD673" t="str">
            <v>.</v>
          </cell>
        </row>
        <row r="674">
          <cell r="BD674" t="str">
            <v>.</v>
          </cell>
        </row>
        <row r="675">
          <cell r="BD675" t="str">
            <v>.</v>
          </cell>
        </row>
        <row r="676">
          <cell r="BD676" t="str">
            <v>.</v>
          </cell>
        </row>
        <row r="677">
          <cell r="BD677" t="str">
            <v>.</v>
          </cell>
        </row>
        <row r="678">
          <cell r="BD678" t="str">
            <v>.</v>
          </cell>
        </row>
        <row r="679">
          <cell r="BD679" t="str">
            <v>.</v>
          </cell>
        </row>
        <row r="680">
          <cell r="BD680" t="str">
            <v>.</v>
          </cell>
        </row>
        <row r="681">
          <cell r="BD681" t="str">
            <v>.</v>
          </cell>
        </row>
        <row r="682">
          <cell r="BD682" t="str">
            <v>.</v>
          </cell>
        </row>
        <row r="683">
          <cell r="BD683" t="str">
            <v>.</v>
          </cell>
        </row>
        <row r="684">
          <cell r="BD684" t="str">
            <v>.</v>
          </cell>
        </row>
        <row r="685">
          <cell r="BD685" t="str">
            <v>.</v>
          </cell>
        </row>
        <row r="686">
          <cell r="BD686" t="str">
            <v>.</v>
          </cell>
        </row>
        <row r="687">
          <cell r="BD687" t="str">
            <v>.</v>
          </cell>
        </row>
        <row r="688">
          <cell r="BD688" t="str">
            <v>.</v>
          </cell>
        </row>
        <row r="689">
          <cell r="BD689" t="str">
            <v>.</v>
          </cell>
        </row>
        <row r="690">
          <cell r="BD690" t="str">
            <v>.</v>
          </cell>
        </row>
        <row r="691">
          <cell r="BD691" t="str">
            <v>.</v>
          </cell>
        </row>
        <row r="692">
          <cell r="BD692" t="str">
            <v>.</v>
          </cell>
        </row>
        <row r="693">
          <cell r="BD693" t="str">
            <v>.</v>
          </cell>
        </row>
        <row r="694">
          <cell r="BD694" t="str">
            <v>.</v>
          </cell>
        </row>
        <row r="695">
          <cell r="BD695" t="str">
            <v>.</v>
          </cell>
        </row>
        <row r="696">
          <cell r="BD696" t="str">
            <v>.</v>
          </cell>
        </row>
        <row r="697">
          <cell r="BD697" t="str">
            <v>.</v>
          </cell>
        </row>
        <row r="698">
          <cell r="BD698" t="str">
            <v>.</v>
          </cell>
        </row>
        <row r="699">
          <cell r="BD699" t="str">
            <v>.</v>
          </cell>
        </row>
        <row r="700">
          <cell r="BD700" t="str">
            <v>.</v>
          </cell>
        </row>
        <row r="701">
          <cell r="BD701" t="str">
            <v>.</v>
          </cell>
        </row>
        <row r="702">
          <cell r="BD702" t="str">
            <v>.</v>
          </cell>
        </row>
        <row r="703">
          <cell r="BD703" t="str">
            <v>.</v>
          </cell>
        </row>
        <row r="704">
          <cell r="BD704" t="str">
            <v>.</v>
          </cell>
        </row>
        <row r="705">
          <cell r="BD705" t="str">
            <v>.</v>
          </cell>
        </row>
        <row r="706">
          <cell r="BD706" t="str">
            <v>.</v>
          </cell>
        </row>
        <row r="707">
          <cell r="BD707" t="str">
            <v>.</v>
          </cell>
        </row>
        <row r="708">
          <cell r="BD708" t="str">
            <v>.</v>
          </cell>
        </row>
        <row r="709">
          <cell r="BD709" t="str">
            <v>.</v>
          </cell>
        </row>
        <row r="710">
          <cell r="BD710" t="str">
            <v>.</v>
          </cell>
        </row>
        <row r="711">
          <cell r="BD711" t="str">
            <v>.</v>
          </cell>
        </row>
        <row r="712">
          <cell r="BD712" t="str">
            <v>.</v>
          </cell>
        </row>
        <row r="713">
          <cell r="BD713" t="str">
            <v>.</v>
          </cell>
        </row>
        <row r="714">
          <cell r="BD714" t="str">
            <v>.</v>
          </cell>
        </row>
        <row r="715">
          <cell r="BD715" t="str">
            <v>.</v>
          </cell>
        </row>
        <row r="716">
          <cell r="BD716" t="str">
            <v>.</v>
          </cell>
        </row>
        <row r="717">
          <cell r="BD717" t="str">
            <v>.</v>
          </cell>
        </row>
        <row r="718">
          <cell r="BD718" t="str">
            <v>.</v>
          </cell>
        </row>
        <row r="719">
          <cell r="BD719" t="str">
            <v>.</v>
          </cell>
        </row>
        <row r="720">
          <cell r="BD720" t="str">
            <v>.</v>
          </cell>
        </row>
        <row r="721">
          <cell r="BD721" t="str">
            <v>.</v>
          </cell>
        </row>
        <row r="722">
          <cell r="BD722" t="str">
            <v>.</v>
          </cell>
        </row>
        <row r="723">
          <cell r="BD723" t="str">
            <v>.</v>
          </cell>
        </row>
        <row r="724">
          <cell r="BD724" t="str">
            <v>.</v>
          </cell>
        </row>
        <row r="725">
          <cell r="BD725" t="str">
            <v>.</v>
          </cell>
        </row>
        <row r="726">
          <cell r="BD726" t="str">
            <v>.</v>
          </cell>
        </row>
        <row r="727">
          <cell r="BD727" t="str">
            <v>.</v>
          </cell>
        </row>
        <row r="728">
          <cell r="BD728" t="str">
            <v>.</v>
          </cell>
        </row>
        <row r="729">
          <cell r="BD729" t="str">
            <v>.</v>
          </cell>
        </row>
        <row r="730">
          <cell r="BD730" t="str">
            <v>.</v>
          </cell>
        </row>
        <row r="731">
          <cell r="BD731" t="str">
            <v>.</v>
          </cell>
        </row>
        <row r="732">
          <cell r="BD732" t="str">
            <v>.</v>
          </cell>
        </row>
        <row r="733">
          <cell r="BD733" t="str">
            <v>.</v>
          </cell>
        </row>
        <row r="734">
          <cell r="BD734" t="str">
            <v>.</v>
          </cell>
        </row>
        <row r="735">
          <cell r="BD735" t="str">
            <v>.</v>
          </cell>
        </row>
        <row r="736">
          <cell r="BD736" t="str">
            <v>.</v>
          </cell>
        </row>
        <row r="737">
          <cell r="BD737" t="str">
            <v>.</v>
          </cell>
        </row>
        <row r="738">
          <cell r="BD738" t="str">
            <v>.</v>
          </cell>
        </row>
        <row r="739">
          <cell r="BD739" t="str">
            <v>.</v>
          </cell>
        </row>
        <row r="740">
          <cell r="BD740" t="str">
            <v>.</v>
          </cell>
        </row>
        <row r="741">
          <cell r="BD741" t="str">
            <v>.</v>
          </cell>
        </row>
        <row r="742">
          <cell r="BD742" t="str">
            <v>.</v>
          </cell>
        </row>
        <row r="743">
          <cell r="BD743" t="str">
            <v>.</v>
          </cell>
        </row>
        <row r="744">
          <cell r="BD744" t="str">
            <v>.</v>
          </cell>
        </row>
        <row r="745">
          <cell r="BD745" t="str">
            <v>.</v>
          </cell>
        </row>
        <row r="746">
          <cell r="BD746" t="str">
            <v>.</v>
          </cell>
        </row>
        <row r="747">
          <cell r="BD747" t="str">
            <v>.</v>
          </cell>
        </row>
        <row r="748">
          <cell r="BD748" t="str">
            <v>.</v>
          </cell>
        </row>
        <row r="749">
          <cell r="BD749" t="str">
            <v>.</v>
          </cell>
        </row>
        <row r="750">
          <cell r="BD750" t="str">
            <v>.</v>
          </cell>
        </row>
        <row r="751">
          <cell r="BD751" t="str">
            <v>.</v>
          </cell>
        </row>
        <row r="752">
          <cell r="BD752" t="str">
            <v>.</v>
          </cell>
        </row>
        <row r="753">
          <cell r="BD753" t="str">
            <v>.</v>
          </cell>
        </row>
        <row r="754">
          <cell r="BD754" t="str">
            <v>.</v>
          </cell>
        </row>
        <row r="755">
          <cell r="BD755" t="str">
            <v>.</v>
          </cell>
        </row>
        <row r="756">
          <cell r="BD756" t="str">
            <v>.</v>
          </cell>
        </row>
        <row r="757">
          <cell r="BD757" t="str">
            <v>.</v>
          </cell>
        </row>
        <row r="758">
          <cell r="BD758" t="str">
            <v>.</v>
          </cell>
        </row>
        <row r="759">
          <cell r="BD759" t="str">
            <v>.</v>
          </cell>
        </row>
        <row r="760">
          <cell r="BD760" t="str">
            <v>.</v>
          </cell>
        </row>
        <row r="761">
          <cell r="BD761" t="str">
            <v>.</v>
          </cell>
        </row>
        <row r="762">
          <cell r="BD762" t="str">
            <v>.</v>
          </cell>
        </row>
        <row r="763">
          <cell r="BD763" t="str">
            <v>.</v>
          </cell>
        </row>
        <row r="764">
          <cell r="BD764" t="str">
            <v>.</v>
          </cell>
        </row>
        <row r="765">
          <cell r="BD765" t="str">
            <v>.</v>
          </cell>
        </row>
        <row r="766">
          <cell r="BD766" t="str">
            <v>.</v>
          </cell>
        </row>
        <row r="767">
          <cell r="BD767" t="str">
            <v>.</v>
          </cell>
        </row>
        <row r="768">
          <cell r="BD768" t="str">
            <v>.</v>
          </cell>
        </row>
        <row r="769">
          <cell r="BD769" t="str">
            <v>.</v>
          </cell>
        </row>
        <row r="770">
          <cell r="BD770" t="str">
            <v>.</v>
          </cell>
        </row>
        <row r="771">
          <cell r="BD771" t="str">
            <v>.</v>
          </cell>
        </row>
        <row r="772">
          <cell r="BD772" t="str">
            <v>.</v>
          </cell>
        </row>
        <row r="773">
          <cell r="BD773" t="str">
            <v>.</v>
          </cell>
        </row>
        <row r="774">
          <cell r="BD774" t="str">
            <v>.</v>
          </cell>
        </row>
        <row r="775">
          <cell r="BD775" t="str">
            <v>.</v>
          </cell>
        </row>
        <row r="776">
          <cell r="BD776" t="str">
            <v>.</v>
          </cell>
        </row>
        <row r="777">
          <cell r="BD777" t="str">
            <v>.</v>
          </cell>
        </row>
        <row r="778">
          <cell r="BD778" t="str">
            <v>.</v>
          </cell>
        </row>
        <row r="779">
          <cell r="BD779" t="str">
            <v>.</v>
          </cell>
        </row>
        <row r="780">
          <cell r="BD780" t="str">
            <v>.</v>
          </cell>
        </row>
        <row r="781">
          <cell r="BD781" t="str">
            <v>.</v>
          </cell>
        </row>
        <row r="782">
          <cell r="BD782" t="str">
            <v>.</v>
          </cell>
        </row>
        <row r="783">
          <cell r="BD783" t="str">
            <v>.</v>
          </cell>
        </row>
        <row r="784">
          <cell r="BD784" t="str">
            <v>.</v>
          </cell>
        </row>
        <row r="785">
          <cell r="BD785" t="str">
            <v>.</v>
          </cell>
        </row>
        <row r="786">
          <cell r="BD786" t="str">
            <v>.</v>
          </cell>
        </row>
        <row r="787">
          <cell r="BD787" t="str">
            <v>.</v>
          </cell>
        </row>
        <row r="788">
          <cell r="BD788" t="str">
            <v>.</v>
          </cell>
        </row>
        <row r="789">
          <cell r="BD789" t="str">
            <v>.</v>
          </cell>
        </row>
        <row r="790">
          <cell r="BD790" t="str">
            <v>.</v>
          </cell>
        </row>
        <row r="791">
          <cell r="BD791" t="str">
            <v>.</v>
          </cell>
        </row>
        <row r="792">
          <cell r="BD792" t="str">
            <v>.</v>
          </cell>
        </row>
        <row r="793">
          <cell r="BD793" t="str">
            <v>.</v>
          </cell>
        </row>
        <row r="794">
          <cell r="BD794" t="str">
            <v>.</v>
          </cell>
        </row>
        <row r="795">
          <cell r="BD795" t="str">
            <v>.</v>
          </cell>
        </row>
        <row r="796">
          <cell r="BD796" t="str">
            <v>.</v>
          </cell>
        </row>
        <row r="797">
          <cell r="BD797" t="str">
            <v>.</v>
          </cell>
        </row>
        <row r="798">
          <cell r="BD798" t="str">
            <v>.</v>
          </cell>
        </row>
        <row r="799">
          <cell r="BD799" t="str">
            <v>.</v>
          </cell>
        </row>
        <row r="800">
          <cell r="BD800" t="str">
            <v>.</v>
          </cell>
        </row>
        <row r="801">
          <cell r="BD801" t="str">
            <v>.</v>
          </cell>
        </row>
        <row r="802">
          <cell r="BD802" t="str">
            <v>.</v>
          </cell>
        </row>
        <row r="803">
          <cell r="BD803" t="str">
            <v>.</v>
          </cell>
        </row>
        <row r="804">
          <cell r="BD804" t="str">
            <v>.</v>
          </cell>
        </row>
        <row r="805">
          <cell r="BD805" t="str">
            <v>.</v>
          </cell>
        </row>
        <row r="806">
          <cell r="BD806" t="str">
            <v>.</v>
          </cell>
        </row>
        <row r="807">
          <cell r="BD807" t="str">
            <v>.</v>
          </cell>
        </row>
        <row r="808">
          <cell r="BD808" t="str">
            <v>.</v>
          </cell>
        </row>
        <row r="809">
          <cell r="BD809" t="str">
            <v>.</v>
          </cell>
        </row>
        <row r="810">
          <cell r="BD810" t="str">
            <v>.</v>
          </cell>
        </row>
        <row r="811">
          <cell r="BD811" t="str">
            <v>.</v>
          </cell>
        </row>
        <row r="812">
          <cell r="BD812" t="str">
            <v>.</v>
          </cell>
        </row>
        <row r="813">
          <cell r="BD813" t="str">
            <v>.</v>
          </cell>
        </row>
        <row r="814">
          <cell r="BD814" t="str">
            <v>.</v>
          </cell>
        </row>
        <row r="815">
          <cell r="BD815" t="str">
            <v>.</v>
          </cell>
        </row>
        <row r="816">
          <cell r="BD816" t="str">
            <v>.</v>
          </cell>
        </row>
        <row r="817">
          <cell r="BD817" t="str">
            <v>.</v>
          </cell>
        </row>
        <row r="818">
          <cell r="BD818" t="str">
            <v>.</v>
          </cell>
        </row>
        <row r="819">
          <cell r="BD819" t="str">
            <v>.</v>
          </cell>
        </row>
        <row r="820">
          <cell r="BD820" t="str">
            <v>.</v>
          </cell>
        </row>
        <row r="821">
          <cell r="BD821" t="str">
            <v>.</v>
          </cell>
        </row>
        <row r="822">
          <cell r="BD822" t="str">
            <v>.</v>
          </cell>
        </row>
        <row r="823">
          <cell r="BD823" t="str">
            <v>.</v>
          </cell>
        </row>
        <row r="824">
          <cell r="BD824" t="str">
            <v>.</v>
          </cell>
        </row>
        <row r="825">
          <cell r="BD825" t="str">
            <v>.</v>
          </cell>
        </row>
        <row r="826">
          <cell r="BD826" t="str">
            <v>.</v>
          </cell>
        </row>
        <row r="827">
          <cell r="BD827" t="str">
            <v>.</v>
          </cell>
        </row>
        <row r="828">
          <cell r="BD828" t="str">
            <v>.</v>
          </cell>
        </row>
        <row r="829">
          <cell r="BD829" t="str">
            <v>.</v>
          </cell>
        </row>
        <row r="830">
          <cell r="BD830" t="str">
            <v>.</v>
          </cell>
        </row>
        <row r="831">
          <cell r="BD831" t="str">
            <v>.</v>
          </cell>
        </row>
        <row r="832">
          <cell r="BD832" t="str">
            <v>.</v>
          </cell>
        </row>
        <row r="833">
          <cell r="BD833" t="str">
            <v>.</v>
          </cell>
        </row>
        <row r="834">
          <cell r="BD834" t="str">
            <v>.</v>
          </cell>
        </row>
        <row r="835">
          <cell r="BD835" t="str">
            <v>.</v>
          </cell>
        </row>
        <row r="836">
          <cell r="BD836" t="str">
            <v>.</v>
          </cell>
        </row>
        <row r="837">
          <cell r="BD837" t="str">
            <v>.</v>
          </cell>
        </row>
        <row r="838">
          <cell r="BD838" t="str">
            <v>.</v>
          </cell>
        </row>
        <row r="839">
          <cell r="BD839" t="str">
            <v>.</v>
          </cell>
        </row>
        <row r="840">
          <cell r="BD840" t="str">
            <v>.</v>
          </cell>
        </row>
        <row r="841">
          <cell r="BD841" t="str">
            <v>.</v>
          </cell>
        </row>
        <row r="842">
          <cell r="BD842" t="str">
            <v>.</v>
          </cell>
        </row>
        <row r="843">
          <cell r="BD843" t="str">
            <v>.</v>
          </cell>
        </row>
        <row r="844">
          <cell r="BD844" t="str">
            <v>.</v>
          </cell>
        </row>
        <row r="845">
          <cell r="BD845" t="str">
            <v>.</v>
          </cell>
        </row>
        <row r="846">
          <cell r="BD846" t="str">
            <v>.</v>
          </cell>
        </row>
        <row r="847">
          <cell r="BD847" t="str">
            <v>.</v>
          </cell>
        </row>
        <row r="848">
          <cell r="BD848" t="str">
            <v>.</v>
          </cell>
        </row>
        <row r="849">
          <cell r="BD849" t="str">
            <v>.</v>
          </cell>
        </row>
        <row r="850">
          <cell r="BD850" t="str">
            <v>.</v>
          </cell>
        </row>
        <row r="851">
          <cell r="BD851" t="str">
            <v>.</v>
          </cell>
        </row>
        <row r="852">
          <cell r="BD852" t="str">
            <v>.</v>
          </cell>
        </row>
        <row r="853">
          <cell r="BD853" t="str">
            <v>.</v>
          </cell>
        </row>
        <row r="854">
          <cell r="BD854" t="str">
            <v>.</v>
          </cell>
        </row>
        <row r="855">
          <cell r="BD855" t="str">
            <v>.</v>
          </cell>
        </row>
        <row r="856">
          <cell r="BD856" t="str">
            <v>.</v>
          </cell>
        </row>
        <row r="857">
          <cell r="BD857" t="str">
            <v>.</v>
          </cell>
        </row>
        <row r="858">
          <cell r="BD858" t="str">
            <v>.</v>
          </cell>
        </row>
        <row r="859">
          <cell r="BD859" t="str">
            <v>.</v>
          </cell>
        </row>
        <row r="860">
          <cell r="BD860" t="str">
            <v>.</v>
          </cell>
        </row>
        <row r="861">
          <cell r="BD861" t="str">
            <v>.</v>
          </cell>
        </row>
        <row r="862">
          <cell r="BD862" t="str">
            <v>.</v>
          </cell>
        </row>
        <row r="863">
          <cell r="BD863" t="str">
            <v>.</v>
          </cell>
        </row>
        <row r="864">
          <cell r="BD864" t="str">
            <v>.</v>
          </cell>
        </row>
        <row r="865">
          <cell r="BD865" t="str">
            <v>.</v>
          </cell>
        </row>
        <row r="866">
          <cell r="BD866" t="str">
            <v>.</v>
          </cell>
        </row>
        <row r="867">
          <cell r="BD867" t="str">
            <v>.</v>
          </cell>
        </row>
        <row r="868">
          <cell r="BD868" t="str">
            <v>.</v>
          </cell>
        </row>
        <row r="869">
          <cell r="BD869" t="str">
            <v>.</v>
          </cell>
        </row>
        <row r="870">
          <cell r="BD870" t="str">
            <v>.</v>
          </cell>
        </row>
        <row r="871">
          <cell r="BD871" t="str">
            <v>.</v>
          </cell>
        </row>
        <row r="872">
          <cell r="BD872" t="str">
            <v>.</v>
          </cell>
        </row>
        <row r="873">
          <cell r="BD873" t="str">
            <v>.</v>
          </cell>
        </row>
        <row r="874">
          <cell r="BD874" t="str">
            <v>.</v>
          </cell>
        </row>
        <row r="875">
          <cell r="BD875" t="str">
            <v>.</v>
          </cell>
        </row>
        <row r="876">
          <cell r="BD876" t="str">
            <v>.</v>
          </cell>
        </row>
        <row r="877">
          <cell r="BD877" t="str">
            <v>.</v>
          </cell>
        </row>
        <row r="878">
          <cell r="BD878" t="str">
            <v>.</v>
          </cell>
        </row>
        <row r="879">
          <cell r="BD879" t="str">
            <v>.</v>
          </cell>
        </row>
        <row r="880">
          <cell r="BD880" t="str">
            <v>.</v>
          </cell>
        </row>
        <row r="881">
          <cell r="BD881" t="str">
            <v>.</v>
          </cell>
        </row>
        <row r="882">
          <cell r="BD882" t="str">
            <v>.</v>
          </cell>
        </row>
        <row r="883">
          <cell r="BD883" t="str">
            <v>.</v>
          </cell>
        </row>
        <row r="884">
          <cell r="BD884" t="str">
            <v>.</v>
          </cell>
        </row>
        <row r="885">
          <cell r="BD885" t="str">
            <v>.</v>
          </cell>
        </row>
        <row r="886">
          <cell r="BD886" t="str">
            <v>.</v>
          </cell>
        </row>
        <row r="887">
          <cell r="BD887" t="str">
            <v>.</v>
          </cell>
        </row>
        <row r="888">
          <cell r="BD888" t="str">
            <v>.</v>
          </cell>
        </row>
        <row r="889">
          <cell r="BD889" t="str">
            <v>.</v>
          </cell>
        </row>
        <row r="890">
          <cell r="BD890" t="str">
            <v>.</v>
          </cell>
        </row>
        <row r="891">
          <cell r="BD891" t="str">
            <v>.</v>
          </cell>
        </row>
        <row r="892">
          <cell r="BD892" t="str">
            <v>.</v>
          </cell>
        </row>
        <row r="893">
          <cell r="BD893" t="str">
            <v>.</v>
          </cell>
        </row>
        <row r="894">
          <cell r="BD894" t="str">
            <v>.</v>
          </cell>
        </row>
        <row r="895">
          <cell r="BD895" t="str">
            <v>.</v>
          </cell>
        </row>
        <row r="896">
          <cell r="BD896" t="str">
            <v>.</v>
          </cell>
        </row>
        <row r="897">
          <cell r="BD897" t="str">
            <v>.</v>
          </cell>
        </row>
        <row r="898">
          <cell r="BD898" t="str">
            <v>.</v>
          </cell>
        </row>
        <row r="899">
          <cell r="BD899" t="str">
            <v>.</v>
          </cell>
        </row>
        <row r="900">
          <cell r="BD900" t="str">
            <v>.</v>
          </cell>
        </row>
        <row r="901">
          <cell r="BD901" t="str">
            <v>.</v>
          </cell>
        </row>
        <row r="902">
          <cell r="BD902" t="str">
            <v>.</v>
          </cell>
        </row>
        <row r="903">
          <cell r="BD903" t="str">
            <v>.</v>
          </cell>
        </row>
        <row r="904">
          <cell r="BD904" t="str">
            <v>.</v>
          </cell>
        </row>
        <row r="905">
          <cell r="BD905" t="str">
            <v>.</v>
          </cell>
        </row>
        <row r="906">
          <cell r="BD906" t="str">
            <v>.</v>
          </cell>
        </row>
        <row r="907">
          <cell r="BD907" t="str">
            <v>.</v>
          </cell>
        </row>
        <row r="908">
          <cell r="BD908" t="str">
            <v>.</v>
          </cell>
        </row>
        <row r="909">
          <cell r="BD909" t="str">
            <v>.</v>
          </cell>
        </row>
        <row r="910">
          <cell r="BD910" t="str">
            <v>.</v>
          </cell>
        </row>
        <row r="911">
          <cell r="BD911" t="str">
            <v>.</v>
          </cell>
        </row>
        <row r="912">
          <cell r="BD912" t="str">
            <v>.</v>
          </cell>
        </row>
        <row r="913">
          <cell r="BD913" t="str">
            <v>.</v>
          </cell>
        </row>
        <row r="914">
          <cell r="BD914" t="str">
            <v>.</v>
          </cell>
        </row>
        <row r="915">
          <cell r="BD915" t="str">
            <v>.</v>
          </cell>
        </row>
        <row r="916">
          <cell r="BD916" t="str">
            <v>.</v>
          </cell>
        </row>
        <row r="917">
          <cell r="BD917" t="str">
            <v>.</v>
          </cell>
        </row>
        <row r="918">
          <cell r="BD918" t="str">
            <v>.</v>
          </cell>
        </row>
        <row r="919">
          <cell r="BD919" t="str">
            <v>.</v>
          </cell>
        </row>
        <row r="920">
          <cell r="BD920" t="str">
            <v>.</v>
          </cell>
        </row>
        <row r="921">
          <cell r="BD921" t="str">
            <v>.</v>
          </cell>
        </row>
        <row r="922">
          <cell r="BD922" t="str">
            <v>.</v>
          </cell>
        </row>
        <row r="923">
          <cell r="BD923" t="str">
            <v>.</v>
          </cell>
        </row>
        <row r="924">
          <cell r="BD924" t="str">
            <v>.</v>
          </cell>
        </row>
        <row r="925">
          <cell r="BD925" t="str">
            <v>.</v>
          </cell>
        </row>
        <row r="926">
          <cell r="BD926" t="str">
            <v>.</v>
          </cell>
        </row>
        <row r="927">
          <cell r="BD927" t="str">
            <v>.</v>
          </cell>
        </row>
        <row r="928">
          <cell r="BD928" t="str">
            <v>.</v>
          </cell>
        </row>
        <row r="929">
          <cell r="BD929" t="str">
            <v>.</v>
          </cell>
        </row>
        <row r="930">
          <cell r="BD930" t="str">
            <v>.</v>
          </cell>
        </row>
        <row r="931">
          <cell r="BD931" t="str">
            <v>.</v>
          </cell>
        </row>
        <row r="932">
          <cell r="BD932" t="str">
            <v>.</v>
          </cell>
        </row>
        <row r="933">
          <cell r="BD933" t="str">
            <v>.</v>
          </cell>
        </row>
        <row r="934">
          <cell r="BD934" t="str">
            <v>.</v>
          </cell>
        </row>
        <row r="935">
          <cell r="BD935" t="str">
            <v>.</v>
          </cell>
        </row>
        <row r="936">
          <cell r="BD936" t="str">
            <v>.</v>
          </cell>
        </row>
        <row r="937">
          <cell r="BD937" t="str">
            <v>.</v>
          </cell>
        </row>
        <row r="938">
          <cell r="BD938" t="str">
            <v>.</v>
          </cell>
        </row>
        <row r="939">
          <cell r="BD939" t="str">
            <v>.</v>
          </cell>
        </row>
        <row r="940">
          <cell r="BD940" t="str">
            <v>.</v>
          </cell>
        </row>
        <row r="941">
          <cell r="BD941" t="str">
            <v>.</v>
          </cell>
        </row>
        <row r="942">
          <cell r="BD942" t="str">
            <v>.</v>
          </cell>
        </row>
        <row r="943">
          <cell r="BD943" t="str">
            <v>.</v>
          </cell>
        </row>
        <row r="944">
          <cell r="BD944" t="str">
            <v>.</v>
          </cell>
        </row>
        <row r="945">
          <cell r="BD945" t="str">
            <v>.</v>
          </cell>
        </row>
        <row r="946">
          <cell r="BD946" t="str">
            <v>.</v>
          </cell>
        </row>
        <row r="947">
          <cell r="BD947" t="str">
            <v>.</v>
          </cell>
        </row>
        <row r="948">
          <cell r="BD948" t="str">
            <v>.</v>
          </cell>
        </row>
        <row r="949">
          <cell r="BD949" t="str">
            <v>.</v>
          </cell>
        </row>
        <row r="950">
          <cell r="BD950" t="str">
            <v>.</v>
          </cell>
        </row>
        <row r="951">
          <cell r="BD951" t="str">
            <v>.</v>
          </cell>
        </row>
        <row r="952">
          <cell r="BD952" t="str">
            <v>.</v>
          </cell>
        </row>
        <row r="953">
          <cell r="BD953" t="str">
            <v>.</v>
          </cell>
        </row>
        <row r="954">
          <cell r="BD954" t="str">
            <v>.</v>
          </cell>
        </row>
        <row r="955">
          <cell r="BD955" t="str">
            <v>.</v>
          </cell>
        </row>
        <row r="956">
          <cell r="BD956" t="str">
            <v>.</v>
          </cell>
        </row>
        <row r="957">
          <cell r="BD957" t="str">
            <v>.</v>
          </cell>
        </row>
        <row r="958">
          <cell r="BD958" t="str">
            <v>.</v>
          </cell>
        </row>
        <row r="959">
          <cell r="BD959" t="str">
            <v>.</v>
          </cell>
        </row>
        <row r="960">
          <cell r="BD960" t="str">
            <v>.</v>
          </cell>
        </row>
        <row r="961">
          <cell r="BD961" t="str">
            <v>.</v>
          </cell>
        </row>
        <row r="962">
          <cell r="BD962" t="str">
            <v>.</v>
          </cell>
        </row>
        <row r="963">
          <cell r="BD963" t="str">
            <v>.</v>
          </cell>
        </row>
        <row r="964">
          <cell r="BD964" t="str">
            <v>.</v>
          </cell>
        </row>
        <row r="965">
          <cell r="BD965" t="str">
            <v>.</v>
          </cell>
        </row>
        <row r="966">
          <cell r="BD966" t="str">
            <v>.</v>
          </cell>
        </row>
        <row r="967">
          <cell r="BD967" t="str">
            <v>.</v>
          </cell>
        </row>
        <row r="968">
          <cell r="BD968" t="str">
            <v>.</v>
          </cell>
        </row>
        <row r="969">
          <cell r="BD969" t="str">
            <v>.</v>
          </cell>
        </row>
        <row r="970">
          <cell r="BD970" t="str">
            <v>.</v>
          </cell>
        </row>
        <row r="971">
          <cell r="BD971" t="str">
            <v>.</v>
          </cell>
        </row>
        <row r="972">
          <cell r="BD972" t="str">
            <v>.</v>
          </cell>
        </row>
        <row r="973">
          <cell r="BD973" t="str">
            <v>.</v>
          </cell>
        </row>
        <row r="974">
          <cell r="BD974" t="str">
            <v>.</v>
          </cell>
        </row>
        <row r="975">
          <cell r="BD975" t="str">
            <v>.</v>
          </cell>
        </row>
        <row r="976">
          <cell r="BD976" t="str">
            <v>.</v>
          </cell>
        </row>
        <row r="977">
          <cell r="BD977" t="str">
            <v>.</v>
          </cell>
        </row>
        <row r="978">
          <cell r="BD978" t="str">
            <v>.</v>
          </cell>
        </row>
        <row r="979">
          <cell r="BD979" t="str">
            <v>.</v>
          </cell>
        </row>
        <row r="980">
          <cell r="BD980" t="str">
            <v>.</v>
          </cell>
        </row>
        <row r="981">
          <cell r="BD981" t="str">
            <v>.</v>
          </cell>
        </row>
        <row r="982">
          <cell r="BD982" t="str">
            <v>.</v>
          </cell>
        </row>
        <row r="983">
          <cell r="BD983" t="str">
            <v>.</v>
          </cell>
        </row>
        <row r="984">
          <cell r="BD984" t="str">
            <v>.</v>
          </cell>
        </row>
        <row r="985">
          <cell r="BD985" t="str">
            <v>.</v>
          </cell>
        </row>
        <row r="986">
          <cell r="BD986" t="str">
            <v>.</v>
          </cell>
        </row>
        <row r="987">
          <cell r="BD987" t="str">
            <v>.</v>
          </cell>
        </row>
        <row r="988">
          <cell r="BD988" t="str">
            <v>.</v>
          </cell>
        </row>
        <row r="989">
          <cell r="BD989" t="str">
            <v>.</v>
          </cell>
        </row>
        <row r="990">
          <cell r="BD990" t="str">
            <v>.</v>
          </cell>
        </row>
        <row r="991">
          <cell r="BD991" t="str">
            <v>.</v>
          </cell>
        </row>
        <row r="992">
          <cell r="BD992" t="str">
            <v>.</v>
          </cell>
        </row>
        <row r="993">
          <cell r="BD993" t="str">
            <v>.</v>
          </cell>
        </row>
        <row r="994">
          <cell r="BD994" t="str">
            <v>.</v>
          </cell>
        </row>
        <row r="995">
          <cell r="BD995" t="str">
            <v>.</v>
          </cell>
        </row>
        <row r="996">
          <cell r="BD996" t="str">
            <v>.</v>
          </cell>
        </row>
        <row r="997">
          <cell r="A997" t="str">
            <v>.</v>
          </cell>
          <cell r="B997" t="str">
            <v>.</v>
          </cell>
          <cell r="C997" t="str">
            <v>.</v>
          </cell>
          <cell r="D997" t="str">
            <v>.</v>
          </cell>
          <cell r="E997" t="str">
            <v>.</v>
          </cell>
          <cell r="F997" t="str">
            <v>.</v>
          </cell>
          <cell r="G997" t="str">
            <v>.</v>
          </cell>
          <cell r="H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cell r="BC997" t="str">
            <v>.</v>
          </cell>
          <cell r="BD997" t="str">
            <v>.</v>
          </cell>
        </row>
      </sheetData>
      <sheetData sheetId="25" refreshError="1">
        <row r="1">
          <cell r="U1" t="str">
            <v>SmartCharts</v>
          </cell>
          <cell r="BD1" t="str">
            <v>.</v>
          </cell>
        </row>
        <row r="2">
          <cell r="BD2" t="str">
            <v>.</v>
          </cell>
        </row>
        <row r="3">
          <cell r="BD3" t="str">
            <v>.</v>
          </cell>
        </row>
        <row r="4">
          <cell r="BD4" t="str">
            <v>.</v>
          </cell>
        </row>
        <row r="5">
          <cell r="C5" t="str">
            <v>Define value axis here:</v>
          </cell>
        </row>
        <row r="6">
          <cell r="C6" t="str">
            <v>Eli Lilly YOY revenue change 2010E-2015E</v>
          </cell>
        </row>
        <row r="10">
          <cell r="C10" t="str">
            <v>Input your data here:</v>
          </cell>
          <cell r="BD10" t="str">
            <v>.</v>
          </cell>
        </row>
        <row r="11">
          <cell r="C11" t="str">
            <v>Sales ($M)</v>
          </cell>
          <cell r="D11" t="str">
            <v>2011E</v>
          </cell>
          <cell r="E11" t="str">
            <v>2012E</v>
          </cell>
          <cell r="F11" t="str">
            <v>2013E</v>
          </cell>
          <cell r="G11" t="str">
            <v>2014E</v>
          </cell>
          <cell r="H11" t="str">
            <v>2015E</v>
          </cell>
          <cell r="BC11" t="str">
            <v>.</v>
          </cell>
        </row>
        <row r="12">
          <cell r="C12" t="str">
            <v>In-line products</v>
          </cell>
          <cell r="D12">
            <v>680.47624304999954</v>
          </cell>
          <cell r="E12">
            <v>486.26563373899808</v>
          </cell>
          <cell r="F12">
            <v>392.20336252127527</v>
          </cell>
          <cell r="G12">
            <v>408.45276247114634</v>
          </cell>
          <cell r="H12">
            <v>281.70162648130463</v>
          </cell>
          <cell r="BC12" t="str">
            <v>.</v>
          </cell>
        </row>
        <row r="13">
          <cell r="A13" t="str">
            <v>.</v>
          </cell>
          <cell r="C13" t="str">
            <v>Pipeline products launching 2010–2015</v>
          </cell>
          <cell r="D13">
            <v>190.9375</v>
          </cell>
          <cell r="E13">
            <v>310.83749999999986</v>
          </cell>
          <cell r="F13">
            <v>545.88500000000022</v>
          </cell>
          <cell r="G13">
            <v>871.89729999999986</v>
          </cell>
          <cell r="H13">
            <v>1191.6988575</v>
          </cell>
          <cell r="BC13" t="str">
            <v>.</v>
          </cell>
        </row>
        <row r="14">
          <cell r="C14" t="str">
            <v>Products expiring 2010–2015</v>
          </cell>
          <cell r="D14">
            <v>-371.49615019999874</v>
          </cell>
          <cell r="E14">
            <v>-2226.0126789459991</v>
          </cell>
          <cell r="F14">
            <v>-713.0858879557818</v>
          </cell>
          <cell r="G14">
            <v>-2566.7028729389294</v>
          </cell>
          <cell r="H14">
            <v>-2382.3369144914741</v>
          </cell>
          <cell r="BC14" t="str">
            <v>.</v>
          </cell>
        </row>
        <row r="15">
          <cell r="C15" t="str">
            <v>Net YOY change</v>
          </cell>
          <cell r="D15">
            <v>499.9175928500008</v>
          </cell>
          <cell r="E15">
            <v>-1428.9095452069996</v>
          </cell>
          <cell r="F15">
            <v>225.00247456549187</v>
          </cell>
          <cell r="G15">
            <v>-1286.3528104677825</v>
          </cell>
          <cell r="H15">
            <v>-908.93643051016988</v>
          </cell>
          <cell r="BC15" t="str">
            <v>.</v>
          </cell>
        </row>
        <row r="16">
          <cell r="BC16" t="str">
            <v>.</v>
          </cell>
        </row>
        <row r="17">
          <cell r="BD17" t="str">
            <v>.</v>
          </cell>
        </row>
        <row r="18">
          <cell r="BD18" t="str">
            <v>.</v>
          </cell>
        </row>
        <row r="20">
          <cell r="BD20" t="str">
            <v>.</v>
          </cell>
        </row>
        <row r="21">
          <cell r="BD21" t="str">
            <v>.</v>
          </cell>
        </row>
        <row r="22">
          <cell r="BD22" t="str">
            <v>.</v>
          </cell>
        </row>
        <row r="23">
          <cell r="BD23" t="str">
            <v>.</v>
          </cell>
        </row>
        <row r="24">
          <cell r="BD24" t="str">
            <v>.</v>
          </cell>
        </row>
        <row r="25">
          <cell r="BD25" t="str">
            <v>.</v>
          </cell>
        </row>
        <row r="26">
          <cell r="BD26" t="str">
            <v>.</v>
          </cell>
        </row>
        <row r="27">
          <cell r="BD27" t="str">
            <v>.</v>
          </cell>
        </row>
        <row r="28">
          <cell r="BD28" t="str">
            <v>.</v>
          </cell>
        </row>
        <row r="29">
          <cell r="BD29" t="str">
            <v>.</v>
          </cell>
        </row>
        <row r="30">
          <cell r="BD30" t="str">
            <v>.</v>
          </cell>
        </row>
        <row r="31">
          <cell r="BD31" t="str">
            <v>.</v>
          </cell>
        </row>
        <row r="32">
          <cell r="BD32" t="str">
            <v>.</v>
          </cell>
        </row>
        <row r="33">
          <cell r="BD33" t="str">
            <v>.</v>
          </cell>
        </row>
        <row r="34">
          <cell r="BD34" t="str">
            <v>.</v>
          </cell>
        </row>
        <row r="35">
          <cell r="BD35" t="str">
            <v>.</v>
          </cell>
        </row>
        <row r="36">
          <cell r="BD36" t="str">
            <v>.</v>
          </cell>
        </row>
        <row r="37">
          <cell r="M37" t="str">
            <v>Do not change the width of the exhibit or font sizes (they are optimized for export to Word).</v>
          </cell>
          <cell r="BD37" t="str">
            <v>.</v>
          </cell>
        </row>
        <row r="38">
          <cell r="BD38" t="str">
            <v>.</v>
          </cell>
        </row>
        <row r="39">
          <cell r="M39" t="str">
            <v>Do not delete any rows or columns (some gray cells are used for calculations).</v>
          </cell>
          <cell r="BD39" t="str">
            <v>.</v>
          </cell>
        </row>
        <row r="40">
          <cell r="BD40" t="str">
            <v>.</v>
          </cell>
        </row>
        <row r="41">
          <cell r="BD41" t="str">
            <v>.</v>
          </cell>
        </row>
        <row r="42">
          <cell r="BD42" t="str">
            <v>.</v>
          </cell>
        </row>
        <row r="43">
          <cell r="BD43" t="str">
            <v>.</v>
          </cell>
        </row>
        <row r="44">
          <cell r="BD44" t="str">
            <v>.</v>
          </cell>
        </row>
        <row r="45">
          <cell r="BD45" t="str">
            <v>.</v>
          </cell>
        </row>
        <row r="46">
          <cell r="BD46" t="str">
            <v>.</v>
          </cell>
        </row>
        <row r="47">
          <cell r="BD47" t="str">
            <v>.</v>
          </cell>
        </row>
        <row r="48">
          <cell r="BD48" t="str">
            <v>.</v>
          </cell>
        </row>
        <row r="49">
          <cell r="BD49" t="str">
            <v>.</v>
          </cell>
        </row>
        <row r="50">
          <cell r="BD50" t="str">
            <v>.</v>
          </cell>
        </row>
        <row r="51">
          <cell r="BD51" t="str">
            <v>.</v>
          </cell>
        </row>
        <row r="52">
          <cell r="BD52" t="str">
            <v>.</v>
          </cell>
        </row>
        <row r="53">
          <cell r="BD53" t="str">
            <v>.</v>
          </cell>
        </row>
        <row r="54">
          <cell r="BD54" t="str">
            <v>.</v>
          </cell>
        </row>
        <row r="55">
          <cell r="BD55" t="str">
            <v>.</v>
          </cell>
        </row>
        <row r="56">
          <cell r="BD56" t="str">
            <v>.</v>
          </cell>
        </row>
        <row r="57">
          <cell r="BD57" t="str">
            <v>.</v>
          </cell>
        </row>
        <row r="58">
          <cell r="BD58" t="str">
            <v>.</v>
          </cell>
        </row>
        <row r="59">
          <cell r="BD59" t="str">
            <v>.</v>
          </cell>
        </row>
        <row r="60">
          <cell r="BD60" t="str">
            <v>.</v>
          </cell>
        </row>
        <row r="61">
          <cell r="BD61" t="str">
            <v>.</v>
          </cell>
        </row>
        <row r="62">
          <cell r="BD62" t="str">
            <v>.</v>
          </cell>
        </row>
        <row r="63">
          <cell r="BD63" t="str">
            <v>.</v>
          </cell>
        </row>
        <row r="64">
          <cell r="BD64" t="str">
            <v>.</v>
          </cell>
        </row>
        <row r="65">
          <cell r="BD65" t="str">
            <v>.</v>
          </cell>
        </row>
        <row r="66">
          <cell r="BD66" t="str">
            <v>.</v>
          </cell>
        </row>
        <row r="67">
          <cell r="BD67" t="str">
            <v>.</v>
          </cell>
        </row>
        <row r="68">
          <cell r="BD68" t="str">
            <v>.</v>
          </cell>
        </row>
        <row r="69">
          <cell r="BD69" t="str">
            <v>.</v>
          </cell>
        </row>
        <row r="70">
          <cell r="BD70" t="str">
            <v>.</v>
          </cell>
        </row>
        <row r="71">
          <cell r="BD71" t="str">
            <v>.</v>
          </cell>
        </row>
        <row r="72">
          <cell r="BD72" t="str">
            <v>.</v>
          </cell>
        </row>
        <row r="73">
          <cell r="BD73" t="str">
            <v>.</v>
          </cell>
        </row>
        <row r="74">
          <cell r="BD74" t="str">
            <v>.</v>
          </cell>
        </row>
        <row r="75">
          <cell r="BD75" t="str">
            <v>.</v>
          </cell>
        </row>
        <row r="76">
          <cell r="BD76" t="str">
            <v>.</v>
          </cell>
        </row>
        <row r="77">
          <cell r="BD77" t="str">
            <v>.</v>
          </cell>
        </row>
        <row r="78">
          <cell r="BD78" t="str">
            <v>.</v>
          </cell>
        </row>
        <row r="79">
          <cell r="BD79" t="str">
            <v>.</v>
          </cell>
        </row>
        <row r="80">
          <cell r="BD80" t="str">
            <v>.</v>
          </cell>
        </row>
        <row r="81">
          <cell r="BD81" t="str">
            <v>.</v>
          </cell>
        </row>
        <row r="82">
          <cell r="BD82" t="str">
            <v>.</v>
          </cell>
        </row>
        <row r="83">
          <cell r="BD83" t="str">
            <v>.</v>
          </cell>
        </row>
        <row r="84">
          <cell r="BD84" t="str">
            <v>.</v>
          </cell>
        </row>
        <row r="85">
          <cell r="BD85" t="str">
            <v>.</v>
          </cell>
        </row>
        <row r="86">
          <cell r="BD86" t="str">
            <v>.</v>
          </cell>
        </row>
        <row r="87">
          <cell r="BD87" t="str">
            <v>.</v>
          </cell>
        </row>
        <row r="88">
          <cell r="BD88" t="str">
            <v>.</v>
          </cell>
        </row>
        <row r="89">
          <cell r="BD89" t="str">
            <v>.</v>
          </cell>
        </row>
        <row r="90">
          <cell r="BD90" t="str">
            <v>.</v>
          </cell>
        </row>
        <row r="91">
          <cell r="BD91" t="str">
            <v>.</v>
          </cell>
        </row>
        <row r="92">
          <cell r="BD92" t="str">
            <v>.</v>
          </cell>
        </row>
        <row r="93">
          <cell r="BD93" t="str">
            <v>.</v>
          </cell>
        </row>
        <row r="94">
          <cell r="BD94" t="str">
            <v>.</v>
          </cell>
        </row>
        <row r="95">
          <cell r="BD95" t="str">
            <v>.</v>
          </cell>
        </row>
        <row r="96">
          <cell r="BD96" t="str">
            <v>.</v>
          </cell>
        </row>
        <row r="97">
          <cell r="BD97" t="str">
            <v>.</v>
          </cell>
        </row>
        <row r="98">
          <cell r="BD98" t="str">
            <v>.</v>
          </cell>
        </row>
        <row r="99">
          <cell r="BD99" t="str">
            <v>.</v>
          </cell>
        </row>
        <row r="100">
          <cell r="BD100" t="str">
            <v>.</v>
          </cell>
        </row>
        <row r="101">
          <cell r="BD101" t="str">
            <v>.</v>
          </cell>
        </row>
        <row r="102">
          <cell r="BD102" t="str">
            <v>.</v>
          </cell>
        </row>
        <row r="103">
          <cell r="BD103" t="str">
            <v>.</v>
          </cell>
        </row>
        <row r="104">
          <cell r="BD104" t="str">
            <v>.</v>
          </cell>
        </row>
        <row r="105">
          <cell r="BD105" t="str">
            <v>.</v>
          </cell>
        </row>
        <row r="106">
          <cell r="BD106" t="str">
            <v>.</v>
          </cell>
        </row>
        <row r="107">
          <cell r="BD107" t="str">
            <v>.</v>
          </cell>
        </row>
        <row r="108">
          <cell r="BD108" t="str">
            <v>.</v>
          </cell>
        </row>
        <row r="109">
          <cell r="BD109" t="str">
            <v>.</v>
          </cell>
        </row>
        <row r="110">
          <cell r="BD110" t="str">
            <v>.</v>
          </cell>
        </row>
        <row r="111">
          <cell r="BD111" t="str">
            <v>.</v>
          </cell>
        </row>
        <row r="112">
          <cell r="BD112" t="str">
            <v>.</v>
          </cell>
        </row>
        <row r="113">
          <cell r="BD113" t="str">
            <v>.</v>
          </cell>
        </row>
        <row r="114">
          <cell r="BD114" t="str">
            <v>.</v>
          </cell>
        </row>
        <row r="115">
          <cell r="BD115" t="str">
            <v>.</v>
          </cell>
        </row>
        <row r="116">
          <cell r="BD116" t="str">
            <v>.</v>
          </cell>
        </row>
        <row r="117">
          <cell r="BD117" t="str">
            <v>.</v>
          </cell>
        </row>
        <row r="118">
          <cell r="BD118" t="str">
            <v>.</v>
          </cell>
        </row>
        <row r="119">
          <cell r="BD119" t="str">
            <v>.</v>
          </cell>
        </row>
        <row r="120">
          <cell r="BD120" t="str">
            <v>.</v>
          </cell>
        </row>
        <row r="121">
          <cell r="BD121" t="str">
            <v>.</v>
          </cell>
        </row>
        <row r="122">
          <cell r="BD122" t="str">
            <v>.</v>
          </cell>
        </row>
        <row r="123">
          <cell r="BD123" t="str">
            <v>.</v>
          </cell>
        </row>
        <row r="124">
          <cell r="BD124" t="str">
            <v>.</v>
          </cell>
        </row>
        <row r="125">
          <cell r="BD125" t="str">
            <v>.</v>
          </cell>
        </row>
        <row r="126">
          <cell r="BD126" t="str">
            <v>.</v>
          </cell>
        </row>
        <row r="127">
          <cell r="BD127" t="str">
            <v>.</v>
          </cell>
        </row>
        <row r="128">
          <cell r="BD128" t="str">
            <v>.</v>
          </cell>
        </row>
        <row r="129">
          <cell r="BD129" t="str">
            <v>.</v>
          </cell>
        </row>
        <row r="130">
          <cell r="BD130" t="str">
            <v>.</v>
          </cell>
        </row>
        <row r="131">
          <cell r="BD131" t="str">
            <v>.</v>
          </cell>
        </row>
        <row r="132">
          <cell r="BD132" t="str">
            <v>.</v>
          </cell>
        </row>
        <row r="133">
          <cell r="BD133" t="str">
            <v>.</v>
          </cell>
        </row>
        <row r="134">
          <cell r="BD134" t="str">
            <v>.</v>
          </cell>
        </row>
        <row r="135">
          <cell r="BD135" t="str">
            <v>.</v>
          </cell>
        </row>
        <row r="136">
          <cell r="BD136" t="str">
            <v>.</v>
          </cell>
        </row>
        <row r="137">
          <cell r="BD137" t="str">
            <v>.</v>
          </cell>
        </row>
        <row r="138">
          <cell r="BD138" t="str">
            <v>.</v>
          </cell>
        </row>
        <row r="139">
          <cell r="BD139" t="str">
            <v>.</v>
          </cell>
        </row>
        <row r="140">
          <cell r="BD140" t="str">
            <v>.</v>
          </cell>
        </row>
        <row r="141">
          <cell r="BD141" t="str">
            <v>.</v>
          </cell>
        </row>
        <row r="142">
          <cell r="BD142" t="str">
            <v>.</v>
          </cell>
        </row>
        <row r="143">
          <cell r="BD143" t="str">
            <v>.</v>
          </cell>
        </row>
        <row r="144">
          <cell r="BD144" t="str">
            <v>.</v>
          </cell>
        </row>
        <row r="145">
          <cell r="BD145" t="str">
            <v>.</v>
          </cell>
        </row>
        <row r="146">
          <cell r="BD146" t="str">
            <v>.</v>
          </cell>
        </row>
        <row r="147">
          <cell r="BD147" t="str">
            <v>.</v>
          </cell>
        </row>
        <row r="148">
          <cell r="BD148" t="str">
            <v>.</v>
          </cell>
        </row>
        <row r="149">
          <cell r="BD149" t="str">
            <v>.</v>
          </cell>
        </row>
        <row r="150">
          <cell r="BD150" t="str">
            <v>.</v>
          </cell>
        </row>
        <row r="151">
          <cell r="BD151" t="str">
            <v>.</v>
          </cell>
        </row>
        <row r="152">
          <cell r="BD152" t="str">
            <v>.</v>
          </cell>
        </row>
        <row r="153">
          <cell r="BD153" t="str">
            <v>.</v>
          </cell>
        </row>
        <row r="154">
          <cell r="BD154" t="str">
            <v>.</v>
          </cell>
        </row>
        <row r="155">
          <cell r="BD155" t="str">
            <v>.</v>
          </cell>
        </row>
        <row r="156">
          <cell r="BD156" t="str">
            <v>.</v>
          </cell>
        </row>
        <row r="157">
          <cell r="BD157" t="str">
            <v>.</v>
          </cell>
        </row>
        <row r="158">
          <cell r="BD158" t="str">
            <v>.</v>
          </cell>
        </row>
        <row r="159">
          <cell r="BD159" t="str">
            <v>.</v>
          </cell>
        </row>
        <row r="160">
          <cell r="BD160" t="str">
            <v>.</v>
          </cell>
        </row>
        <row r="161">
          <cell r="BD161" t="str">
            <v>.</v>
          </cell>
        </row>
        <row r="162">
          <cell r="BD162" t="str">
            <v>.</v>
          </cell>
        </row>
        <row r="163">
          <cell r="BD163" t="str">
            <v>.</v>
          </cell>
        </row>
        <row r="164">
          <cell r="BD164" t="str">
            <v>.</v>
          </cell>
        </row>
        <row r="165">
          <cell r="BD165" t="str">
            <v>.</v>
          </cell>
        </row>
        <row r="166">
          <cell r="BD166" t="str">
            <v>.</v>
          </cell>
        </row>
        <row r="167">
          <cell r="BD167" t="str">
            <v>.</v>
          </cell>
        </row>
        <row r="168">
          <cell r="BD168" t="str">
            <v>.</v>
          </cell>
        </row>
        <row r="169">
          <cell r="BD169" t="str">
            <v>.</v>
          </cell>
        </row>
        <row r="170">
          <cell r="BD170" t="str">
            <v>.</v>
          </cell>
        </row>
        <row r="171">
          <cell r="BD171" t="str">
            <v>.</v>
          </cell>
        </row>
        <row r="172">
          <cell r="BD172" t="str">
            <v>.</v>
          </cell>
        </row>
        <row r="173">
          <cell r="BD173" t="str">
            <v>.</v>
          </cell>
        </row>
        <row r="174">
          <cell r="BD174" t="str">
            <v>.</v>
          </cell>
        </row>
        <row r="175">
          <cell r="BD175" t="str">
            <v>.</v>
          </cell>
        </row>
        <row r="176">
          <cell r="BD176" t="str">
            <v>.</v>
          </cell>
        </row>
        <row r="177">
          <cell r="BD177" t="str">
            <v>.</v>
          </cell>
        </row>
        <row r="178">
          <cell r="BD178" t="str">
            <v>.</v>
          </cell>
        </row>
        <row r="179">
          <cell r="BD179" t="str">
            <v>.</v>
          </cell>
        </row>
        <row r="180">
          <cell r="BD180" t="str">
            <v>.</v>
          </cell>
        </row>
        <row r="181">
          <cell r="BD181" t="str">
            <v>.</v>
          </cell>
        </row>
        <row r="182">
          <cell r="BD182" t="str">
            <v>.</v>
          </cell>
        </row>
        <row r="183">
          <cell r="BD183" t="str">
            <v>.</v>
          </cell>
        </row>
        <row r="184">
          <cell r="BD184" t="str">
            <v>.</v>
          </cell>
        </row>
        <row r="185">
          <cell r="BD185" t="str">
            <v>.</v>
          </cell>
        </row>
        <row r="186">
          <cell r="BD186" t="str">
            <v>.</v>
          </cell>
        </row>
        <row r="187">
          <cell r="BD187" t="str">
            <v>.</v>
          </cell>
        </row>
        <row r="188">
          <cell r="BD188" t="str">
            <v>.</v>
          </cell>
        </row>
        <row r="189">
          <cell r="BD189" t="str">
            <v>.</v>
          </cell>
        </row>
        <row r="190">
          <cell r="BD190" t="str">
            <v>.</v>
          </cell>
        </row>
        <row r="191">
          <cell r="BD191" t="str">
            <v>.</v>
          </cell>
        </row>
        <row r="192">
          <cell r="BD192" t="str">
            <v>.</v>
          </cell>
        </row>
        <row r="193">
          <cell r="BD193" t="str">
            <v>.</v>
          </cell>
        </row>
        <row r="194">
          <cell r="BD194" t="str">
            <v>.</v>
          </cell>
        </row>
        <row r="195">
          <cell r="BD195" t="str">
            <v>.</v>
          </cell>
        </row>
        <row r="196">
          <cell r="BD196" t="str">
            <v>.</v>
          </cell>
        </row>
        <row r="197">
          <cell r="BD197" t="str">
            <v>.</v>
          </cell>
        </row>
        <row r="198">
          <cell r="BD198" t="str">
            <v>.</v>
          </cell>
        </row>
        <row r="199">
          <cell r="BD199" t="str">
            <v>.</v>
          </cell>
        </row>
        <row r="200">
          <cell r="BD200" t="str">
            <v>.</v>
          </cell>
        </row>
        <row r="201">
          <cell r="BD201" t="str">
            <v>.</v>
          </cell>
        </row>
        <row r="202">
          <cell r="BD202" t="str">
            <v>.</v>
          </cell>
        </row>
        <row r="203">
          <cell r="BD203" t="str">
            <v>.</v>
          </cell>
        </row>
        <row r="204">
          <cell r="BD204" t="str">
            <v>.</v>
          </cell>
        </row>
        <row r="205">
          <cell r="BD205" t="str">
            <v>.</v>
          </cell>
        </row>
        <row r="206">
          <cell r="BD206" t="str">
            <v>.</v>
          </cell>
        </row>
        <row r="207">
          <cell r="BD207" t="str">
            <v>.</v>
          </cell>
        </row>
        <row r="208">
          <cell r="BD208" t="str">
            <v>.</v>
          </cell>
        </row>
        <row r="209">
          <cell r="BD209" t="str">
            <v>.</v>
          </cell>
        </row>
        <row r="210">
          <cell r="BD210" t="str">
            <v>.</v>
          </cell>
        </row>
        <row r="211">
          <cell r="BD211" t="str">
            <v>.</v>
          </cell>
        </row>
        <row r="212">
          <cell r="BD212" t="str">
            <v>.</v>
          </cell>
        </row>
        <row r="213">
          <cell r="BD213" t="str">
            <v>.</v>
          </cell>
        </row>
        <row r="214">
          <cell r="BD214" t="str">
            <v>.</v>
          </cell>
        </row>
        <row r="215">
          <cell r="BD215" t="str">
            <v>.</v>
          </cell>
        </row>
        <row r="216">
          <cell r="BD216" t="str">
            <v>.</v>
          </cell>
        </row>
        <row r="217">
          <cell r="BD217" t="str">
            <v>.</v>
          </cell>
        </row>
        <row r="218">
          <cell r="BD218" t="str">
            <v>.</v>
          </cell>
        </row>
        <row r="219">
          <cell r="BD219" t="str">
            <v>.</v>
          </cell>
        </row>
        <row r="220">
          <cell r="BD220" t="str">
            <v>.</v>
          </cell>
        </row>
        <row r="221">
          <cell r="BD221" t="str">
            <v>.</v>
          </cell>
        </row>
        <row r="222">
          <cell r="BD222" t="str">
            <v>.</v>
          </cell>
        </row>
        <row r="223">
          <cell r="BD223" t="str">
            <v>.</v>
          </cell>
        </row>
        <row r="224">
          <cell r="BD224" t="str">
            <v>.</v>
          </cell>
        </row>
        <row r="225">
          <cell r="BD225" t="str">
            <v>.</v>
          </cell>
        </row>
        <row r="226">
          <cell r="BD226" t="str">
            <v>.</v>
          </cell>
        </row>
        <row r="227">
          <cell r="BD227" t="str">
            <v>.</v>
          </cell>
        </row>
        <row r="228">
          <cell r="BD228" t="str">
            <v>.</v>
          </cell>
        </row>
        <row r="229">
          <cell r="BD229" t="str">
            <v>.</v>
          </cell>
        </row>
        <row r="230">
          <cell r="BD230" t="str">
            <v>.</v>
          </cell>
        </row>
        <row r="231">
          <cell r="BD231" t="str">
            <v>.</v>
          </cell>
        </row>
        <row r="232">
          <cell r="BD232" t="str">
            <v>.</v>
          </cell>
        </row>
        <row r="233">
          <cell r="BD233" t="str">
            <v>.</v>
          </cell>
        </row>
        <row r="234">
          <cell r="BD234" t="str">
            <v>.</v>
          </cell>
        </row>
        <row r="235">
          <cell r="BD235" t="str">
            <v>.</v>
          </cell>
        </row>
        <row r="236">
          <cell r="BD236" t="str">
            <v>.</v>
          </cell>
        </row>
        <row r="237">
          <cell r="BD237" t="str">
            <v>.</v>
          </cell>
        </row>
        <row r="238">
          <cell r="BD238" t="str">
            <v>.</v>
          </cell>
        </row>
        <row r="239">
          <cell r="BD239" t="str">
            <v>.</v>
          </cell>
        </row>
        <row r="240">
          <cell r="BD240" t="str">
            <v>.</v>
          </cell>
        </row>
        <row r="241">
          <cell r="BD241" t="str">
            <v>.</v>
          </cell>
        </row>
        <row r="242">
          <cell r="BD242" t="str">
            <v>.</v>
          </cell>
        </row>
        <row r="243">
          <cell r="BD243" t="str">
            <v>.</v>
          </cell>
        </row>
        <row r="244">
          <cell r="BD244" t="str">
            <v>.</v>
          </cell>
        </row>
        <row r="245">
          <cell r="BD245" t="str">
            <v>.</v>
          </cell>
        </row>
        <row r="246">
          <cell r="BD246" t="str">
            <v>.</v>
          </cell>
        </row>
        <row r="247">
          <cell r="BD247" t="str">
            <v>.</v>
          </cell>
        </row>
        <row r="248">
          <cell r="BD248" t="str">
            <v>.</v>
          </cell>
        </row>
        <row r="249">
          <cell r="BD249" t="str">
            <v>.</v>
          </cell>
        </row>
        <row r="250">
          <cell r="BD250" t="str">
            <v>.</v>
          </cell>
        </row>
        <row r="251">
          <cell r="BD251" t="str">
            <v>.</v>
          </cell>
        </row>
        <row r="252">
          <cell r="BD252" t="str">
            <v>.</v>
          </cell>
        </row>
        <row r="253">
          <cell r="BD253" t="str">
            <v>.</v>
          </cell>
        </row>
        <row r="254">
          <cell r="BD254" t="str">
            <v>.</v>
          </cell>
        </row>
        <row r="255">
          <cell r="BD255" t="str">
            <v>.</v>
          </cell>
        </row>
        <row r="256">
          <cell r="BD256" t="str">
            <v>.</v>
          </cell>
        </row>
        <row r="257">
          <cell r="BD257" t="str">
            <v>.</v>
          </cell>
        </row>
        <row r="258">
          <cell r="BD258" t="str">
            <v>.</v>
          </cell>
        </row>
        <row r="259">
          <cell r="BD259" t="str">
            <v>.</v>
          </cell>
        </row>
        <row r="260">
          <cell r="BD260" t="str">
            <v>.</v>
          </cell>
        </row>
        <row r="261">
          <cell r="BD261" t="str">
            <v>.</v>
          </cell>
        </row>
        <row r="262">
          <cell r="BD262" t="str">
            <v>.</v>
          </cell>
        </row>
        <row r="263">
          <cell r="BD263" t="str">
            <v>.</v>
          </cell>
        </row>
        <row r="264">
          <cell r="BD264" t="str">
            <v>.</v>
          </cell>
        </row>
        <row r="265">
          <cell r="BD265" t="str">
            <v>.</v>
          </cell>
        </row>
        <row r="266">
          <cell r="BD266" t="str">
            <v>.</v>
          </cell>
        </row>
        <row r="267">
          <cell r="BD267" t="str">
            <v>.</v>
          </cell>
        </row>
        <row r="268">
          <cell r="BD268" t="str">
            <v>.</v>
          </cell>
        </row>
        <row r="269">
          <cell r="BD269" t="str">
            <v>.</v>
          </cell>
        </row>
        <row r="270">
          <cell r="BD270" t="str">
            <v>.</v>
          </cell>
        </row>
        <row r="271">
          <cell r="BD271" t="str">
            <v>.</v>
          </cell>
        </row>
        <row r="272">
          <cell r="BD272" t="str">
            <v>.</v>
          </cell>
        </row>
        <row r="273">
          <cell r="BD273" t="str">
            <v>.</v>
          </cell>
        </row>
        <row r="274">
          <cell r="BD274" t="str">
            <v>.</v>
          </cell>
        </row>
        <row r="275">
          <cell r="BD275" t="str">
            <v>.</v>
          </cell>
        </row>
        <row r="276">
          <cell r="BD276" t="str">
            <v>.</v>
          </cell>
        </row>
        <row r="277">
          <cell r="BD277" t="str">
            <v>.</v>
          </cell>
        </row>
        <row r="278">
          <cell r="BD278" t="str">
            <v>.</v>
          </cell>
        </row>
        <row r="279">
          <cell r="BD279" t="str">
            <v>.</v>
          </cell>
        </row>
        <row r="280">
          <cell r="BD280" t="str">
            <v>.</v>
          </cell>
        </row>
        <row r="281">
          <cell r="BD281" t="str">
            <v>.</v>
          </cell>
        </row>
        <row r="282">
          <cell r="BD282" t="str">
            <v>.</v>
          </cell>
        </row>
        <row r="283">
          <cell r="BD283" t="str">
            <v>.</v>
          </cell>
        </row>
        <row r="284">
          <cell r="BD284" t="str">
            <v>.</v>
          </cell>
        </row>
        <row r="285">
          <cell r="BD285" t="str">
            <v>.</v>
          </cell>
        </row>
        <row r="286">
          <cell r="BD286" t="str">
            <v>.</v>
          </cell>
        </row>
        <row r="287">
          <cell r="BD287" t="str">
            <v>.</v>
          </cell>
        </row>
        <row r="288">
          <cell r="BD288" t="str">
            <v>.</v>
          </cell>
        </row>
        <row r="289">
          <cell r="BD289" t="str">
            <v>.</v>
          </cell>
        </row>
        <row r="290">
          <cell r="BD290" t="str">
            <v>.</v>
          </cell>
        </row>
        <row r="291">
          <cell r="BD291" t="str">
            <v>.</v>
          </cell>
        </row>
        <row r="292">
          <cell r="BD292" t="str">
            <v>.</v>
          </cell>
        </row>
        <row r="293">
          <cell r="BD293" t="str">
            <v>.</v>
          </cell>
        </row>
        <row r="294">
          <cell r="BD294" t="str">
            <v>.</v>
          </cell>
        </row>
        <row r="295">
          <cell r="BD295" t="str">
            <v>.</v>
          </cell>
        </row>
        <row r="296">
          <cell r="BD296" t="str">
            <v>.</v>
          </cell>
        </row>
        <row r="297">
          <cell r="BD297" t="str">
            <v>.</v>
          </cell>
        </row>
        <row r="298">
          <cell r="BD298" t="str">
            <v>.</v>
          </cell>
        </row>
        <row r="299">
          <cell r="BD299" t="str">
            <v>.</v>
          </cell>
        </row>
        <row r="300">
          <cell r="BD300" t="str">
            <v>.</v>
          </cell>
        </row>
        <row r="301">
          <cell r="BD301" t="str">
            <v>.</v>
          </cell>
        </row>
        <row r="302">
          <cell r="BD302" t="str">
            <v>.</v>
          </cell>
        </row>
        <row r="303">
          <cell r="BD303" t="str">
            <v>.</v>
          </cell>
        </row>
        <row r="304">
          <cell r="BD304" t="str">
            <v>.</v>
          </cell>
        </row>
        <row r="305">
          <cell r="BD305" t="str">
            <v>.</v>
          </cell>
        </row>
        <row r="306">
          <cell r="BD306" t="str">
            <v>.</v>
          </cell>
        </row>
        <row r="307">
          <cell r="BD307" t="str">
            <v>.</v>
          </cell>
        </row>
        <row r="308">
          <cell r="BD308" t="str">
            <v>.</v>
          </cell>
        </row>
        <row r="309">
          <cell r="BD309" t="str">
            <v>.</v>
          </cell>
        </row>
        <row r="310">
          <cell r="BD310" t="str">
            <v>.</v>
          </cell>
        </row>
        <row r="311">
          <cell r="BD311" t="str">
            <v>.</v>
          </cell>
        </row>
        <row r="312">
          <cell r="BD312" t="str">
            <v>.</v>
          </cell>
        </row>
        <row r="313">
          <cell r="BD313" t="str">
            <v>.</v>
          </cell>
        </row>
        <row r="314">
          <cell r="BD314" t="str">
            <v>.</v>
          </cell>
        </row>
        <row r="315">
          <cell r="BD315" t="str">
            <v>.</v>
          </cell>
        </row>
        <row r="316">
          <cell r="BD316" t="str">
            <v>.</v>
          </cell>
        </row>
        <row r="317">
          <cell r="BD317" t="str">
            <v>.</v>
          </cell>
        </row>
        <row r="318">
          <cell r="BD318" t="str">
            <v>.</v>
          </cell>
        </row>
        <row r="319">
          <cell r="BD319" t="str">
            <v>.</v>
          </cell>
        </row>
        <row r="320">
          <cell r="BD320" t="str">
            <v>.</v>
          </cell>
        </row>
        <row r="321">
          <cell r="BD321" t="str">
            <v>.</v>
          </cell>
        </row>
        <row r="322">
          <cell r="BD322" t="str">
            <v>.</v>
          </cell>
        </row>
        <row r="323">
          <cell r="BD323" t="str">
            <v>.</v>
          </cell>
        </row>
        <row r="324">
          <cell r="BD324" t="str">
            <v>.</v>
          </cell>
        </row>
        <row r="325">
          <cell r="BD325" t="str">
            <v>.</v>
          </cell>
        </row>
        <row r="326">
          <cell r="BD326" t="str">
            <v>.</v>
          </cell>
        </row>
        <row r="327">
          <cell r="BD327" t="str">
            <v>.</v>
          </cell>
        </row>
        <row r="328">
          <cell r="BD328" t="str">
            <v>.</v>
          </cell>
        </row>
        <row r="329">
          <cell r="BD329" t="str">
            <v>.</v>
          </cell>
        </row>
        <row r="330">
          <cell r="BD330" t="str">
            <v>.</v>
          </cell>
        </row>
        <row r="331">
          <cell r="BD331" t="str">
            <v>.</v>
          </cell>
        </row>
        <row r="332">
          <cell r="BD332" t="str">
            <v>.</v>
          </cell>
        </row>
        <row r="333">
          <cell r="BD333" t="str">
            <v>.</v>
          </cell>
        </row>
        <row r="334">
          <cell r="BD334" t="str">
            <v>.</v>
          </cell>
        </row>
        <row r="335">
          <cell r="BD335" t="str">
            <v>.</v>
          </cell>
        </row>
        <row r="336">
          <cell r="BD336" t="str">
            <v>.</v>
          </cell>
        </row>
        <row r="337">
          <cell r="BD337" t="str">
            <v>.</v>
          </cell>
        </row>
        <row r="338">
          <cell r="BD338" t="str">
            <v>.</v>
          </cell>
        </row>
        <row r="339">
          <cell r="BD339" t="str">
            <v>.</v>
          </cell>
        </row>
        <row r="340">
          <cell r="BD340" t="str">
            <v>.</v>
          </cell>
        </row>
        <row r="341">
          <cell r="BD341" t="str">
            <v>.</v>
          </cell>
        </row>
        <row r="342">
          <cell r="BD342" t="str">
            <v>.</v>
          </cell>
        </row>
        <row r="343">
          <cell r="BD343" t="str">
            <v>.</v>
          </cell>
        </row>
        <row r="344">
          <cell r="BD344" t="str">
            <v>.</v>
          </cell>
        </row>
        <row r="345">
          <cell r="BD345" t="str">
            <v>.</v>
          </cell>
        </row>
        <row r="346">
          <cell r="BD346" t="str">
            <v>.</v>
          </cell>
        </row>
        <row r="347">
          <cell r="BD347" t="str">
            <v>.</v>
          </cell>
        </row>
        <row r="348">
          <cell r="BD348" t="str">
            <v>.</v>
          </cell>
        </row>
        <row r="349">
          <cell r="BD349" t="str">
            <v>.</v>
          </cell>
        </row>
        <row r="350">
          <cell r="BD350" t="str">
            <v>.</v>
          </cell>
        </row>
        <row r="351">
          <cell r="BD351" t="str">
            <v>.</v>
          </cell>
        </row>
        <row r="352">
          <cell r="BD352" t="str">
            <v>.</v>
          </cell>
        </row>
        <row r="353">
          <cell r="BD353" t="str">
            <v>.</v>
          </cell>
        </row>
        <row r="354">
          <cell r="BD354" t="str">
            <v>.</v>
          </cell>
        </row>
        <row r="355">
          <cell r="BD355" t="str">
            <v>.</v>
          </cell>
        </row>
        <row r="356">
          <cell r="BD356" t="str">
            <v>.</v>
          </cell>
        </row>
        <row r="357">
          <cell r="BD357" t="str">
            <v>.</v>
          </cell>
        </row>
        <row r="358">
          <cell r="BD358" t="str">
            <v>.</v>
          </cell>
        </row>
        <row r="359">
          <cell r="BD359" t="str">
            <v>.</v>
          </cell>
        </row>
        <row r="360">
          <cell r="BD360" t="str">
            <v>.</v>
          </cell>
        </row>
        <row r="361">
          <cell r="BD361" t="str">
            <v>.</v>
          </cell>
        </row>
        <row r="362">
          <cell r="BD362" t="str">
            <v>.</v>
          </cell>
        </row>
        <row r="363">
          <cell r="BD363" t="str">
            <v>.</v>
          </cell>
        </row>
        <row r="364">
          <cell r="BD364" t="str">
            <v>.</v>
          </cell>
        </row>
        <row r="365">
          <cell r="BD365" t="str">
            <v>.</v>
          </cell>
        </row>
        <row r="366">
          <cell r="BD366" t="str">
            <v>.</v>
          </cell>
        </row>
        <row r="367">
          <cell r="BD367" t="str">
            <v>.</v>
          </cell>
        </row>
        <row r="368">
          <cell r="BD368" t="str">
            <v>.</v>
          </cell>
        </row>
        <row r="369">
          <cell r="BD369" t="str">
            <v>.</v>
          </cell>
        </row>
        <row r="370">
          <cell r="BD370" t="str">
            <v>.</v>
          </cell>
        </row>
        <row r="371">
          <cell r="BD371" t="str">
            <v>.</v>
          </cell>
        </row>
        <row r="372">
          <cell r="BD372" t="str">
            <v>.</v>
          </cell>
        </row>
        <row r="373">
          <cell r="BD373" t="str">
            <v>.</v>
          </cell>
        </row>
        <row r="374">
          <cell r="BD374" t="str">
            <v>.</v>
          </cell>
        </row>
        <row r="375">
          <cell r="BD375" t="str">
            <v>.</v>
          </cell>
        </row>
        <row r="376">
          <cell r="BD376" t="str">
            <v>.</v>
          </cell>
        </row>
        <row r="377">
          <cell r="BD377" t="str">
            <v>.</v>
          </cell>
        </row>
        <row r="378">
          <cell r="BD378" t="str">
            <v>.</v>
          </cell>
        </row>
        <row r="379">
          <cell r="BD379" t="str">
            <v>.</v>
          </cell>
        </row>
        <row r="380">
          <cell r="BD380" t="str">
            <v>.</v>
          </cell>
        </row>
        <row r="381">
          <cell r="BD381" t="str">
            <v>.</v>
          </cell>
        </row>
        <row r="382">
          <cell r="BD382" t="str">
            <v>.</v>
          </cell>
        </row>
        <row r="383">
          <cell r="BD383" t="str">
            <v>.</v>
          </cell>
        </row>
        <row r="384">
          <cell r="BD384" t="str">
            <v>.</v>
          </cell>
        </row>
        <row r="385">
          <cell r="BD385" t="str">
            <v>.</v>
          </cell>
        </row>
        <row r="386">
          <cell r="BD386" t="str">
            <v>.</v>
          </cell>
        </row>
        <row r="387">
          <cell r="BD387" t="str">
            <v>.</v>
          </cell>
        </row>
        <row r="388">
          <cell r="BD388" t="str">
            <v>.</v>
          </cell>
        </row>
        <row r="389">
          <cell r="BD389" t="str">
            <v>.</v>
          </cell>
        </row>
        <row r="390">
          <cell r="BD390" t="str">
            <v>.</v>
          </cell>
        </row>
        <row r="391">
          <cell r="BD391" t="str">
            <v>.</v>
          </cell>
        </row>
        <row r="392">
          <cell r="BD392" t="str">
            <v>.</v>
          </cell>
        </row>
        <row r="393">
          <cell r="BD393" t="str">
            <v>.</v>
          </cell>
        </row>
        <row r="394">
          <cell r="BD394" t="str">
            <v>.</v>
          </cell>
        </row>
        <row r="395">
          <cell r="BD395" t="str">
            <v>.</v>
          </cell>
        </row>
        <row r="396">
          <cell r="BD396" t="str">
            <v>.</v>
          </cell>
        </row>
        <row r="397">
          <cell r="BD397" t="str">
            <v>.</v>
          </cell>
        </row>
        <row r="398">
          <cell r="BD398" t="str">
            <v>.</v>
          </cell>
        </row>
        <row r="399">
          <cell r="BD399" t="str">
            <v>.</v>
          </cell>
        </row>
        <row r="400">
          <cell r="BD400" t="str">
            <v>.</v>
          </cell>
        </row>
        <row r="401">
          <cell r="BD401" t="str">
            <v>.</v>
          </cell>
        </row>
        <row r="402">
          <cell r="BD402" t="str">
            <v>.</v>
          </cell>
        </row>
        <row r="403">
          <cell r="BD403" t="str">
            <v>.</v>
          </cell>
        </row>
        <row r="404">
          <cell r="BD404" t="str">
            <v>.</v>
          </cell>
        </row>
        <row r="405">
          <cell r="BD405" t="str">
            <v>.</v>
          </cell>
        </row>
        <row r="406">
          <cell r="BD406" t="str">
            <v>.</v>
          </cell>
        </row>
        <row r="407">
          <cell r="BD407" t="str">
            <v>.</v>
          </cell>
        </row>
        <row r="408">
          <cell r="BD408" t="str">
            <v>.</v>
          </cell>
        </row>
        <row r="409">
          <cell r="BD409" t="str">
            <v>.</v>
          </cell>
        </row>
        <row r="410">
          <cell r="BD410" t="str">
            <v>.</v>
          </cell>
        </row>
        <row r="411">
          <cell r="BD411" t="str">
            <v>.</v>
          </cell>
        </row>
        <row r="412">
          <cell r="BD412" t="str">
            <v>.</v>
          </cell>
        </row>
        <row r="413">
          <cell r="BD413" t="str">
            <v>.</v>
          </cell>
        </row>
        <row r="414">
          <cell r="BD414" t="str">
            <v>.</v>
          </cell>
        </row>
        <row r="415">
          <cell r="BD415" t="str">
            <v>.</v>
          </cell>
        </row>
        <row r="416">
          <cell r="BD416" t="str">
            <v>.</v>
          </cell>
        </row>
        <row r="417">
          <cell r="BD417" t="str">
            <v>.</v>
          </cell>
        </row>
        <row r="418">
          <cell r="BD418" t="str">
            <v>.</v>
          </cell>
        </row>
        <row r="419">
          <cell r="BD419" t="str">
            <v>.</v>
          </cell>
        </row>
        <row r="420">
          <cell r="BD420" t="str">
            <v>.</v>
          </cell>
        </row>
        <row r="421">
          <cell r="BD421" t="str">
            <v>.</v>
          </cell>
        </row>
        <row r="422">
          <cell r="BD422" t="str">
            <v>.</v>
          </cell>
        </row>
        <row r="423">
          <cell r="BD423" t="str">
            <v>.</v>
          </cell>
        </row>
        <row r="424">
          <cell r="BD424" t="str">
            <v>.</v>
          </cell>
        </row>
        <row r="425">
          <cell r="BD425" t="str">
            <v>.</v>
          </cell>
        </row>
        <row r="426">
          <cell r="BD426" t="str">
            <v>.</v>
          </cell>
        </row>
        <row r="427">
          <cell r="BD427" t="str">
            <v>.</v>
          </cell>
        </row>
        <row r="428">
          <cell r="BD428" t="str">
            <v>.</v>
          </cell>
        </row>
        <row r="429">
          <cell r="BD429" t="str">
            <v>.</v>
          </cell>
        </row>
        <row r="430">
          <cell r="BD430" t="str">
            <v>.</v>
          </cell>
        </row>
        <row r="431">
          <cell r="BD431" t="str">
            <v>.</v>
          </cell>
        </row>
        <row r="432">
          <cell r="BD432" t="str">
            <v>.</v>
          </cell>
        </row>
        <row r="433">
          <cell r="BD433" t="str">
            <v>.</v>
          </cell>
        </row>
        <row r="434">
          <cell r="BD434" t="str">
            <v>.</v>
          </cell>
        </row>
        <row r="435">
          <cell r="BD435" t="str">
            <v>.</v>
          </cell>
        </row>
        <row r="436">
          <cell r="BD436" t="str">
            <v>.</v>
          </cell>
        </row>
        <row r="437">
          <cell r="BD437" t="str">
            <v>.</v>
          </cell>
        </row>
        <row r="438">
          <cell r="BD438" t="str">
            <v>.</v>
          </cell>
        </row>
        <row r="439">
          <cell r="BD439" t="str">
            <v>.</v>
          </cell>
        </row>
        <row r="440">
          <cell r="BD440" t="str">
            <v>.</v>
          </cell>
        </row>
        <row r="441">
          <cell r="BD441" t="str">
            <v>.</v>
          </cell>
        </row>
        <row r="442">
          <cell r="BD442" t="str">
            <v>.</v>
          </cell>
        </row>
        <row r="443">
          <cell r="BD443" t="str">
            <v>.</v>
          </cell>
        </row>
        <row r="444">
          <cell r="BD444" t="str">
            <v>.</v>
          </cell>
        </row>
        <row r="445">
          <cell r="BD445" t="str">
            <v>.</v>
          </cell>
        </row>
        <row r="446">
          <cell r="BD446" t="str">
            <v>.</v>
          </cell>
        </row>
        <row r="447">
          <cell r="BD447" t="str">
            <v>.</v>
          </cell>
        </row>
        <row r="448">
          <cell r="BD448" t="str">
            <v>.</v>
          </cell>
        </row>
        <row r="449">
          <cell r="BD449" t="str">
            <v>.</v>
          </cell>
        </row>
        <row r="450">
          <cell r="BD450" t="str">
            <v>.</v>
          </cell>
        </row>
        <row r="451">
          <cell r="BD451" t="str">
            <v>.</v>
          </cell>
        </row>
        <row r="452">
          <cell r="BD452" t="str">
            <v>.</v>
          </cell>
        </row>
        <row r="453">
          <cell r="BD453" t="str">
            <v>.</v>
          </cell>
        </row>
        <row r="454">
          <cell r="BD454" t="str">
            <v>.</v>
          </cell>
        </row>
        <row r="455">
          <cell r="BD455" t="str">
            <v>.</v>
          </cell>
        </row>
        <row r="456">
          <cell r="BD456" t="str">
            <v>.</v>
          </cell>
        </row>
        <row r="457">
          <cell r="BD457" t="str">
            <v>.</v>
          </cell>
        </row>
        <row r="458">
          <cell r="BD458" t="str">
            <v>.</v>
          </cell>
        </row>
        <row r="459">
          <cell r="BD459" t="str">
            <v>.</v>
          </cell>
        </row>
        <row r="460">
          <cell r="BD460" t="str">
            <v>.</v>
          </cell>
        </row>
        <row r="461">
          <cell r="BD461" t="str">
            <v>.</v>
          </cell>
        </row>
        <row r="462">
          <cell r="BD462" t="str">
            <v>.</v>
          </cell>
        </row>
        <row r="463">
          <cell r="BD463" t="str">
            <v>.</v>
          </cell>
        </row>
        <row r="464">
          <cell r="BD464" t="str">
            <v>.</v>
          </cell>
        </row>
        <row r="465">
          <cell r="BD465" t="str">
            <v>.</v>
          </cell>
        </row>
        <row r="466">
          <cell r="BD466" t="str">
            <v>.</v>
          </cell>
        </row>
        <row r="467">
          <cell r="BD467" t="str">
            <v>.</v>
          </cell>
        </row>
        <row r="468">
          <cell r="BD468" t="str">
            <v>.</v>
          </cell>
        </row>
        <row r="469">
          <cell r="BD469" t="str">
            <v>.</v>
          </cell>
        </row>
        <row r="470">
          <cell r="BD470" t="str">
            <v>.</v>
          </cell>
        </row>
        <row r="471">
          <cell r="BD471" t="str">
            <v>.</v>
          </cell>
        </row>
        <row r="472">
          <cell r="BD472" t="str">
            <v>.</v>
          </cell>
        </row>
        <row r="473">
          <cell r="BD473" t="str">
            <v>.</v>
          </cell>
        </row>
        <row r="474">
          <cell r="BD474" t="str">
            <v>.</v>
          </cell>
        </row>
        <row r="475">
          <cell r="BD475" t="str">
            <v>.</v>
          </cell>
        </row>
        <row r="476">
          <cell r="BD476" t="str">
            <v>.</v>
          </cell>
        </row>
        <row r="477">
          <cell r="BD477" t="str">
            <v>.</v>
          </cell>
        </row>
        <row r="478">
          <cell r="BD478" t="str">
            <v>.</v>
          </cell>
        </row>
        <row r="479">
          <cell r="BD479" t="str">
            <v>.</v>
          </cell>
        </row>
        <row r="480">
          <cell r="BD480" t="str">
            <v>.</v>
          </cell>
        </row>
        <row r="481">
          <cell r="BD481" t="str">
            <v>.</v>
          </cell>
        </row>
        <row r="482">
          <cell r="BD482" t="str">
            <v>.</v>
          </cell>
        </row>
        <row r="483">
          <cell r="BD483" t="str">
            <v>.</v>
          </cell>
        </row>
        <row r="484">
          <cell r="BD484" t="str">
            <v>.</v>
          </cell>
        </row>
        <row r="485">
          <cell r="BD485" t="str">
            <v>.</v>
          </cell>
        </row>
        <row r="486">
          <cell r="BD486" t="str">
            <v>.</v>
          </cell>
        </row>
        <row r="487">
          <cell r="BD487" t="str">
            <v>.</v>
          </cell>
        </row>
        <row r="488">
          <cell r="BD488" t="str">
            <v>.</v>
          </cell>
        </row>
        <row r="489">
          <cell r="BD489" t="str">
            <v>.</v>
          </cell>
        </row>
        <row r="490">
          <cell r="BD490" t="str">
            <v>.</v>
          </cell>
        </row>
        <row r="491">
          <cell r="BD491" t="str">
            <v>.</v>
          </cell>
        </row>
        <row r="492">
          <cell r="BD492" t="str">
            <v>.</v>
          </cell>
        </row>
        <row r="493">
          <cell r="BD493" t="str">
            <v>.</v>
          </cell>
        </row>
        <row r="494">
          <cell r="BD494" t="str">
            <v>.</v>
          </cell>
        </row>
        <row r="495">
          <cell r="BD495" t="str">
            <v>.</v>
          </cell>
        </row>
        <row r="496">
          <cell r="BD496" t="str">
            <v>.</v>
          </cell>
        </row>
        <row r="497">
          <cell r="BD497" t="str">
            <v>.</v>
          </cell>
        </row>
        <row r="498">
          <cell r="BD498" t="str">
            <v>.</v>
          </cell>
        </row>
        <row r="499">
          <cell r="BD499" t="str">
            <v>.</v>
          </cell>
        </row>
        <row r="500">
          <cell r="BD500" t="str">
            <v>.</v>
          </cell>
        </row>
        <row r="501">
          <cell r="BD501" t="str">
            <v>.</v>
          </cell>
        </row>
        <row r="502">
          <cell r="BD502" t="str">
            <v>.</v>
          </cell>
        </row>
        <row r="503">
          <cell r="BD503" t="str">
            <v>.</v>
          </cell>
        </row>
        <row r="504">
          <cell r="BD504" t="str">
            <v>.</v>
          </cell>
        </row>
        <row r="505">
          <cell r="BD505" t="str">
            <v>.</v>
          </cell>
        </row>
        <row r="506">
          <cell r="BD506" t="str">
            <v>.</v>
          </cell>
        </row>
        <row r="507">
          <cell r="BD507" t="str">
            <v>.</v>
          </cell>
        </row>
        <row r="508">
          <cell r="BD508" t="str">
            <v>.</v>
          </cell>
        </row>
        <row r="509">
          <cell r="BD509" t="str">
            <v>.</v>
          </cell>
        </row>
        <row r="510">
          <cell r="BD510" t="str">
            <v>.</v>
          </cell>
        </row>
        <row r="511">
          <cell r="BD511" t="str">
            <v>.</v>
          </cell>
        </row>
        <row r="512">
          <cell r="BD512" t="str">
            <v>.</v>
          </cell>
        </row>
        <row r="513">
          <cell r="BD513" t="str">
            <v>.</v>
          </cell>
        </row>
        <row r="514">
          <cell r="BD514" t="str">
            <v>.</v>
          </cell>
        </row>
        <row r="515">
          <cell r="BD515" t="str">
            <v>.</v>
          </cell>
        </row>
        <row r="516">
          <cell r="BD516" t="str">
            <v>.</v>
          </cell>
        </row>
        <row r="517">
          <cell r="BD517" t="str">
            <v>.</v>
          </cell>
        </row>
        <row r="518">
          <cell r="BD518" t="str">
            <v>.</v>
          </cell>
        </row>
        <row r="519">
          <cell r="BD519" t="str">
            <v>.</v>
          </cell>
        </row>
        <row r="520">
          <cell r="BD520" t="str">
            <v>.</v>
          </cell>
        </row>
        <row r="521">
          <cell r="BD521" t="str">
            <v>.</v>
          </cell>
        </row>
        <row r="522">
          <cell r="BD522" t="str">
            <v>.</v>
          </cell>
        </row>
        <row r="523">
          <cell r="BD523" t="str">
            <v>.</v>
          </cell>
        </row>
        <row r="524">
          <cell r="BD524" t="str">
            <v>.</v>
          </cell>
        </row>
        <row r="525">
          <cell r="BD525" t="str">
            <v>.</v>
          </cell>
        </row>
        <row r="526">
          <cell r="BD526" t="str">
            <v>.</v>
          </cell>
        </row>
        <row r="527">
          <cell r="BD527" t="str">
            <v>.</v>
          </cell>
        </row>
        <row r="528">
          <cell r="BD528" t="str">
            <v>.</v>
          </cell>
        </row>
        <row r="529">
          <cell r="BD529" t="str">
            <v>.</v>
          </cell>
        </row>
        <row r="530">
          <cell r="BD530" t="str">
            <v>.</v>
          </cell>
        </row>
        <row r="531">
          <cell r="BD531" t="str">
            <v>.</v>
          </cell>
        </row>
        <row r="532">
          <cell r="BD532" t="str">
            <v>.</v>
          </cell>
        </row>
        <row r="533">
          <cell r="BD533" t="str">
            <v>.</v>
          </cell>
        </row>
        <row r="534">
          <cell r="BD534" t="str">
            <v>.</v>
          </cell>
        </row>
        <row r="535">
          <cell r="BD535" t="str">
            <v>.</v>
          </cell>
        </row>
        <row r="536">
          <cell r="BD536" t="str">
            <v>.</v>
          </cell>
        </row>
        <row r="537">
          <cell r="BD537" t="str">
            <v>.</v>
          </cell>
        </row>
        <row r="538">
          <cell r="BD538" t="str">
            <v>.</v>
          </cell>
        </row>
        <row r="539">
          <cell r="BD539" t="str">
            <v>.</v>
          </cell>
        </row>
        <row r="540">
          <cell r="BD540" t="str">
            <v>.</v>
          </cell>
        </row>
        <row r="541">
          <cell r="BD541" t="str">
            <v>.</v>
          </cell>
        </row>
        <row r="542">
          <cell r="BD542" t="str">
            <v>.</v>
          </cell>
        </row>
        <row r="543">
          <cell r="BD543" t="str">
            <v>.</v>
          </cell>
        </row>
        <row r="544">
          <cell r="BD544" t="str">
            <v>.</v>
          </cell>
        </row>
        <row r="545">
          <cell r="BD545" t="str">
            <v>.</v>
          </cell>
        </row>
        <row r="546">
          <cell r="BD546" t="str">
            <v>.</v>
          </cell>
        </row>
        <row r="547">
          <cell r="BD547" t="str">
            <v>.</v>
          </cell>
        </row>
        <row r="548">
          <cell r="BD548" t="str">
            <v>.</v>
          </cell>
        </row>
        <row r="549">
          <cell r="BD549" t="str">
            <v>.</v>
          </cell>
        </row>
        <row r="550">
          <cell r="BD550" t="str">
            <v>.</v>
          </cell>
        </row>
        <row r="551">
          <cell r="BD551" t="str">
            <v>.</v>
          </cell>
        </row>
        <row r="552">
          <cell r="BD552" t="str">
            <v>.</v>
          </cell>
        </row>
        <row r="553">
          <cell r="BD553" t="str">
            <v>.</v>
          </cell>
        </row>
        <row r="554">
          <cell r="BD554" t="str">
            <v>.</v>
          </cell>
        </row>
        <row r="555">
          <cell r="BD555" t="str">
            <v>.</v>
          </cell>
        </row>
        <row r="556">
          <cell r="BD556" t="str">
            <v>.</v>
          </cell>
        </row>
        <row r="557">
          <cell r="BD557" t="str">
            <v>.</v>
          </cell>
        </row>
        <row r="558">
          <cell r="BD558" t="str">
            <v>.</v>
          </cell>
        </row>
        <row r="559">
          <cell r="BD559" t="str">
            <v>.</v>
          </cell>
        </row>
        <row r="560">
          <cell r="BD560" t="str">
            <v>.</v>
          </cell>
        </row>
        <row r="561">
          <cell r="BD561" t="str">
            <v>.</v>
          </cell>
        </row>
        <row r="562">
          <cell r="BD562" t="str">
            <v>.</v>
          </cell>
        </row>
        <row r="563">
          <cell r="BD563" t="str">
            <v>.</v>
          </cell>
        </row>
        <row r="564">
          <cell r="BD564" t="str">
            <v>.</v>
          </cell>
        </row>
        <row r="565">
          <cell r="BD565" t="str">
            <v>.</v>
          </cell>
        </row>
        <row r="566">
          <cell r="BD566" t="str">
            <v>.</v>
          </cell>
        </row>
        <row r="567">
          <cell r="BD567" t="str">
            <v>.</v>
          </cell>
        </row>
        <row r="568">
          <cell r="BD568" t="str">
            <v>.</v>
          </cell>
        </row>
        <row r="569">
          <cell r="BD569" t="str">
            <v>.</v>
          </cell>
        </row>
        <row r="570">
          <cell r="BD570" t="str">
            <v>.</v>
          </cell>
        </row>
        <row r="571">
          <cell r="BD571" t="str">
            <v>.</v>
          </cell>
        </row>
        <row r="572">
          <cell r="BD572" t="str">
            <v>.</v>
          </cell>
        </row>
        <row r="573">
          <cell r="BD573" t="str">
            <v>.</v>
          </cell>
        </row>
        <row r="574">
          <cell r="BD574" t="str">
            <v>.</v>
          </cell>
        </row>
        <row r="575">
          <cell r="BD575" t="str">
            <v>.</v>
          </cell>
        </row>
        <row r="576">
          <cell r="BD576" t="str">
            <v>.</v>
          </cell>
        </row>
        <row r="577">
          <cell r="BD577" t="str">
            <v>.</v>
          </cell>
        </row>
        <row r="578">
          <cell r="BD578" t="str">
            <v>.</v>
          </cell>
        </row>
        <row r="579">
          <cell r="BD579" t="str">
            <v>.</v>
          </cell>
        </row>
        <row r="580">
          <cell r="BD580" t="str">
            <v>.</v>
          </cell>
        </row>
        <row r="581">
          <cell r="BD581" t="str">
            <v>.</v>
          </cell>
        </row>
        <row r="582">
          <cell r="BD582" t="str">
            <v>.</v>
          </cell>
        </row>
        <row r="583">
          <cell r="BD583" t="str">
            <v>.</v>
          </cell>
        </row>
        <row r="584">
          <cell r="BD584" t="str">
            <v>.</v>
          </cell>
        </row>
        <row r="585">
          <cell r="BD585" t="str">
            <v>.</v>
          </cell>
        </row>
        <row r="586">
          <cell r="BD586" t="str">
            <v>.</v>
          </cell>
        </row>
        <row r="587">
          <cell r="BD587" t="str">
            <v>.</v>
          </cell>
        </row>
        <row r="588">
          <cell r="BD588" t="str">
            <v>.</v>
          </cell>
        </row>
        <row r="589">
          <cell r="BD589" t="str">
            <v>.</v>
          </cell>
        </row>
        <row r="590">
          <cell r="BD590" t="str">
            <v>.</v>
          </cell>
        </row>
        <row r="591">
          <cell r="BD591" t="str">
            <v>.</v>
          </cell>
        </row>
        <row r="592">
          <cell r="BD592" t="str">
            <v>.</v>
          </cell>
        </row>
        <row r="593">
          <cell r="BD593" t="str">
            <v>.</v>
          </cell>
        </row>
        <row r="594">
          <cell r="BD594" t="str">
            <v>.</v>
          </cell>
        </row>
        <row r="595">
          <cell r="BD595" t="str">
            <v>.</v>
          </cell>
        </row>
        <row r="596">
          <cell r="BD596" t="str">
            <v>.</v>
          </cell>
        </row>
        <row r="597">
          <cell r="BD597" t="str">
            <v>.</v>
          </cell>
        </row>
        <row r="598">
          <cell r="BD598" t="str">
            <v>.</v>
          </cell>
        </row>
        <row r="599">
          <cell r="BD599" t="str">
            <v>.</v>
          </cell>
        </row>
        <row r="600">
          <cell r="BD600" t="str">
            <v>.</v>
          </cell>
        </row>
        <row r="601">
          <cell r="BD601" t="str">
            <v>.</v>
          </cell>
        </row>
        <row r="602">
          <cell r="BD602" t="str">
            <v>.</v>
          </cell>
        </row>
        <row r="603">
          <cell r="BD603" t="str">
            <v>.</v>
          </cell>
        </row>
        <row r="604">
          <cell r="BD604" t="str">
            <v>.</v>
          </cell>
        </row>
        <row r="605">
          <cell r="BD605" t="str">
            <v>.</v>
          </cell>
        </row>
        <row r="606">
          <cell r="BD606" t="str">
            <v>.</v>
          </cell>
        </row>
        <row r="607">
          <cell r="BD607" t="str">
            <v>.</v>
          </cell>
        </row>
        <row r="608">
          <cell r="BD608" t="str">
            <v>.</v>
          </cell>
        </row>
        <row r="609">
          <cell r="BD609" t="str">
            <v>.</v>
          </cell>
        </row>
        <row r="610">
          <cell r="BD610" t="str">
            <v>.</v>
          </cell>
        </row>
        <row r="611">
          <cell r="BD611" t="str">
            <v>.</v>
          </cell>
        </row>
        <row r="612">
          <cell r="BD612" t="str">
            <v>.</v>
          </cell>
        </row>
        <row r="613">
          <cell r="BD613" t="str">
            <v>.</v>
          </cell>
        </row>
        <row r="614">
          <cell r="BD614" t="str">
            <v>.</v>
          </cell>
        </row>
        <row r="615">
          <cell r="BD615" t="str">
            <v>.</v>
          </cell>
        </row>
        <row r="616">
          <cell r="BD616" t="str">
            <v>.</v>
          </cell>
        </row>
        <row r="617">
          <cell r="BD617" t="str">
            <v>.</v>
          </cell>
        </row>
        <row r="618">
          <cell r="BD618" t="str">
            <v>.</v>
          </cell>
        </row>
        <row r="619">
          <cell r="BD619" t="str">
            <v>.</v>
          </cell>
        </row>
        <row r="620">
          <cell r="BD620" t="str">
            <v>.</v>
          </cell>
        </row>
        <row r="621">
          <cell r="BD621" t="str">
            <v>.</v>
          </cell>
        </row>
        <row r="622">
          <cell r="BD622" t="str">
            <v>.</v>
          </cell>
        </row>
        <row r="623">
          <cell r="BD623" t="str">
            <v>.</v>
          </cell>
        </row>
        <row r="624">
          <cell r="BD624" t="str">
            <v>.</v>
          </cell>
        </row>
        <row r="625">
          <cell r="BD625" t="str">
            <v>.</v>
          </cell>
        </row>
        <row r="626">
          <cell r="BD626" t="str">
            <v>.</v>
          </cell>
        </row>
        <row r="627">
          <cell r="BD627" t="str">
            <v>.</v>
          </cell>
        </row>
        <row r="628">
          <cell r="BD628" t="str">
            <v>.</v>
          </cell>
        </row>
        <row r="629">
          <cell r="BD629" t="str">
            <v>.</v>
          </cell>
        </row>
        <row r="630">
          <cell r="BD630" t="str">
            <v>.</v>
          </cell>
        </row>
        <row r="631">
          <cell r="BD631" t="str">
            <v>.</v>
          </cell>
        </row>
        <row r="632">
          <cell r="BD632" t="str">
            <v>.</v>
          </cell>
        </row>
        <row r="633">
          <cell r="BD633" t="str">
            <v>.</v>
          </cell>
        </row>
        <row r="634">
          <cell r="BD634" t="str">
            <v>.</v>
          </cell>
        </row>
        <row r="635">
          <cell r="BD635" t="str">
            <v>.</v>
          </cell>
        </row>
        <row r="636">
          <cell r="BD636" t="str">
            <v>.</v>
          </cell>
        </row>
        <row r="637">
          <cell r="BD637" t="str">
            <v>.</v>
          </cell>
        </row>
        <row r="638">
          <cell r="BD638" t="str">
            <v>.</v>
          </cell>
        </row>
        <row r="639">
          <cell r="BD639" t="str">
            <v>.</v>
          </cell>
        </row>
        <row r="640">
          <cell r="BD640" t="str">
            <v>.</v>
          </cell>
        </row>
        <row r="641">
          <cell r="BD641" t="str">
            <v>.</v>
          </cell>
        </row>
        <row r="642">
          <cell r="BD642" t="str">
            <v>.</v>
          </cell>
        </row>
        <row r="643">
          <cell r="BD643" t="str">
            <v>.</v>
          </cell>
        </row>
        <row r="644">
          <cell r="BD644" t="str">
            <v>.</v>
          </cell>
        </row>
        <row r="645">
          <cell r="BD645" t="str">
            <v>.</v>
          </cell>
        </row>
        <row r="646">
          <cell r="BD646" t="str">
            <v>.</v>
          </cell>
        </row>
        <row r="647">
          <cell r="BD647" t="str">
            <v>.</v>
          </cell>
        </row>
        <row r="648">
          <cell r="BD648" t="str">
            <v>.</v>
          </cell>
        </row>
        <row r="649">
          <cell r="BD649" t="str">
            <v>.</v>
          </cell>
        </row>
        <row r="650">
          <cell r="BD650" t="str">
            <v>.</v>
          </cell>
        </row>
        <row r="651">
          <cell r="BD651" t="str">
            <v>.</v>
          </cell>
        </row>
        <row r="652">
          <cell r="BD652" t="str">
            <v>.</v>
          </cell>
        </row>
        <row r="653">
          <cell r="BD653" t="str">
            <v>.</v>
          </cell>
        </row>
        <row r="654">
          <cell r="BD654" t="str">
            <v>.</v>
          </cell>
        </row>
        <row r="655">
          <cell r="BD655" t="str">
            <v>.</v>
          </cell>
        </row>
        <row r="656">
          <cell r="BD656" t="str">
            <v>.</v>
          </cell>
        </row>
        <row r="657">
          <cell r="BD657" t="str">
            <v>.</v>
          </cell>
        </row>
        <row r="658">
          <cell r="BD658" t="str">
            <v>.</v>
          </cell>
        </row>
        <row r="659">
          <cell r="BD659" t="str">
            <v>.</v>
          </cell>
        </row>
        <row r="660">
          <cell r="BD660" t="str">
            <v>.</v>
          </cell>
        </row>
        <row r="661">
          <cell r="BD661" t="str">
            <v>.</v>
          </cell>
        </row>
        <row r="662">
          <cell r="BD662" t="str">
            <v>.</v>
          </cell>
        </row>
        <row r="663">
          <cell r="BD663" t="str">
            <v>.</v>
          </cell>
        </row>
        <row r="664">
          <cell r="BD664" t="str">
            <v>.</v>
          </cell>
        </row>
        <row r="665">
          <cell r="BD665" t="str">
            <v>.</v>
          </cell>
        </row>
        <row r="666">
          <cell r="BD666" t="str">
            <v>.</v>
          </cell>
        </row>
        <row r="667">
          <cell r="BD667" t="str">
            <v>.</v>
          </cell>
        </row>
        <row r="668">
          <cell r="BD668" t="str">
            <v>.</v>
          </cell>
        </row>
        <row r="669">
          <cell r="BD669" t="str">
            <v>.</v>
          </cell>
        </row>
        <row r="670">
          <cell r="BD670" t="str">
            <v>.</v>
          </cell>
        </row>
        <row r="671">
          <cell r="BD671" t="str">
            <v>.</v>
          </cell>
        </row>
        <row r="672">
          <cell r="BD672" t="str">
            <v>.</v>
          </cell>
        </row>
        <row r="673">
          <cell r="BD673" t="str">
            <v>.</v>
          </cell>
        </row>
        <row r="674">
          <cell r="BD674" t="str">
            <v>.</v>
          </cell>
        </row>
        <row r="675">
          <cell r="BD675" t="str">
            <v>.</v>
          </cell>
        </row>
        <row r="676">
          <cell r="BD676" t="str">
            <v>.</v>
          </cell>
        </row>
        <row r="677">
          <cell r="BD677" t="str">
            <v>.</v>
          </cell>
        </row>
        <row r="678">
          <cell r="BD678" t="str">
            <v>.</v>
          </cell>
        </row>
        <row r="679">
          <cell r="BD679" t="str">
            <v>.</v>
          </cell>
        </row>
        <row r="680">
          <cell r="BD680" t="str">
            <v>.</v>
          </cell>
        </row>
        <row r="681">
          <cell r="BD681" t="str">
            <v>.</v>
          </cell>
        </row>
        <row r="682">
          <cell r="BD682" t="str">
            <v>.</v>
          </cell>
        </row>
        <row r="683">
          <cell r="BD683" t="str">
            <v>.</v>
          </cell>
        </row>
        <row r="684">
          <cell r="BD684" t="str">
            <v>.</v>
          </cell>
        </row>
        <row r="685">
          <cell r="BD685" t="str">
            <v>.</v>
          </cell>
        </row>
        <row r="686">
          <cell r="BD686" t="str">
            <v>.</v>
          </cell>
        </row>
        <row r="687">
          <cell r="BD687" t="str">
            <v>.</v>
          </cell>
        </row>
        <row r="688">
          <cell r="BD688" t="str">
            <v>.</v>
          </cell>
        </row>
        <row r="689">
          <cell r="BD689" t="str">
            <v>.</v>
          </cell>
        </row>
        <row r="690">
          <cell r="BD690" t="str">
            <v>.</v>
          </cell>
        </row>
        <row r="691">
          <cell r="BD691" t="str">
            <v>.</v>
          </cell>
        </row>
        <row r="692">
          <cell r="BD692" t="str">
            <v>.</v>
          </cell>
        </row>
        <row r="693">
          <cell r="BD693" t="str">
            <v>.</v>
          </cell>
        </row>
        <row r="694">
          <cell r="BD694" t="str">
            <v>.</v>
          </cell>
        </row>
        <row r="695">
          <cell r="BD695" t="str">
            <v>.</v>
          </cell>
        </row>
        <row r="696">
          <cell r="BD696" t="str">
            <v>.</v>
          </cell>
        </row>
        <row r="697">
          <cell r="BD697" t="str">
            <v>.</v>
          </cell>
        </row>
        <row r="698">
          <cell r="BD698" t="str">
            <v>.</v>
          </cell>
        </row>
        <row r="699">
          <cell r="BD699" t="str">
            <v>.</v>
          </cell>
        </row>
        <row r="700">
          <cell r="BD700" t="str">
            <v>.</v>
          </cell>
        </row>
        <row r="701">
          <cell r="BD701" t="str">
            <v>.</v>
          </cell>
        </row>
        <row r="702">
          <cell r="BD702" t="str">
            <v>.</v>
          </cell>
        </row>
        <row r="703">
          <cell r="BD703" t="str">
            <v>.</v>
          </cell>
        </row>
        <row r="704">
          <cell r="BD704" t="str">
            <v>.</v>
          </cell>
        </row>
        <row r="705">
          <cell r="BD705" t="str">
            <v>.</v>
          </cell>
        </row>
        <row r="706">
          <cell r="BD706" t="str">
            <v>.</v>
          </cell>
        </row>
        <row r="707">
          <cell r="BD707" t="str">
            <v>.</v>
          </cell>
        </row>
        <row r="708">
          <cell r="BD708" t="str">
            <v>.</v>
          </cell>
        </row>
        <row r="709">
          <cell r="BD709" t="str">
            <v>.</v>
          </cell>
        </row>
        <row r="710">
          <cell r="BD710" t="str">
            <v>.</v>
          </cell>
        </row>
        <row r="711">
          <cell r="BD711" t="str">
            <v>.</v>
          </cell>
        </row>
        <row r="712">
          <cell r="BD712" t="str">
            <v>.</v>
          </cell>
        </row>
        <row r="713">
          <cell r="BD713" t="str">
            <v>.</v>
          </cell>
        </row>
        <row r="714">
          <cell r="BD714" t="str">
            <v>.</v>
          </cell>
        </row>
        <row r="715">
          <cell r="BD715" t="str">
            <v>.</v>
          </cell>
        </row>
        <row r="716">
          <cell r="BD716" t="str">
            <v>.</v>
          </cell>
        </row>
        <row r="717">
          <cell r="BD717" t="str">
            <v>.</v>
          </cell>
        </row>
        <row r="718">
          <cell r="BD718" t="str">
            <v>.</v>
          </cell>
        </row>
        <row r="719">
          <cell r="BD719" t="str">
            <v>.</v>
          </cell>
        </row>
        <row r="720">
          <cell r="BD720" t="str">
            <v>.</v>
          </cell>
        </row>
        <row r="721">
          <cell r="BD721" t="str">
            <v>.</v>
          </cell>
        </row>
        <row r="722">
          <cell r="BD722" t="str">
            <v>.</v>
          </cell>
        </row>
        <row r="723">
          <cell r="BD723" t="str">
            <v>.</v>
          </cell>
        </row>
        <row r="724">
          <cell r="BD724" t="str">
            <v>.</v>
          </cell>
        </row>
        <row r="725">
          <cell r="BD725" t="str">
            <v>.</v>
          </cell>
        </row>
        <row r="726">
          <cell r="BD726" t="str">
            <v>.</v>
          </cell>
        </row>
        <row r="727">
          <cell r="BD727" t="str">
            <v>.</v>
          </cell>
        </row>
        <row r="728">
          <cell r="BD728" t="str">
            <v>.</v>
          </cell>
        </row>
        <row r="729">
          <cell r="BD729" t="str">
            <v>.</v>
          </cell>
        </row>
        <row r="730">
          <cell r="BD730" t="str">
            <v>.</v>
          </cell>
        </row>
        <row r="731">
          <cell r="BD731" t="str">
            <v>.</v>
          </cell>
        </row>
        <row r="732">
          <cell r="BD732" t="str">
            <v>.</v>
          </cell>
        </row>
        <row r="733">
          <cell r="BD733" t="str">
            <v>.</v>
          </cell>
        </row>
        <row r="734">
          <cell r="BD734" t="str">
            <v>.</v>
          </cell>
        </row>
        <row r="735">
          <cell r="BD735" t="str">
            <v>.</v>
          </cell>
        </row>
        <row r="736">
          <cell r="BD736" t="str">
            <v>.</v>
          </cell>
        </row>
        <row r="737">
          <cell r="BD737" t="str">
            <v>.</v>
          </cell>
        </row>
        <row r="738">
          <cell r="BD738" t="str">
            <v>.</v>
          </cell>
        </row>
        <row r="739">
          <cell r="BD739" t="str">
            <v>.</v>
          </cell>
        </row>
        <row r="740">
          <cell r="BD740" t="str">
            <v>.</v>
          </cell>
        </row>
        <row r="741">
          <cell r="BD741" t="str">
            <v>.</v>
          </cell>
        </row>
        <row r="742">
          <cell r="BD742" t="str">
            <v>.</v>
          </cell>
        </row>
        <row r="743">
          <cell r="BD743" t="str">
            <v>.</v>
          </cell>
        </row>
        <row r="744">
          <cell r="BD744" t="str">
            <v>.</v>
          </cell>
        </row>
        <row r="745">
          <cell r="BD745" t="str">
            <v>.</v>
          </cell>
        </row>
        <row r="746">
          <cell r="BD746" t="str">
            <v>.</v>
          </cell>
        </row>
        <row r="747">
          <cell r="BD747" t="str">
            <v>.</v>
          </cell>
        </row>
        <row r="748">
          <cell r="BD748" t="str">
            <v>.</v>
          </cell>
        </row>
        <row r="749">
          <cell r="BD749" t="str">
            <v>.</v>
          </cell>
        </row>
        <row r="750">
          <cell r="BD750" t="str">
            <v>.</v>
          </cell>
        </row>
        <row r="751">
          <cell r="BD751" t="str">
            <v>.</v>
          </cell>
        </row>
        <row r="752">
          <cell r="BD752" t="str">
            <v>.</v>
          </cell>
        </row>
        <row r="753">
          <cell r="BD753" t="str">
            <v>.</v>
          </cell>
        </row>
        <row r="754">
          <cell r="BD754" t="str">
            <v>.</v>
          </cell>
        </row>
        <row r="755">
          <cell r="BD755" t="str">
            <v>.</v>
          </cell>
        </row>
        <row r="756">
          <cell r="BD756" t="str">
            <v>.</v>
          </cell>
        </row>
        <row r="757">
          <cell r="BD757" t="str">
            <v>.</v>
          </cell>
        </row>
        <row r="758">
          <cell r="BD758" t="str">
            <v>.</v>
          </cell>
        </row>
        <row r="759">
          <cell r="BD759" t="str">
            <v>.</v>
          </cell>
        </row>
        <row r="760">
          <cell r="BD760" t="str">
            <v>.</v>
          </cell>
        </row>
        <row r="761">
          <cell r="BD761" t="str">
            <v>.</v>
          </cell>
        </row>
        <row r="762">
          <cell r="BD762" t="str">
            <v>.</v>
          </cell>
        </row>
        <row r="763">
          <cell r="BD763" t="str">
            <v>.</v>
          </cell>
        </row>
        <row r="764">
          <cell r="BD764" t="str">
            <v>.</v>
          </cell>
        </row>
        <row r="765">
          <cell r="BD765" t="str">
            <v>.</v>
          </cell>
        </row>
        <row r="766">
          <cell r="BD766" t="str">
            <v>.</v>
          </cell>
        </row>
        <row r="767">
          <cell r="BD767" t="str">
            <v>.</v>
          </cell>
        </row>
        <row r="768">
          <cell r="BD768" t="str">
            <v>.</v>
          </cell>
        </row>
        <row r="769">
          <cell r="BD769" t="str">
            <v>.</v>
          </cell>
        </row>
        <row r="770">
          <cell r="BD770" t="str">
            <v>.</v>
          </cell>
        </row>
        <row r="771">
          <cell r="BD771" t="str">
            <v>.</v>
          </cell>
        </row>
        <row r="772">
          <cell r="BD772" t="str">
            <v>.</v>
          </cell>
        </row>
        <row r="773">
          <cell r="BD773" t="str">
            <v>.</v>
          </cell>
        </row>
        <row r="774">
          <cell r="BD774" t="str">
            <v>.</v>
          </cell>
        </row>
        <row r="775">
          <cell r="BD775" t="str">
            <v>.</v>
          </cell>
        </row>
        <row r="776">
          <cell r="BD776" t="str">
            <v>.</v>
          </cell>
        </row>
        <row r="777">
          <cell r="BD777" t="str">
            <v>.</v>
          </cell>
        </row>
        <row r="778">
          <cell r="BD778" t="str">
            <v>.</v>
          </cell>
        </row>
        <row r="779">
          <cell r="BD779" t="str">
            <v>.</v>
          </cell>
        </row>
        <row r="780">
          <cell r="BD780" t="str">
            <v>.</v>
          </cell>
        </row>
        <row r="781">
          <cell r="BD781" t="str">
            <v>.</v>
          </cell>
        </row>
        <row r="782">
          <cell r="BD782" t="str">
            <v>.</v>
          </cell>
        </row>
        <row r="783">
          <cell r="BD783" t="str">
            <v>.</v>
          </cell>
        </row>
        <row r="784">
          <cell r="BD784" t="str">
            <v>.</v>
          </cell>
        </row>
        <row r="785">
          <cell r="BD785" t="str">
            <v>.</v>
          </cell>
        </row>
        <row r="786">
          <cell r="BD786" t="str">
            <v>.</v>
          </cell>
        </row>
        <row r="787">
          <cell r="BD787" t="str">
            <v>.</v>
          </cell>
        </row>
        <row r="788">
          <cell r="BD788" t="str">
            <v>.</v>
          </cell>
        </row>
        <row r="789">
          <cell r="BD789" t="str">
            <v>.</v>
          </cell>
        </row>
        <row r="790">
          <cell r="BD790" t="str">
            <v>.</v>
          </cell>
        </row>
        <row r="791">
          <cell r="BD791" t="str">
            <v>.</v>
          </cell>
        </row>
        <row r="792">
          <cell r="BD792" t="str">
            <v>.</v>
          </cell>
        </row>
        <row r="793">
          <cell r="BD793" t="str">
            <v>.</v>
          </cell>
        </row>
        <row r="794">
          <cell r="BD794" t="str">
            <v>.</v>
          </cell>
        </row>
        <row r="795">
          <cell r="BD795" t="str">
            <v>.</v>
          </cell>
        </row>
        <row r="796">
          <cell r="BD796" t="str">
            <v>.</v>
          </cell>
        </row>
        <row r="797">
          <cell r="BD797" t="str">
            <v>.</v>
          </cell>
        </row>
        <row r="798">
          <cell r="BD798" t="str">
            <v>.</v>
          </cell>
        </row>
        <row r="799">
          <cell r="BD799" t="str">
            <v>.</v>
          </cell>
        </row>
        <row r="800">
          <cell r="BD800" t="str">
            <v>.</v>
          </cell>
        </row>
        <row r="801">
          <cell r="BD801" t="str">
            <v>.</v>
          </cell>
        </row>
        <row r="802">
          <cell r="BD802" t="str">
            <v>.</v>
          </cell>
        </row>
        <row r="803">
          <cell r="BD803" t="str">
            <v>.</v>
          </cell>
        </row>
        <row r="804">
          <cell r="BD804" t="str">
            <v>.</v>
          </cell>
        </row>
        <row r="805">
          <cell r="BD805" t="str">
            <v>.</v>
          </cell>
        </row>
        <row r="806">
          <cell r="BD806" t="str">
            <v>.</v>
          </cell>
        </row>
        <row r="807">
          <cell r="BD807" t="str">
            <v>.</v>
          </cell>
        </row>
        <row r="808">
          <cell r="BD808" t="str">
            <v>.</v>
          </cell>
        </row>
        <row r="809">
          <cell r="BD809" t="str">
            <v>.</v>
          </cell>
        </row>
        <row r="810">
          <cell r="BD810" t="str">
            <v>.</v>
          </cell>
        </row>
        <row r="811">
          <cell r="BD811" t="str">
            <v>.</v>
          </cell>
        </row>
        <row r="812">
          <cell r="BD812" t="str">
            <v>.</v>
          </cell>
        </row>
        <row r="813">
          <cell r="BD813" t="str">
            <v>.</v>
          </cell>
        </row>
        <row r="814">
          <cell r="BD814" t="str">
            <v>.</v>
          </cell>
        </row>
        <row r="815">
          <cell r="BD815" t="str">
            <v>.</v>
          </cell>
        </row>
        <row r="816">
          <cell r="BD816" t="str">
            <v>.</v>
          </cell>
        </row>
        <row r="817">
          <cell r="BD817" t="str">
            <v>.</v>
          </cell>
        </row>
        <row r="818">
          <cell r="BD818" t="str">
            <v>.</v>
          </cell>
        </row>
        <row r="819">
          <cell r="BD819" t="str">
            <v>.</v>
          </cell>
        </row>
        <row r="820">
          <cell r="BD820" t="str">
            <v>.</v>
          </cell>
        </row>
        <row r="821">
          <cell r="BD821" t="str">
            <v>.</v>
          </cell>
        </row>
        <row r="822">
          <cell r="BD822" t="str">
            <v>.</v>
          </cell>
        </row>
        <row r="823">
          <cell r="BD823" t="str">
            <v>.</v>
          </cell>
        </row>
        <row r="824">
          <cell r="BD824" t="str">
            <v>.</v>
          </cell>
        </row>
        <row r="825">
          <cell r="BD825" t="str">
            <v>.</v>
          </cell>
        </row>
        <row r="826">
          <cell r="BD826" t="str">
            <v>.</v>
          </cell>
        </row>
        <row r="827">
          <cell r="BD827" t="str">
            <v>.</v>
          </cell>
        </row>
        <row r="828">
          <cell r="BD828" t="str">
            <v>.</v>
          </cell>
        </row>
        <row r="829">
          <cell r="BD829" t="str">
            <v>.</v>
          </cell>
        </row>
        <row r="830">
          <cell r="BD830" t="str">
            <v>.</v>
          </cell>
        </row>
        <row r="831">
          <cell r="BD831" t="str">
            <v>.</v>
          </cell>
        </row>
        <row r="832">
          <cell r="BD832" t="str">
            <v>.</v>
          </cell>
        </row>
        <row r="833">
          <cell r="BD833" t="str">
            <v>.</v>
          </cell>
        </row>
        <row r="834">
          <cell r="BD834" t="str">
            <v>.</v>
          </cell>
        </row>
        <row r="835">
          <cell r="BD835" t="str">
            <v>.</v>
          </cell>
        </row>
        <row r="836">
          <cell r="BD836" t="str">
            <v>.</v>
          </cell>
        </row>
        <row r="837">
          <cell r="BD837" t="str">
            <v>.</v>
          </cell>
        </row>
        <row r="838">
          <cell r="BD838" t="str">
            <v>.</v>
          </cell>
        </row>
        <row r="839">
          <cell r="BD839" t="str">
            <v>.</v>
          </cell>
        </row>
        <row r="840">
          <cell r="BD840" t="str">
            <v>.</v>
          </cell>
        </row>
        <row r="841">
          <cell r="BD841" t="str">
            <v>.</v>
          </cell>
        </row>
        <row r="842">
          <cell r="BD842" t="str">
            <v>.</v>
          </cell>
        </row>
        <row r="843">
          <cell r="BD843" t="str">
            <v>.</v>
          </cell>
        </row>
        <row r="844">
          <cell r="BD844" t="str">
            <v>.</v>
          </cell>
        </row>
        <row r="845">
          <cell r="BD845" t="str">
            <v>.</v>
          </cell>
        </row>
        <row r="846">
          <cell r="BD846" t="str">
            <v>.</v>
          </cell>
        </row>
        <row r="847">
          <cell r="BD847" t="str">
            <v>.</v>
          </cell>
        </row>
        <row r="848">
          <cell r="BD848" t="str">
            <v>.</v>
          </cell>
        </row>
        <row r="849">
          <cell r="BD849" t="str">
            <v>.</v>
          </cell>
        </row>
        <row r="850">
          <cell r="BD850" t="str">
            <v>.</v>
          </cell>
        </row>
        <row r="851">
          <cell r="BD851" t="str">
            <v>.</v>
          </cell>
        </row>
        <row r="852">
          <cell r="BD852" t="str">
            <v>.</v>
          </cell>
        </row>
        <row r="853">
          <cell r="BD853" t="str">
            <v>.</v>
          </cell>
        </row>
        <row r="854">
          <cell r="BD854" t="str">
            <v>.</v>
          </cell>
        </row>
        <row r="855">
          <cell r="BD855" t="str">
            <v>.</v>
          </cell>
        </row>
        <row r="856">
          <cell r="BD856" t="str">
            <v>.</v>
          </cell>
        </row>
        <row r="857">
          <cell r="BD857" t="str">
            <v>.</v>
          </cell>
        </row>
        <row r="858">
          <cell r="BD858" t="str">
            <v>.</v>
          </cell>
        </row>
        <row r="859">
          <cell r="BD859" t="str">
            <v>.</v>
          </cell>
        </row>
        <row r="860">
          <cell r="BD860" t="str">
            <v>.</v>
          </cell>
        </row>
        <row r="861">
          <cell r="BD861" t="str">
            <v>.</v>
          </cell>
        </row>
        <row r="862">
          <cell r="BD862" t="str">
            <v>.</v>
          </cell>
        </row>
        <row r="863">
          <cell r="BD863" t="str">
            <v>.</v>
          </cell>
        </row>
        <row r="864">
          <cell r="BD864" t="str">
            <v>.</v>
          </cell>
        </row>
        <row r="865">
          <cell r="BD865" t="str">
            <v>.</v>
          </cell>
        </row>
        <row r="866">
          <cell r="BD866" t="str">
            <v>.</v>
          </cell>
        </row>
        <row r="867">
          <cell r="BD867" t="str">
            <v>.</v>
          </cell>
        </row>
        <row r="868">
          <cell r="BD868" t="str">
            <v>.</v>
          </cell>
        </row>
        <row r="869">
          <cell r="BD869" t="str">
            <v>.</v>
          </cell>
        </row>
        <row r="870">
          <cell r="BD870" t="str">
            <v>.</v>
          </cell>
        </row>
        <row r="871">
          <cell r="BD871" t="str">
            <v>.</v>
          </cell>
        </row>
        <row r="872">
          <cell r="BD872" t="str">
            <v>.</v>
          </cell>
        </row>
        <row r="873">
          <cell r="BD873" t="str">
            <v>.</v>
          </cell>
        </row>
        <row r="874">
          <cell r="BD874" t="str">
            <v>.</v>
          </cell>
        </row>
        <row r="875">
          <cell r="BD875" t="str">
            <v>.</v>
          </cell>
        </row>
        <row r="876">
          <cell r="BD876" t="str">
            <v>.</v>
          </cell>
        </row>
        <row r="877">
          <cell r="BD877" t="str">
            <v>.</v>
          </cell>
        </row>
        <row r="878">
          <cell r="BD878" t="str">
            <v>.</v>
          </cell>
        </row>
        <row r="879">
          <cell r="BD879" t="str">
            <v>.</v>
          </cell>
        </row>
        <row r="880">
          <cell r="BD880" t="str">
            <v>.</v>
          </cell>
        </row>
        <row r="881">
          <cell r="BD881" t="str">
            <v>.</v>
          </cell>
        </row>
        <row r="882">
          <cell r="BD882" t="str">
            <v>.</v>
          </cell>
        </row>
        <row r="883">
          <cell r="BD883" t="str">
            <v>.</v>
          </cell>
        </row>
        <row r="884">
          <cell r="BD884" t="str">
            <v>.</v>
          </cell>
        </row>
        <row r="885">
          <cell r="BD885" t="str">
            <v>.</v>
          </cell>
        </row>
        <row r="886">
          <cell r="BD886" t="str">
            <v>.</v>
          </cell>
        </row>
        <row r="887">
          <cell r="BD887" t="str">
            <v>.</v>
          </cell>
        </row>
        <row r="888">
          <cell r="BD888" t="str">
            <v>.</v>
          </cell>
        </row>
        <row r="889">
          <cell r="BD889" t="str">
            <v>.</v>
          </cell>
        </row>
        <row r="890">
          <cell r="BD890" t="str">
            <v>.</v>
          </cell>
        </row>
        <row r="891">
          <cell r="BD891" t="str">
            <v>.</v>
          </cell>
        </row>
        <row r="892">
          <cell r="BD892" t="str">
            <v>.</v>
          </cell>
        </row>
        <row r="893">
          <cell r="BD893" t="str">
            <v>.</v>
          </cell>
        </row>
        <row r="894">
          <cell r="BD894" t="str">
            <v>.</v>
          </cell>
        </row>
        <row r="895">
          <cell r="BD895" t="str">
            <v>.</v>
          </cell>
        </row>
        <row r="896">
          <cell r="BD896" t="str">
            <v>.</v>
          </cell>
        </row>
        <row r="897">
          <cell r="BD897" t="str">
            <v>.</v>
          </cell>
        </row>
        <row r="898">
          <cell r="BD898" t="str">
            <v>.</v>
          </cell>
        </row>
        <row r="899">
          <cell r="BD899" t="str">
            <v>.</v>
          </cell>
        </row>
        <row r="900">
          <cell r="BD900" t="str">
            <v>.</v>
          </cell>
        </row>
        <row r="901">
          <cell r="BD901" t="str">
            <v>.</v>
          </cell>
        </row>
        <row r="902">
          <cell r="BD902" t="str">
            <v>.</v>
          </cell>
        </row>
        <row r="903">
          <cell r="BD903" t="str">
            <v>.</v>
          </cell>
        </row>
        <row r="904">
          <cell r="BD904" t="str">
            <v>.</v>
          </cell>
        </row>
        <row r="905">
          <cell r="BD905" t="str">
            <v>.</v>
          </cell>
        </row>
        <row r="906">
          <cell r="BD906" t="str">
            <v>.</v>
          </cell>
        </row>
        <row r="907">
          <cell r="BD907" t="str">
            <v>.</v>
          </cell>
        </row>
        <row r="908">
          <cell r="BD908" t="str">
            <v>.</v>
          </cell>
        </row>
        <row r="909">
          <cell r="BD909" t="str">
            <v>.</v>
          </cell>
        </row>
        <row r="910">
          <cell r="BD910" t="str">
            <v>.</v>
          </cell>
        </row>
        <row r="911">
          <cell r="BD911" t="str">
            <v>.</v>
          </cell>
        </row>
        <row r="912">
          <cell r="BD912" t="str">
            <v>.</v>
          </cell>
        </row>
        <row r="913">
          <cell r="BD913" t="str">
            <v>.</v>
          </cell>
        </row>
        <row r="914">
          <cell r="BD914" t="str">
            <v>.</v>
          </cell>
        </row>
        <row r="915">
          <cell r="BD915" t="str">
            <v>.</v>
          </cell>
        </row>
        <row r="916">
          <cell r="BD916" t="str">
            <v>.</v>
          </cell>
        </row>
        <row r="917">
          <cell r="BD917" t="str">
            <v>.</v>
          </cell>
        </row>
        <row r="918">
          <cell r="BD918" t="str">
            <v>.</v>
          </cell>
        </row>
        <row r="919">
          <cell r="BD919" t="str">
            <v>.</v>
          </cell>
        </row>
        <row r="920">
          <cell r="BD920" t="str">
            <v>.</v>
          </cell>
        </row>
        <row r="921">
          <cell r="BD921" t="str">
            <v>.</v>
          </cell>
        </row>
        <row r="922">
          <cell r="BD922" t="str">
            <v>.</v>
          </cell>
        </row>
        <row r="923">
          <cell r="BD923" t="str">
            <v>.</v>
          </cell>
        </row>
        <row r="924">
          <cell r="BD924" t="str">
            <v>.</v>
          </cell>
        </row>
        <row r="925">
          <cell r="BD925" t="str">
            <v>.</v>
          </cell>
        </row>
        <row r="926">
          <cell r="BD926" t="str">
            <v>.</v>
          </cell>
        </row>
        <row r="927">
          <cell r="BD927" t="str">
            <v>.</v>
          </cell>
        </row>
        <row r="928">
          <cell r="BD928" t="str">
            <v>.</v>
          </cell>
        </row>
        <row r="929">
          <cell r="BD929" t="str">
            <v>.</v>
          </cell>
        </row>
        <row r="930">
          <cell r="BD930" t="str">
            <v>.</v>
          </cell>
        </row>
        <row r="931">
          <cell r="BD931" t="str">
            <v>.</v>
          </cell>
        </row>
        <row r="932">
          <cell r="BD932" t="str">
            <v>.</v>
          </cell>
        </row>
        <row r="933">
          <cell r="BD933" t="str">
            <v>.</v>
          </cell>
        </row>
        <row r="934">
          <cell r="BD934" t="str">
            <v>.</v>
          </cell>
        </row>
        <row r="935">
          <cell r="BD935" t="str">
            <v>.</v>
          </cell>
        </row>
        <row r="936">
          <cell r="BD936" t="str">
            <v>.</v>
          </cell>
        </row>
        <row r="937">
          <cell r="BD937" t="str">
            <v>.</v>
          </cell>
        </row>
        <row r="938">
          <cell r="BD938" t="str">
            <v>.</v>
          </cell>
        </row>
        <row r="939">
          <cell r="BD939" t="str">
            <v>.</v>
          </cell>
        </row>
        <row r="940">
          <cell r="BD940" t="str">
            <v>.</v>
          </cell>
        </row>
        <row r="941">
          <cell r="BD941" t="str">
            <v>.</v>
          </cell>
        </row>
        <row r="942">
          <cell r="BD942" t="str">
            <v>.</v>
          </cell>
        </row>
        <row r="943">
          <cell r="BD943" t="str">
            <v>.</v>
          </cell>
        </row>
        <row r="944">
          <cell r="BD944" t="str">
            <v>.</v>
          </cell>
        </row>
        <row r="945">
          <cell r="BD945" t="str">
            <v>.</v>
          </cell>
        </row>
        <row r="946">
          <cell r="BD946" t="str">
            <v>.</v>
          </cell>
        </row>
        <row r="947">
          <cell r="BD947" t="str">
            <v>.</v>
          </cell>
        </row>
        <row r="948">
          <cell r="BD948" t="str">
            <v>.</v>
          </cell>
        </row>
        <row r="949">
          <cell r="BD949" t="str">
            <v>.</v>
          </cell>
        </row>
        <row r="950">
          <cell r="BD950" t="str">
            <v>.</v>
          </cell>
        </row>
        <row r="951">
          <cell r="BD951" t="str">
            <v>.</v>
          </cell>
        </row>
        <row r="952">
          <cell r="BD952" t="str">
            <v>.</v>
          </cell>
        </row>
        <row r="953">
          <cell r="BD953" t="str">
            <v>.</v>
          </cell>
        </row>
        <row r="954">
          <cell r="BD954" t="str">
            <v>.</v>
          </cell>
        </row>
        <row r="955">
          <cell r="BD955" t="str">
            <v>.</v>
          </cell>
        </row>
        <row r="956">
          <cell r="BD956" t="str">
            <v>.</v>
          </cell>
        </row>
        <row r="957">
          <cell r="BD957" t="str">
            <v>.</v>
          </cell>
        </row>
        <row r="958">
          <cell r="BD958" t="str">
            <v>.</v>
          </cell>
        </row>
        <row r="959">
          <cell r="BD959" t="str">
            <v>.</v>
          </cell>
        </row>
        <row r="960">
          <cell r="BD960" t="str">
            <v>.</v>
          </cell>
        </row>
        <row r="961">
          <cell r="BD961" t="str">
            <v>.</v>
          </cell>
        </row>
        <row r="962">
          <cell r="BD962" t="str">
            <v>.</v>
          </cell>
        </row>
        <row r="963">
          <cell r="BD963" t="str">
            <v>.</v>
          </cell>
        </row>
        <row r="964">
          <cell r="BD964" t="str">
            <v>.</v>
          </cell>
        </row>
        <row r="965">
          <cell r="BD965" t="str">
            <v>.</v>
          </cell>
        </row>
        <row r="966">
          <cell r="BD966" t="str">
            <v>.</v>
          </cell>
        </row>
        <row r="967">
          <cell r="BD967" t="str">
            <v>.</v>
          </cell>
        </row>
        <row r="968">
          <cell r="BD968" t="str">
            <v>.</v>
          </cell>
        </row>
        <row r="969">
          <cell r="BD969" t="str">
            <v>.</v>
          </cell>
        </row>
        <row r="970">
          <cell r="BD970" t="str">
            <v>.</v>
          </cell>
        </row>
        <row r="971">
          <cell r="BD971" t="str">
            <v>.</v>
          </cell>
        </row>
        <row r="972">
          <cell r="BD972" t="str">
            <v>.</v>
          </cell>
        </row>
        <row r="973">
          <cell r="BD973" t="str">
            <v>.</v>
          </cell>
        </row>
        <row r="974">
          <cell r="BD974" t="str">
            <v>.</v>
          </cell>
        </row>
        <row r="975">
          <cell r="BD975" t="str">
            <v>.</v>
          </cell>
        </row>
        <row r="976">
          <cell r="BD976" t="str">
            <v>.</v>
          </cell>
        </row>
        <row r="977">
          <cell r="BD977" t="str">
            <v>.</v>
          </cell>
        </row>
        <row r="978">
          <cell r="BD978" t="str">
            <v>.</v>
          </cell>
        </row>
        <row r="979">
          <cell r="BD979" t="str">
            <v>.</v>
          </cell>
        </row>
        <row r="980">
          <cell r="BD980" t="str">
            <v>.</v>
          </cell>
        </row>
        <row r="981">
          <cell r="BD981" t="str">
            <v>.</v>
          </cell>
        </row>
        <row r="982">
          <cell r="BD982" t="str">
            <v>.</v>
          </cell>
        </row>
        <row r="983">
          <cell r="BD983" t="str">
            <v>.</v>
          </cell>
        </row>
        <row r="984">
          <cell r="BD984" t="str">
            <v>.</v>
          </cell>
        </row>
        <row r="985">
          <cell r="BD985" t="str">
            <v>.</v>
          </cell>
        </row>
        <row r="986">
          <cell r="BD986" t="str">
            <v>.</v>
          </cell>
        </row>
        <row r="987">
          <cell r="BD987" t="str">
            <v>.</v>
          </cell>
        </row>
        <row r="988">
          <cell r="BD988" t="str">
            <v>.</v>
          </cell>
        </row>
        <row r="989">
          <cell r="BD989" t="str">
            <v>.</v>
          </cell>
        </row>
        <row r="990">
          <cell r="BD990" t="str">
            <v>.</v>
          </cell>
        </row>
        <row r="991">
          <cell r="BD991" t="str">
            <v>.</v>
          </cell>
        </row>
        <row r="992">
          <cell r="BD992" t="str">
            <v>.</v>
          </cell>
        </row>
        <row r="993">
          <cell r="BD993" t="str">
            <v>.</v>
          </cell>
        </row>
        <row r="994">
          <cell r="BD994" t="str">
            <v>.</v>
          </cell>
        </row>
        <row r="995">
          <cell r="BD995" t="str">
            <v>.</v>
          </cell>
        </row>
        <row r="996">
          <cell r="C996" t="str">
            <v>.</v>
          </cell>
          <cell r="D996" t="str">
            <v>.</v>
          </cell>
          <cell r="E996" t="str">
            <v>.</v>
          </cell>
          <cell r="F996" t="str">
            <v>.</v>
          </cell>
          <cell r="G996" t="str">
            <v>.</v>
          </cell>
          <cell r="H996" t="str">
            <v>.</v>
          </cell>
          <cell r="BD996" t="str">
            <v>.</v>
          </cell>
        </row>
        <row r="997">
          <cell r="A997" t="str">
            <v>.</v>
          </cell>
          <cell r="B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cell r="BC997" t="str">
            <v>.</v>
          </cell>
          <cell r="BD997" t="str">
            <v>.</v>
          </cell>
        </row>
      </sheetData>
      <sheetData sheetId="26"/>
      <sheetData sheetId="27">
        <row r="1">
          <cell r="A1" t="str">
            <v>RRS-5.10</v>
          </cell>
        </row>
      </sheetData>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2)"/>
      <sheetName val="AFFILIATES"/>
      <sheetName val="Ratio"/>
      <sheetName val="Ace-In"/>
      <sheetName val="Ace-Out"/>
      <sheetName val="Cover"/>
      <sheetName val="QQ"/>
      <sheetName val="Earnings Tables"/>
      <sheetName val="Number of shares"/>
      <sheetName val="Earnings per share"/>
      <sheetName val="IS segment PY"/>
      <sheetName val="IS segment CY"/>
      <sheetName val="Financial Tables"/>
      <sheetName val="Copy of KS055550"/>
      <sheetName val="EARNINGS"/>
      <sheetName val="Consolidated input"/>
      <sheetName val="RI Valuation"/>
      <sheetName val="Monitor"/>
      <sheetName val="FCF"/>
      <sheetName val="Financial Statements"/>
      <sheetName val="EM"/>
      <sheetName val="Rent analysis"/>
      <sheetName val="Timeline"/>
      <sheetName val="store profile and sales mix"/>
      <sheetName val="reconciliation of note 2"/>
      <sheetName val="FY19"/>
      <sheetName val="6902"/>
      <sheetName val="Valuations"/>
      <sheetName val="Model (Yue Yuen)"/>
      <sheetName val="P"/>
      <sheetName val="CREDIT MODEL"/>
      <sheetName val="IS"/>
    </sheetNames>
    <sheetDataSet>
      <sheetData sheetId="0" refreshError="1"/>
      <sheetData sheetId="1" refreshError="1"/>
      <sheetData sheetId="2" refreshError="1"/>
      <sheetData sheetId="3" refreshError="1"/>
      <sheetData sheetId="4" refreshError="1"/>
      <sheetData sheetId="5" refreshError="1">
        <row r="1">
          <cell r="A1" t="str">
            <v>SHINHAN FINANCIAL GROUP: KEY AFFILIATES</v>
          </cell>
        </row>
        <row r="2">
          <cell r="A2" t="str">
            <v>(Won billions)</v>
          </cell>
          <cell r="B2">
            <v>1996</v>
          </cell>
          <cell r="C2">
            <v>1997</v>
          </cell>
          <cell r="D2">
            <v>1998</v>
          </cell>
          <cell r="E2">
            <v>1999</v>
          </cell>
          <cell r="F2">
            <v>2000</v>
          </cell>
          <cell r="G2">
            <v>2001</v>
          </cell>
          <cell r="H2">
            <v>2002</v>
          </cell>
          <cell r="I2">
            <v>2003</v>
          </cell>
          <cell r="J2">
            <v>2004</v>
          </cell>
          <cell r="K2">
            <v>2005</v>
          </cell>
          <cell r="L2" t="str">
            <v>2006P</v>
          </cell>
          <cell r="M2" t="str">
            <v>2007E</v>
          </cell>
          <cell r="N2" t="str">
            <v>2008E</v>
          </cell>
          <cell r="O2" t="str">
            <v>2009E</v>
          </cell>
          <cell r="P2" t="str">
            <v>2010E</v>
          </cell>
          <cell r="Q2" t="str">
            <v>2011E</v>
          </cell>
          <cell r="AA2" t="str">
            <v>1Q02</v>
          </cell>
          <cell r="AB2" t="str">
            <v>2Q02</v>
          </cell>
          <cell r="AC2" t="str">
            <v>3Q02</v>
          </cell>
          <cell r="AD2" t="str">
            <v>4Q02</v>
          </cell>
          <cell r="AE2" t="str">
            <v>1Q03</v>
          </cell>
          <cell r="AF2" t="str">
            <v>2Q03</v>
          </cell>
          <cell r="AG2" t="str">
            <v>3Q03</v>
          </cell>
          <cell r="AH2" t="str">
            <v>4Q03</v>
          </cell>
          <cell r="AI2" t="str">
            <v>1Q04</v>
          </cell>
          <cell r="AJ2" t="str">
            <v>2Q04</v>
          </cell>
          <cell r="AK2" t="str">
            <v>3Q04</v>
          </cell>
          <cell r="AL2" t="str">
            <v>4Q04</v>
          </cell>
          <cell r="AM2" t="str">
            <v>1Q05</v>
          </cell>
          <cell r="AN2" t="str">
            <v>2Q05</v>
          </cell>
          <cell r="AO2" t="str">
            <v>3Q05</v>
          </cell>
          <cell r="AP2" t="str">
            <v>4Q05</v>
          </cell>
          <cell r="AQ2" t="str">
            <v>1Q06</v>
          </cell>
          <cell r="AR2" t="str">
            <v>2Q06</v>
          </cell>
          <cell r="AS2" t="str">
            <v>3Q06</v>
          </cell>
          <cell r="AT2" t="str">
            <v>4Q06</v>
          </cell>
          <cell r="AU2" t="str">
            <v>1Q07P</v>
          </cell>
          <cell r="AV2" t="str">
            <v>2Q07E</v>
          </cell>
          <cell r="AW2" t="str">
            <v>3Q07E</v>
          </cell>
          <cell r="AX2" t="str">
            <v>4Q07E</v>
          </cell>
          <cell r="AY2" t="str">
            <v>1Q08E</v>
          </cell>
          <cell r="AZ2" t="str">
            <v>2Q08E</v>
          </cell>
          <cell r="BA2" t="str">
            <v>3Q08E</v>
          </cell>
          <cell r="BB2" t="str">
            <v>4Q08E</v>
          </cell>
          <cell r="BC2" t="str">
            <v>1Q09E</v>
          </cell>
          <cell r="BD2" t="str">
            <v>2Q09E</v>
          </cell>
          <cell r="BE2" t="str">
            <v>3Q09E</v>
          </cell>
          <cell r="BF2" t="str">
            <v>4Q09E</v>
          </cell>
          <cell r="BG2" t="str">
            <v>1Q10E</v>
          </cell>
          <cell r="BH2" t="str">
            <v>2Q10E</v>
          </cell>
          <cell r="BI2" t="str">
            <v>3Q10E</v>
          </cell>
          <cell r="BJ2" t="str">
            <v>4Q10E</v>
          </cell>
          <cell r="BK2" t="str">
            <v>1Q11E</v>
          </cell>
          <cell r="BL2" t="str">
            <v>2Q11E</v>
          </cell>
          <cell r="BM2" t="str">
            <v>3Q11E</v>
          </cell>
          <cell r="BN2" t="str">
            <v>4Q11E</v>
          </cell>
        </row>
        <row r="3">
          <cell r="A3" t="str">
            <v>Shinhan Bank (excl. Chohung Bank)</v>
          </cell>
        </row>
        <row r="4">
          <cell r="A4" t="str">
            <v xml:space="preserve">   % ownership</v>
          </cell>
          <cell r="H4">
            <v>1</v>
          </cell>
        </row>
        <row r="5">
          <cell r="A5" t="str">
            <v>Net interest income</v>
          </cell>
          <cell r="H5">
            <v>1216.8511599999999</v>
          </cell>
          <cell r="I5">
            <v>1411.212</v>
          </cell>
          <cell r="J5">
            <v>1496.19</v>
          </cell>
          <cell r="K5">
            <v>1475.0719999999999</v>
          </cell>
        </row>
        <row r="6">
          <cell r="A6" t="str">
            <v xml:space="preserve">   % of parent comp</v>
          </cell>
          <cell r="H6" t="e">
            <v>#REF!</v>
          </cell>
          <cell r="I6" t="e">
            <v>#REF!</v>
          </cell>
          <cell r="J6" t="e">
            <v>#REF!</v>
          </cell>
          <cell r="K6" t="e">
            <v>#REF!</v>
          </cell>
        </row>
        <row r="7">
          <cell r="A7" t="str">
            <v>Non-interest income</v>
          </cell>
          <cell r="H7">
            <v>509.43027599999999</v>
          </cell>
          <cell r="I7">
            <v>363.82159999999999</v>
          </cell>
          <cell r="J7">
            <v>490.08434812800004</v>
          </cell>
          <cell r="K7">
            <v>473.73927897000004</v>
          </cell>
        </row>
        <row r="8">
          <cell r="A8" t="str">
            <v xml:space="preserve">   % of parent comp</v>
          </cell>
          <cell r="H8" t="e">
            <v>#REF!</v>
          </cell>
          <cell r="I8" t="e">
            <v>#REF!</v>
          </cell>
          <cell r="J8" t="e">
            <v>#REF!</v>
          </cell>
          <cell r="K8" t="e">
            <v>#REF!</v>
          </cell>
        </row>
        <row r="9">
          <cell r="A9" t="str">
            <v>Net operating revenue</v>
          </cell>
          <cell r="H9">
            <v>1726.281436</v>
          </cell>
          <cell r="I9">
            <v>1775.0336</v>
          </cell>
          <cell r="J9">
            <v>1986.2743481280002</v>
          </cell>
          <cell r="K9">
            <v>1948.8112789699999</v>
          </cell>
        </row>
        <row r="10">
          <cell r="A10" t="str">
            <v xml:space="preserve">   % of parent comp</v>
          </cell>
          <cell r="H10" t="e">
            <v>#REF!</v>
          </cell>
          <cell r="I10" t="e">
            <v>#REF!</v>
          </cell>
          <cell r="J10" t="e">
            <v>#REF!</v>
          </cell>
          <cell r="K10" t="e">
            <v>#REF!</v>
          </cell>
        </row>
        <row r="11">
          <cell r="A11" t="str">
            <v>SG&amp;A</v>
          </cell>
          <cell r="H11">
            <v>625.59020299999997</v>
          </cell>
          <cell r="I11">
            <v>668.62800000000004</v>
          </cell>
          <cell r="J11">
            <v>729.69299999999998</v>
          </cell>
          <cell r="K11">
            <v>834.63900000000001</v>
          </cell>
        </row>
        <row r="12">
          <cell r="A12" t="str">
            <v xml:space="preserve">   % of parent comp</v>
          </cell>
          <cell r="H12" t="e">
            <v>#REF!</v>
          </cell>
          <cell r="I12" t="e">
            <v>#REF!</v>
          </cell>
          <cell r="J12" t="e">
            <v>#REF!</v>
          </cell>
          <cell r="K12" t="e">
            <v>#REF!</v>
          </cell>
        </row>
        <row r="13">
          <cell r="A13" t="str">
            <v>PPOP</v>
          </cell>
          <cell r="H13">
            <v>1100.691233</v>
          </cell>
          <cell r="I13">
            <v>1106.4056</v>
          </cell>
          <cell r="J13">
            <v>1256.5813481280002</v>
          </cell>
          <cell r="K13">
            <v>1114.1722789699998</v>
          </cell>
        </row>
        <row r="14">
          <cell r="A14" t="str">
            <v xml:space="preserve">   % of parent comp</v>
          </cell>
          <cell r="H14" t="e">
            <v>#REF!</v>
          </cell>
          <cell r="I14" t="e">
            <v>#REF!</v>
          </cell>
          <cell r="J14" t="e">
            <v>#REF!</v>
          </cell>
          <cell r="K14" t="e">
            <v>#REF!</v>
          </cell>
        </row>
        <row r="15">
          <cell r="A15" t="str">
            <v>Provisioning</v>
          </cell>
          <cell r="H15">
            <v>168.284063</v>
          </cell>
          <cell r="I15">
            <v>435.05059999999997</v>
          </cell>
          <cell r="J15">
            <v>220.70334812799999</v>
          </cell>
          <cell r="K15">
            <v>173.60327896999999</v>
          </cell>
        </row>
        <row r="16">
          <cell r="A16" t="str">
            <v xml:space="preserve">   % of parent comp</v>
          </cell>
          <cell r="H16" t="e">
            <v>#REF!</v>
          </cell>
          <cell r="I16" t="e">
            <v>#REF!</v>
          </cell>
          <cell r="J16" t="e">
            <v>#REF!</v>
          </cell>
          <cell r="K16" t="e">
            <v>#REF!</v>
          </cell>
        </row>
        <row r="17">
          <cell r="A17" t="str">
            <v>OP profit</v>
          </cell>
          <cell r="H17">
            <v>932.40716999999995</v>
          </cell>
          <cell r="I17">
            <v>671.35500000000002</v>
          </cell>
          <cell r="J17">
            <v>1035.8780000000002</v>
          </cell>
          <cell r="K17">
            <v>940.56899999999973</v>
          </cell>
        </row>
        <row r="18">
          <cell r="A18" t="str">
            <v xml:space="preserve">   % of parent comp</v>
          </cell>
          <cell r="H18" t="e">
            <v>#REF!</v>
          </cell>
          <cell r="I18" t="e">
            <v>#REF!</v>
          </cell>
          <cell r="J18" t="e">
            <v>#REF!</v>
          </cell>
          <cell r="K18" t="e">
            <v>#REF!</v>
          </cell>
        </row>
        <row r="19">
          <cell r="A19" t="str">
            <v>Net profit</v>
          </cell>
          <cell r="H19">
            <v>595.86568699999998</v>
          </cell>
          <cell r="I19">
            <v>476.02300000000002</v>
          </cell>
          <cell r="J19">
            <v>844.11300000000006</v>
          </cell>
          <cell r="K19">
            <v>774.42200000000003</v>
          </cell>
        </row>
        <row r="20">
          <cell r="A20" t="str">
            <v xml:space="preserve">   % of parent comp</v>
          </cell>
          <cell r="H20" t="e">
            <v>#REF!</v>
          </cell>
          <cell r="I20" t="e">
            <v>#REF!</v>
          </cell>
          <cell r="J20" t="e">
            <v>#REF!</v>
          </cell>
          <cell r="K20" t="e">
            <v>#REF!</v>
          </cell>
        </row>
        <row r="24">
          <cell r="A24" t="str">
            <v>Total assets</v>
          </cell>
          <cell r="H24">
            <v>58889.402324000002</v>
          </cell>
          <cell r="I24">
            <v>70071.192999999999</v>
          </cell>
          <cell r="J24">
            <v>70096.962</v>
          </cell>
          <cell r="K24">
            <v>75641.967999999993</v>
          </cell>
        </row>
        <row r="25">
          <cell r="A25" t="str">
            <v xml:space="preserve">   % of parent comp</v>
          </cell>
          <cell r="H25" t="e">
            <v>#REF!</v>
          </cell>
          <cell r="I25" t="e">
            <v>#REF!</v>
          </cell>
          <cell r="J25" t="e">
            <v>#REF!</v>
          </cell>
          <cell r="K25" t="e">
            <v>#REF!</v>
          </cell>
        </row>
        <row r="26">
          <cell r="A26" t="str">
            <v>Loans (Net)</v>
          </cell>
          <cell r="H26">
            <v>40579.005663999997</v>
          </cell>
          <cell r="I26">
            <v>47783.925999999999</v>
          </cell>
          <cell r="J26">
            <v>50868.040999999997</v>
          </cell>
          <cell r="K26">
            <v>55191.023000000001</v>
          </cell>
        </row>
        <row r="27">
          <cell r="A27" t="str">
            <v xml:space="preserve">   % of parent comp</v>
          </cell>
          <cell r="H27" t="e">
            <v>#REF!</v>
          </cell>
          <cell r="I27" t="e">
            <v>#REF!</v>
          </cell>
          <cell r="J27" t="e">
            <v>#REF!</v>
          </cell>
          <cell r="K27" t="e">
            <v>#REF!</v>
          </cell>
        </row>
        <row r="28">
          <cell r="A28" t="str">
            <v>Total liabilities</v>
          </cell>
          <cell r="H28">
            <v>56028.923707000002</v>
          </cell>
          <cell r="I28">
            <v>66555.824999999997</v>
          </cell>
          <cell r="J28">
            <v>65971.959000000003</v>
          </cell>
          <cell r="K28">
            <v>71042.5</v>
          </cell>
        </row>
        <row r="29">
          <cell r="A29" t="str">
            <v xml:space="preserve">   % of parent comp</v>
          </cell>
          <cell r="H29" t="e">
            <v>#REF!</v>
          </cell>
          <cell r="I29" t="e">
            <v>#REF!</v>
          </cell>
          <cell r="J29" t="e">
            <v>#REF!</v>
          </cell>
          <cell r="K29" t="e">
            <v>#REF!</v>
          </cell>
        </row>
        <row r="30">
          <cell r="A30" t="str">
            <v>Deposits</v>
          </cell>
          <cell r="H30">
            <v>35183.536976000003</v>
          </cell>
          <cell r="I30">
            <v>41991.839</v>
          </cell>
          <cell r="J30">
            <v>40668.093999999997</v>
          </cell>
          <cell r="K30">
            <v>43996.904000000002</v>
          </cell>
        </row>
        <row r="31">
          <cell r="A31" t="str">
            <v xml:space="preserve">   % of parent comp</v>
          </cell>
          <cell r="H31" t="e">
            <v>#REF!</v>
          </cell>
          <cell r="I31" t="e">
            <v>#REF!</v>
          </cell>
          <cell r="J31" t="e">
            <v>#REF!</v>
          </cell>
          <cell r="K31" t="e">
            <v>#REF!</v>
          </cell>
        </row>
        <row r="32">
          <cell r="A32" t="str">
            <v>Total shareholders' equity</v>
          </cell>
          <cell r="H32">
            <v>2860.4786180000001</v>
          </cell>
          <cell r="I32">
            <v>3515.3679999999999</v>
          </cell>
          <cell r="J32">
            <v>4125.0029999999997</v>
          </cell>
          <cell r="K32">
            <v>4599.4679999999998</v>
          </cell>
        </row>
        <row r="33">
          <cell r="A33" t="str">
            <v xml:space="preserve">   % of parent comp</v>
          </cell>
          <cell r="H33" t="e">
            <v>#REF!</v>
          </cell>
          <cell r="I33" t="e">
            <v>#REF!</v>
          </cell>
          <cell r="J33" t="e">
            <v>#REF!</v>
          </cell>
          <cell r="K33" t="e">
            <v>#REF!</v>
          </cell>
        </row>
        <row r="35">
          <cell r="A35" t="str">
            <v>Chohung Bank</v>
          </cell>
        </row>
        <row r="36">
          <cell r="A36" t="str">
            <v xml:space="preserve">   % ownership</v>
          </cell>
          <cell r="H36">
            <v>1</v>
          </cell>
        </row>
        <row r="37">
          <cell r="A37" t="str">
            <v>Net interest income</v>
          </cell>
          <cell r="H37">
            <v>1211.9849999999999</v>
          </cell>
          <cell r="I37">
            <v>1330.527</v>
          </cell>
          <cell r="J37">
            <v>1399.374</v>
          </cell>
          <cell r="K37">
            <v>2091.491</v>
          </cell>
        </row>
        <row r="38">
          <cell r="A38" t="str">
            <v xml:space="preserve">   % of parent comp</v>
          </cell>
          <cell r="H38" t="str">
            <v>NM</v>
          </cell>
          <cell r="I38" t="e">
            <v>#REF!</v>
          </cell>
          <cell r="J38" t="e">
            <v>#REF!</v>
          </cell>
          <cell r="K38" t="e">
            <v>#REF!</v>
          </cell>
        </row>
        <row r="39">
          <cell r="A39" t="str">
            <v>Non-interest income</v>
          </cell>
          <cell r="H39">
            <v>1141.1569999999999</v>
          </cell>
          <cell r="I39">
            <v>1023.769</v>
          </cell>
          <cell r="J39">
            <v>914.46979999999996</v>
          </cell>
          <cell r="K39">
            <v>251.70500000000001</v>
          </cell>
        </row>
        <row r="40">
          <cell r="A40" t="str">
            <v xml:space="preserve">   % of parent comp</v>
          </cell>
          <cell r="H40" t="str">
            <v>NM</v>
          </cell>
          <cell r="I40" t="e">
            <v>#REF!</v>
          </cell>
          <cell r="J40" t="e">
            <v>#REF!</v>
          </cell>
          <cell r="K40" t="e">
            <v>#REF!</v>
          </cell>
        </row>
        <row r="41">
          <cell r="A41" t="str">
            <v>Net operating revenue</v>
          </cell>
          <cell r="H41">
            <v>2353.1419999999998</v>
          </cell>
          <cell r="I41">
            <v>2354.2960000000003</v>
          </cell>
          <cell r="J41">
            <v>2313.8438000000001</v>
          </cell>
          <cell r="K41">
            <v>2343.1959999999999</v>
          </cell>
        </row>
        <row r="42">
          <cell r="A42" t="str">
            <v xml:space="preserve">   % of parent comp</v>
          </cell>
          <cell r="H42" t="str">
            <v>NM</v>
          </cell>
          <cell r="I42" t="e">
            <v>#REF!</v>
          </cell>
          <cell r="J42" t="e">
            <v>#REF!</v>
          </cell>
          <cell r="K42" t="e">
            <v>#REF!</v>
          </cell>
        </row>
        <row r="43">
          <cell r="A43" t="str">
            <v>SG&amp;A</v>
          </cell>
          <cell r="H43">
            <v>856.32799999999997</v>
          </cell>
          <cell r="I43">
            <v>908.24900000000002</v>
          </cell>
          <cell r="J43">
            <v>960.85299999999995</v>
          </cell>
          <cell r="K43">
            <v>1038.9079999999999</v>
          </cell>
        </row>
        <row r="44">
          <cell r="A44" t="str">
            <v xml:space="preserve">   % of parent comp</v>
          </cell>
          <cell r="H44" t="str">
            <v>NM</v>
          </cell>
          <cell r="I44" t="e">
            <v>#REF!</v>
          </cell>
          <cell r="J44" t="e">
            <v>#REF!</v>
          </cell>
          <cell r="K44" t="e">
            <v>#REF!</v>
          </cell>
        </row>
        <row r="45">
          <cell r="A45" t="str">
            <v>PPOP</v>
          </cell>
          <cell r="H45">
            <v>1496.8139999999999</v>
          </cell>
          <cell r="I45">
            <v>1446.0470000000003</v>
          </cell>
          <cell r="J45">
            <v>1352.9908</v>
          </cell>
          <cell r="K45">
            <v>1304.288</v>
          </cell>
        </row>
        <row r="46">
          <cell r="A46" t="str">
            <v xml:space="preserve">   % of parent comp</v>
          </cell>
          <cell r="H46" t="str">
            <v>NM</v>
          </cell>
          <cell r="I46" t="e">
            <v>#REF!</v>
          </cell>
          <cell r="J46" t="e">
            <v>#REF!</v>
          </cell>
          <cell r="K46" t="e">
            <v>#REF!</v>
          </cell>
        </row>
        <row r="47">
          <cell r="A47" t="str">
            <v>Provisioning</v>
          </cell>
          <cell r="H47">
            <v>1631.5630000000001</v>
          </cell>
          <cell r="I47">
            <v>2133.1759999999999</v>
          </cell>
          <cell r="J47">
            <v>1030.1368</v>
          </cell>
          <cell r="K47">
            <v>660.70600000000002</v>
          </cell>
        </row>
        <row r="48">
          <cell r="A48" t="str">
            <v xml:space="preserve">   % of parent comp</v>
          </cell>
          <cell r="H48" t="str">
            <v>NM</v>
          </cell>
          <cell r="I48" t="e">
            <v>#REF!</v>
          </cell>
          <cell r="J48" t="e">
            <v>#REF!</v>
          </cell>
          <cell r="K48" t="e">
            <v>#REF!</v>
          </cell>
        </row>
        <row r="49">
          <cell r="A49" t="str">
            <v>OP profit</v>
          </cell>
          <cell r="H49">
            <v>-134.74900000000025</v>
          </cell>
          <cell r="I49">
            <v>-687.12899999999968</v>
          </cell>
          <cell r="J49">
            <v>322.85400000000004</v>
          </cell>
          <cell r="K49">
            <v>643.58199999999999</v>
          </cell>
        </row>
        <row r="50">
          <cell r="A50" t="str">
            <v xml:space="preserve">   % of parent comp</v>
          </cell>
          <cell r="H50" t="str">
            <v>NM</v>
          </cell>
          <cell r="I50" t="e">
            <v>#REF!</v>
          </cell>
          <cell r="J50" t="e">
            <v>#REF!</v>
          </cell>
          <cell r="K50" t="e">
            <v>#REF!</v>
          </cell>
        </row>
        <row r="51">
          <cell r="A51" t="str">
            <v>Net profit</v>
          </cell>
          <cell r="H51">
            <v>-586.04499999999996</v>
          </cell>
          <cell r="I51">
            <v>-968.94</v>
          </cell>
          <cell r="J51">
            <v>265.238</v>
          </cell>
          <cell r="K51">
            <v>756.505</v>
          </cell>
        </row>
        <row r="52">
          <cell r="A52" t="str">
            <v xml:space="preserve">   % of parent comp</v>
          </cell>
          <cell r="H52" t="str">
            <v>NM</v>
          </cell>
          <cell r="I52" t="e">
            <v>#REF!</v>
          </cell>
          <cell r="J52" t="e">
            <v>#REF!</v>
          </cell>
          <cell r="K52" t="e">
            <v>#REF!</v>
          </cell>
        </row>
        <row r="56">
          <cell r="A56" t="str">
            <v>Total assets</v>
          </cell>
          <cell r="H56">
            <v>66196.288</v>
          </cell>
          <cell r="I56">
            <v>59225.584999999999</v>
          </cell>
          <cell r="J56">
            <v>65389.1</v>
          </cell>
          <cell r="K56">
            <v>66609.525999999998</v>
          </cell>
        </row>
        <row r="57">
          <cell r="A57" t="str">
            <v xml:space="preserve">   % of parent comp</v>
          </cell>
          <cell r="H57" t="str">
            <v>NM</v>
          </cell>
          <cell r="I57" t="e">
            <v>#REF!</v>
          </cell>
          <cell r="J57" t="e">
            <v>#REF!</v>
          </cell>
          <cell r="K57" t="e">
            <v>#REF!</v>
          </cell>
        </row>
        <row r="58">
          <cell r="A58" t="str">
            <v>Loans (Net)</v>
          </cell>
          <cell r="H58">
            <v>45328.52</v>
          </cell>
          <cell r="I58">
            <v>42701.665999999997</v>
          </cell>
          <cell r="J58">
            <v>41586.845999999998</v>
          </cell>
          <cell r="K58">
            <v>44648.307999999997</v>
          </cell>
        </row>
        <row r="59">
          <cell r="A59" t="str">
            <v xml:space="preserve">   % of parent comp</v>
          </cell>
          <cell r="H59" t="str">
            <v>NM</v>
          </cell>
          <cell r="I59" t="e">
            <v>#REF!</v>
          </cell>
          <cell r="J59" t="e">
            <v>#REF!</v>
          </cell>
          <cell r="K59" t="e">
            <v>#REF!</v>
          </cell>
        </row>
        <row r="60">
          <cell r="A60" t="str">
            <v>Total liabilities</v>
          </cell>
          <cell r="H60">
            <v>63903.99</v>
          </cell>
          <cell r="I60">
            <v>57289.224000000002</v>
          </cell>
          <cell r="J60">
            <v>62778.171999999999</v>
          </cell>
          <cell r="K60">
            <v>62783.303999999996</v>
          </cell>
        </row>
        <row r="61">
          <cell r="A61" t="str">
            <v xml:space="preserve">   % of parent comp</v>
          </cell>
          <cell r="H61" t="str">
            <v>NM</v>
          </cell>
          <cell r="I61" t="e">
            <v>#REF!</v>
          </cell>
          <cell r="J61" t="e">
            <v>#REF!</v>
          </cell>
          <cell r="K61" t="e">
            <v>#REF!</v>
          </cell>
        </row>
        <row r="62">
          <cell r="A62" t="str">
            <v>Deposits</v>
          </cell>
          <cell r="H62">
            <v>45125.839</v>
          </cell>
          <cell r="I62">
            <v>40030.091</v>
          </cell>
          <cell r="J62">
            <v>41313.072999999997</v>
          </cell>
          <cell r="K62">
            <v>41404.813999999998</v>
          </cell>
        </row>
        <row r="63">
          <cell r="A63" t="str">
            <v xml:space="preserve">   % of parent comp</v>
          </cell>
          <cell r="H63" t="str">
            <v>NM</v>
          </cell>
          <cell r="I63" t="e">
            <v>#REF!</v>
          </cell>
          <cell r="J63" t="e">
            <v>#REF!</v>
          </cell>
          <cell r="K63" t="e">
            <v>#REF!</v>
          </cell>
        </row>
        <row r="64">
          <cell r="A64" t="str">
            <v>Total shareholders' equity</v>
          </cell>
          <cell r="H64">
            <v>2292.2979999999998</v>
          </cell>
          <cell r="I64">
            <v>1936.3610000000001</v>
          </cell>
          <cell r="J64">
            <v>2610.9279999999999</v>
          </cell>
          <cell r="K64">
            <v>3826.2220000000002</v>
          </cell>
        </row>
        <row r="65">
          <cell r="A65" t="str">
            <v xml:space="preserve">   % of parent comp</v>
          </cell>
          <cell r="H65" t="str">
            <v>NM</v>
          </cell>
          <cell r="I65" t="e">
            <v>#REF!</v>
          </cell>
          <cell r="J65" t="e">
            <v>#REF!</v>
          </cell>
          <cell r="K65" t="e">
            <v>#REF!</v>
          </cell>
        </row>
        <row r="67">
          <cell r="A67" t="str">
            <v>Shinhan Bank (Combined with Chohung)</v>
          </cell>
        </row>
        <row r="68">
          <cell r="A68" t="str">
            <v xml:space="preserve">   % ownership</v>
          </cell>
          <cell r="H68">
            <v>1</v>
          </cell>
        </row>
        <row r="69">
          <cell r="A69" t="str">
            <v>Net interest income</v>
          </cell>
        </row>
        <row r="70">
          <cell r="A70" t="str">
            <v xml:space="preserve">   % of parent comp</v>
          </cell>
        </row>
        <row r="71">
          <cell r="A71" t="str">
            <v>Non-interest income</v>
          </cell>
        </row>
        <row r="72">
          <cell r="A72" t="str">
            <v xml:space="preserve">   % of parent comp</v>
          </cell>
        </row>
        <row r="73">
          <cell r="A73" t="str">
            <v>Net operating revenue</v>
          </cell>
        </row>
        <row r="74">
          <cell r="A74" t="str">
            <v xml:space="preserve">   % of parent comp</v>
          </cell>
        </row>
        <row r="75">
          <cell r="A75" t="str">
            <v>SG&amp;A</v>
          </cell>
        </row>
        <row r="76">
          <cell r="A76" t="str">
            <v xml:space="preserve">   % of parent comp</v>
          </cell>
        </row>
        <row r="77">
          <cell r="A77" t="str">
            <v>PPOP</v>
          </cell>
        </row>
        <row r="78">
          <cell r="A78" t="str">
            <v xml:space="preserve">   % of parent comp</v>
          </cell>
        </row>
        <row r="79">
          <cell r="A79" t="str">
            <v>Provisioning</v>
          </cell>
        </row>
        <row r="80">
          <cell r="A80" t="str">
            <v xml:space="preserve">   % of parent comp</v>
          </cell>
        </row>
        <row r="81">
          <cell r="A81" t="str">
            <v>OP profit</v>
          </cell>
        </row>
        <row r="82">
          <cell r="A82" t="str">
            <v xml:space="preserve">   % of parent comp</v>
          </cell>
        </row>
        <row r="83">
          <cell r="A83" t="str">
            <v>Net profit</v>
          </cell>
        </row>
        <row r="84">
          <cell r="A84" t="str">
            <v xml:space="preserve">   % of parent comp</v>
          </cell>
        </row>
        <row r="85">
          <cell r="A85" t="str">
            <v xml:space="preserve">   Dividend</v>
          </cell>
        </row>
        <row r="86">
          <cell r="A86" t="str">
            <v xml:space="preserve">   Profits subject to equity method</v>
          </cell>
        </row>
        <row r="87">
          <cell r="A87" t="str">
            <v xml:space="preserve">   Contribution to equity method income</v>
          </cell>
        </row>
        <row r="88">
          <cell r="A88" t="str">
            <v>Total assets</v>
          </cell>
        </row>
        <row r="89">
          <cell r="A89" t="str">
            <v xml:space="preserve">   % of parent comp</v>
          </cell>
        </row>
        <row r="90">
          <cell r="A90" t="str">
            <v>Loans (Net)</v>
          </cell>
        </row>
        <row r="91">
          <cell r="A91" t="str">
            <v xml:space="preserve">   % of parent comp</v>
          </cell>
        </row>
        <row r="92">
          <cell r="A92" t="str">
            <v>Total liabilities</v>
          </cell>
        </row>
        <row r="93">
          <cell r="A93" t="str">
            <v xml:space="preserve">   % of parent comp</v>
          </cell>
        </row>
        <row r="94">
          <cell r="A94" t="str">
            <v>Deposits</v>
          </cell>
        </row>
        <row r="95">
          <cell r="A95" t="str">
            <v xml:space="preserve">   % of parent comp</v>
          </cell>
        </row>
        <row r="96">
          <cell r="A96" t="str">
            <v>Total shareholders' equity</v>
          </cell>
        </row>
        <row r="97">
          <cell r="A97" t="str">
            <v xml:space="preserve">   % of parent comp</v>
          </cell>
        </row>
        <row r="99">
          <cell r="H99" t="str">
            <v xml:space="preserve">   Fiscal year ends March 31</v>
          </cell>
        </row>
        <row r="100">
          <cell r="A100" t="str">
            <v>GMSH Securities</v>
          </cell>
          <cell r="G100" t="str">
            <v>Mar 01</v>
          </cell>
          <cell r="H100" t="str">
            <v>Mar 02</v>
          </cell>
          <cell r="I100" t="str">
            <v>Mar 03</v>
          </cell>
          <cell r="J100" t="str">
            <v>Mar 04</v>
          </cell>
          <cell r="K100" t="str">
            <v>Mar 05</v>
          </cell>
          <cell r="L100" t="str">
            <v>Mar 06</v>
          </cell>
        </row>
        <row r="101">
          <cell r="A101" t="str">
            <v xml:space="preserve">   % ownership</v>
          </cell>
          <cell r="H101">
            <v>1</v>
          </cell>
        </row>
        <row r="102">
          <cell r="A102" t="str">
            <v>Net profit</v>
          </cell>
          <cell r="G102">
            <v>11.525</v>
          </cell>
          <cell r="H102">
            <v>51.105604995999997</v>
          </cell>
          <cell r="I102">
            <v>10.878</v>
          </cell>
          <cell r="J102">
            <v>80.655000000000001</v>
          </cell>
          <cell r="K102">
            <v>30.311</v>
          </cell>
          <cell r="L102">
            <v>101.48099999999999</v>
          </cell>
        </row>
        <row r="103">
          <cell r="A103" t="str">
            <v xml:space="preserve">   % of parent comp</v>
          </cell>
          <cell r="G103" t="e">
            <v>#REF!</v>
          </cell>
          <cell r="H103" t="e">
            <v>#REF!</v>
          </cell>
          <cell r="I103" t="e">
            <v>#REF!</v>
          </cell>
          <cell r="J103" t="e">
            <v>#REF!</v>
          </cell>
          <cell r="K103" t="e">
            <v>#REF!</v>
          </cell>
          <cell r="L103" t="e">
            <v>#REF!</v>
          </cell>
        </row>
        <row r="107">
          <cell r="A107" t="str">
            <v>Total assets</v>
          </cell>
          <cell r="G107">
            <v>656.90499999999997</v>
          </cell>
          <cell r="H107">
            <v>1657.283922283</v>
          </cell>
          <cell r="I107">
            <v>1996.992</v>
          </cell>
          <cell r="J107">
            <v>2251.4490000000001</v>
          </cell>
          <cell r="K107">
            <v>2887.2280000000001</v>
          </cell>
          <cell r="L107">
            <v>3659.2370000000001</v>
          </cell>
        </row>
        <row r="108">
          <cell r="A108" t="str">
            <v xml:space="preserve">   % of parent comp</v>
          </cell>
          <cell r="G108" t="e">
            <v>#REF!</v>
          </cell>
          <cell r="H108" t="e">
            <v>#REF!</v>
          </cell>
          <cell r="I108" t="e">
            <v>#REF!</v>
          </cell>
          <cell r="J108" t="e">
            <v>#REF!</v>
          </cell>
          <cell r="K108" t="e">
            <v>#REF!</v>
          </cell>
          <cell r="L108" t="e">
            <v>#REF!</v>
          </cell>
        </row>
        <row r="109">
          <cell r="A109" t="str">
            <v>Total liabilities</v>
          </cell>
          <cell r="G109">
            <v>596.17700000000002</v>
          </cell>
          <cell r="H109">
            <v>967.72410040099999</v>
          </cell>
          <cell r="I109">
            <v>1429.3420000000001</v>
          </cell>
          <cell r="J109">
            <v>1595.278</v>
          </cell>
          <cell r="K109">
            <v>2197.2620000000002</v>
          </cell>
          <cell r="L109">
            <v>2878.7310000000002</v>
          </cell>
        </row>
        <row r="110">
          <cell r="A110" t="str">
            <v xml:space="preserve">   % of parent comp</v>
          </cell>
          <cell r="G110" t="e">
            <v>#REF!</v>
          </cell>
          <cell r="H110" t="e">
            <v>#REF!</v>
          </cell>
          <cell r="I110" t="e">
            <v>#REF!</v>
          </cell>
          <cell r="J110" t="e">
            <v>#REF!</v>
          </cell>
          <cell r="K110" t="e">
            <v>#REF!</v>
          </cell>
          <cell r="L110" t="e">
            <v>#REF!</v>
          </cell>
        </row>
        <row r="111">
          <cell r="A111" t="str">
            <v>Total shareholders' equity</v>
          </cell>
          <cell r="G111">
            <v>11.525</v>
          </cell>
          <cell r="H111">
            <v>689.55982188200005</v>
          </cell>
          <cell r="I111">
            <v>567.65</v>
          </cell>
          <cell r="J111">
            <v>656.17100000000005</v>
          </cell>
          <cell r="K111">
            <v>689.96600000000001</v>
          </cell>
          <cell r="L111">
            <v>780.50599999999997</v>
          </cell>
        </row>
        <row r="112">
          <cell r="A112" t="str">
            <v xml:space="preserve">   % of parent comp</v>
          </cell>
          <cell r="G112" t="e">
            <v>#REF!</v>
          </cell>
          <cell r="H112" t="e">
            <v>#REF!</v>
          </cell>
          <cell r="I112" t="e">
            <v>#REF!</v>
          </cell>
          <cell r="J112" t="e">
            <v>#REF!</v>
          </cell>
          <cell r="K112" t="e">
            <v>#REF!</v>
          </cell>
          <cell r="L112" t="e">
            <v>#REF!</v>
          </cell>
        </row>
        <row r="113">
          <cell r="H113" t="str">
            <v xml:space="preserve">   Fiscal year ends March 31</v>
          </cell>
        </row>
        <row r="114">
          <cell r="A114" t="str">
            <v>Shinhan Life</v>
          </cell>
          <cell r="G114" t="str">
            <v>Mar 01</v>
          </cell>
          <cell r="H114" t="str">
            <v>Mar 02</v>
          </cell>
          <cell r="I114" t="str">
            <v>Mar 03</v>
          </cell>
          <cell r="J114" t="str">
            <v>Mar 04</v>
          </cell>
          <cell r="K114" t="str">
            <v>Mar 05</v>
          </cell>
          <cell r="L114" t="str">
            <v>Mar 06</v>
          </cell>
        </row>
        <row r="115">
          <cell r="A115" t="str">
            <v xml:space="preserve">   % ownership</v>
          </cell>
          <cell r="H115">
            <v>1</v>
          </cell>
        </row>
        <row r="116">
          <cell r="A116" t="str">
            <v>Net profit</v>
          </cell>
          <cell r="G116">
            <v>7.431</v>
          </cell>
          <cell r="H116">
            <v>12.089124999999999</v>
          </cell>
          <cell r="I116">
            <v>86.332932</v>
          </cell>
          <cell r="J116">
            <v>96.704583</v>
          </cell>
          <cell r="K116">
            <v>92.984376999999995</v>
          </cell>
          <cell r="L116">
            <v>101.904</v>
          </cell>
        </row>
        <row r="117">
          <cell r="A117" t="str">
            <v xml:space="preserve">   % of parent comp</v>
          </cell>
          <cell r="G117" t="e">
            <v>#REF!</v>
          </cell>
          <cell r="H117" t="e">
            <v>#REF!</v>
          </cell>
          <cell r="I117" t="e">
            <v>#REF!</v>
          </cell>
          <cell r="J117" t="e">
            <v>#REF!</v>
          </cell>
          <cell r="K117" t="e">
            <v>#REF!</v>
          </cell>
          <cell r="L117" t="e">
            <v>#REF!</v>
          </cell>
        </row>
        <row r="118">
          <cell r="G118">
            <v>0</v>
          </cell>
        </row>
        <row r="119">
          <cell r="G119">
            <v>7.431</v>
          </cell>
        </row>
        <row r="120">
          <cell r="G120">
            <v>7.431</v>
          </cell>
        </row>
        <row r="121">
          <cell r="A121" t="str">
            <v>Total assets</v>
          </cell>
          <cell r="G121">
            <v>38.225999999999999</v>
          </cell>
          <cell r="H121">
            <v>2039.5316740000001</v>
          </cell>
          <cell r="I121">
            <v>2513.2254720000001</v>
          </cell>
          <cell r="J121">
            <v>3322.802216</v>
          </cell>
          <cell r="K121">
            <v>4216.1948659999998</v>
          </cell>
          <cell r="L121">
            <v>5298.5990000000002</v>
          </cell>
        </row>
        <row r="122">
          <cell r="A122" t="str">
            <v xml:space="preserve">   % of parent comp</v>
          </cell>
          <cell r="G122" t="e">
            <v>#REF!</v>
          </cell>
          <cell r="H122" t="e">
            <v>#REF!</v>
          </cell>
          <cell r="I122" t="e">
            <v>#REF!</v>
          </cell>
          <cell r="J122" t="e">
            <v>#REF!</v>
          </cell>
          <cell r="K122" t="e">
            <v>#REF!</v>
          </cell>
          <cell r="L122" t="e">
            <v>#REF!</v>
          </cell>
        </row>
        <row r="123">
          <cell r="A123" t="str">
            <v>Total liabilities</v>
          </cell>
          <cell r="G123">
            <v>0.83899999999999997</v>
          </cell>
          <cell r="H123">
            <v>2118.9046159999998</v>
          </cell>
          <cell r="I123">
            <v>2537.9890190000001</v>
          </cell>
          <cell r="J123">
            <v>3181.847323</v>
          </cell>
          <cell r="K123">
            <v>3963.8310280000001</v>
          </cell>
          <cell r="L123">
            <v>4943.634</v>
          </cell>
        </row>
        <row r="124">
          <cell r="A124" t="str">
            <v xml:space="preserve">   % of parent comp</v>
          </cell>
          <cell r="G124" t="e">
            <v>#REF!</v>
          </cell>
          <cell r="H124" t="e">
            <v>#REF!</v>
          </cell>
          <cell r="I124" t="e">
            <v>#REF!</v>
          </cell>
          <cell r="J124" t="e">
            <v>#REF!</v>
          </cell>
          <cell r="K124" t="e">
            <v>#REF!</v>
          </cell>
          <cell r="L124" t="e">
            <v>#REF!</v>
          </cell>
        </row>
        <row r="125">
          <cell r="A125" t="str">
            <v>Total shareholders' equity</v>
          </cell>
          <cell r="G125">
            <v>37.387</v>
          </cell>
          <cell r="H125">
            <v>-79.372941999999995</v>
          </cell>
          <cell r="I125">
            <v>-24.763546999999999</v>
          </cell>
          <cell r="J125">
            <v>140.954892</v>
          </cell>
          <cell r="K125">
            <v>252.36383799999999</v>
          </cell>
          <cell r="L125">
            <v>354.96499999999997</v>
          </cell>
        </row>
        <row r="126">
          <cell r="A126" t="str">
            <v xml:space="preserve">   % of parent comp</v>
          </cell>
          <cell r="G126" t="e">
            <v>#REF!</v>
          </cell>
          <cell r="H126" t="e">
            <v>#REF!</v>
          </cell>
          <cell r="I126" t="e">
            <v>#REF!</v>
          </cell>
          <cell r="J126" t="e">
            <v>#REF!</v>
          </cell>
          <cell r="K126" t="e">
            <v>#REF!</v>
          </cell>
          <cell r="L126" t="e">
            <v>#REF!</v>
          </cell>
        </row>
        <row r="128">
          <cell r="A128" t="str">
            <v>Shinhan Card</v>
          </cell>
        </row>
        <row r="129">
          <cell r="A129" t="str">
            <v xml:space="preserve">   % ownership</v>
          </cell>
          <cell r="H129">
            <v>1</v>
          </cell>
        </row>
        <row r="130">
          <cell r="A130" t="str">
            <v>Net profit</v>
          </cell>
          <cell r="C130">
            <v>3.7829999999999999</v>
          </cell>
          <cell r="D130">
            <v>9.0220000000000002</v>
          </cell>
          <cell r="E130">
            <v>1.7</v>
          </cell>
          <cell r="F130">
            <v>-15.581</v>
          </cell>
          <cell r="G130">
            <v>3.8639999999999999</v>
          </cell>
          <cell r="H130">
            <v>0.503965</v>
          </cell>
          <cell r="I130">
            <v>-89.823999999999998</v>
          </cell>
          <cell r="J130">
            <v>5.8220000000000001</v>
          </cell>
          <cell r="K130">
            <v>54.241</v>
          </cell>
        </row>
        <row r="131">
          <cell r="A131" t="str">
            <v xml:space="preserve">   % of parent comp</v>
          </cell>
          <cell r="C131" t="e">
            <v>#REF!</v>
          </cell>
          <cell r="D131" t="e">
            <v>#REF!</v>
          </cell>
          <cell r="E131" t="e">
            <v>#REF!</v>
          </cell>
          <cell r="F131" t="e">
            <v>#REF!</v>
          </cell>
          <cell r="G131" t="e">
            <v>#REF!</v>
          </cell>
          <cell r="H131" t="e">
            <v>#REF!</v>
          </cell>
          <cell r="I131" t="e">
            <v>#REF!</v>
          </cell>
          <cell r="J131" t="e">
            <v>#REF!</v>
          </cell>
          <cell r="K131" t="e">
            <v>#REF!</v>
          </cell>
        </row>
        <row r="132">
          <cell r="C132">
            <v>0</v>
          </cell>
          <cell r="D132">
            <v>0</v>
          </cell>
          <cell r="E132">
            <v>0</v>
          </cell>
          <cell r="F132">
            <v>0</v>
          </cell>
          <cell r="G132">
            <v>0</v>
          </cell>
        </row>
        <row r="133">
          <cell r="C133">
            <v>3.7829999999999999</v>
          </cell>
          <cell r="D133">
            <v>9.0220000000000002</v>
          </cell>
          <cell r="E133">
            <v>1.7</v>
          </cell>
          <cell r="F133">
            <v>-15.581</v>
          </cell>
          <cell r="G133">
            <v>3.8639999999999999</v>
          </cell>
        </row>
        <row r="134">
          <cell r="C134">
            <v>3.7829999999999999</v>
          </cell>
          <cell r="D134">
            <v>9.0220000000000002</v>
          </cell>
          <cell r="E134">
            <v>1.7</v>
          </cell>
          <cell r="F134">
            <v>-15.581</v>
          </cell>
          <cell r="G134">
            <v>3.8639999999999999</v>
          </cell>
        </row>
        <row r="135">
          <cell r="A135" t="str">
            <v>Total assets</v>
          </cell>
          <cell r="C135">
            <v>19.986999999999998</v>
          </cell>
          <cell r="D135">
            <v>29.673999999999999</v>
          </cell>
          <cell r="E135">
            <v>392.49799999999999</v>
          </cell>
          <cell r="F135">
            <v>317.10399999999998</v>
          </cell>
          <cell r="G135">
            <v>290.09699999999998</v>
          </cell>
          <cell r="H135">
            <v>2473.6940049999998</v>
          </cell>
          <cell r="I135">
            <v>1778.193</v>
          </cell>
          <cell r="J135">
            <v>1469.925</v>
          </cell>
          <cell r="K135">
            <v>1532.29</v>
          </cell>
        </row>
        <row r="136">
          <cell r="A136" t="str">
            <v xml:space="preserve">   % of parent comp</v>
          </cell>
          <cell r="C136" t="e">
            <v>#REF!</v>
          </cell>
          <cell r="D136" t="e">
            <v>#REF!</v>
          </cell>
          <cell r="E136" t="e">
            <v>#REF!</v>
          </cell>
          <cell r="F136" t="e">
            <v>#REF!</v>
          </cell>
          <cell r="G136" t="e">
            <v>#REF!</v>
          </cell>
          <cell r="H136" t="e">
            <v>#REF!</v>
          </cell>
          <cell r="I136" t="e">
            <v>#REF!</v>
          </cell>
          <cell r="J136" t="e">
            <v>#REF!</v>
          </cell>
          <cell r="K136" t="e">
            <v>#REF!</v>
          </cell>
        </row>
        <row r="137">
          <cell r="A137" t="str">
            <v>Total liabilities</v>
          </cell>
          <cell r="C137">
            <v>7.63</v>
          </cell>
          <cell r="D137">
            <v>9.7949999999999999</v>
          </cell>
          <cell r="E137">
            <v>370.96</v>
          </cell>
          <cell r="F137">
            <v>311.14699999999999</v>
          </cell>
          <cell r="G137">
            <v>211.28299999999999</v>
          </cell>
          <cell r="H137">
            <v>2226.2338669999999</v>
          </cell>
          <cell r="I137">
            <v>1620.557</v>
          </cell>
          <cell r="J137">
            <v>1306.4670000000001</v>
          </cell>
          <cell r="K137">
            <v>1314.5909999999999</v>
          </cell>
        </row>
        <row r="138">
          <cell r="A138" t="str">
            <v xml:space="preserve">   % of parent comp</v>
          </cell>
          <cell r="C138" t="e">
            <v>#REF!</v>
          </cell>
          <cell r="D138" t="e">
            <v>#REF!</v>
          </cell>
          <cell r="E138" t="e">
            <v>#REF!</v>
          </cell>
          <cell r="F138" t="e">
            <v>#REF!</v>
          </cell>
          <cell r="G138" t="e">
            <v>#REF!</v>
          </cell>
          <cell r="H138" t="e">
            <v>#REF!</v>
          </cell>
          <cell r="I138" t="e">
            <v>#REF!</v>
          </cell>
          <cell r="J138" t="e">
            <v>#REF!</v>
          </cell>
          <cell r="K138" t="e">
            <v>#REF!</v>
          </cell>
        </row>
        <row r="139">
          <cell r="A139" t="str">
            <v>Total shareholders' equity</v>
          </cell>
          <cell r="C139">
            <v>12.356999999999999</v>
          </cell>
          <cell r="D139">
            <v>19.879000000000001</v>
          </cell>
          <cell r="E139">
            <v>21.538</v>
          </cell>
          <cell r="F139">
            <v>5.9569999999999999</v>
          </cell>
          <cell r="G139">
            <v>78.813999999999993</v>
          </cell>
          <cell r="H139">
            <v>247.460138</v>
          </cell>
          <cell r="I139">
            <v>157.636</v>
          </cell>
          <cell r="J139">
            <v>163.458</v>
          </cell>
          <cell r="K139">
            <v>217.69900000000001</v>
          </cell>
        </row>
        <row r="140">
          <cell r="A140" t="str">
            <v xml:space="preserve">   % of parent comp</v>
          </cell>
          <cell r="C140" t="e">
            <v>#REF!</v>
          </cell>
          <cell r="D140" t="e">
            <v>#REF!</v>
          </cell>
          <cell r="E140" t="e">
            <v>#REF!</v>
          </cell>
          <cell r="F140" t="e">
            <v>#REF!</v>
          </cell>
          <cell r="G140" t="e">
            <v>#REF!</v>
          </cell>
          <cell r="H140" t="e">
            <v>#REF!</v>
          </cell>
          <cell r="I140" t="e">
            <v>#REF!</v>
          </cell>
          <cell r="J140" t="e">
            <v>#REF!</v>
          </cell>
          <cell r="K140" t="e">
            <v>#REF!</v>
          </cell>
        </row>
        <row r="142">
          <cell r="A142" t="str">
            <v>Shinhan Capital</v>
          </cell>
        </row>
        <row r="143">
          <cell r="A143" t="str">
            <v xml:space="preserve">   % ownership</v>
          </cell>
          <cell r="H143">
            <v>1</v>
          </cell>
        </row>
        <row r="144">
          <cell r="A144" t="str">
            <v>Net profit</v>
          </cell>
          <cell r="C144">
            <v>3.7829999999999999</v>
          </cell>
          <cell r="D144">
            <v>9.0220000000000002</v>
          </cell>
          <cell r="E144">
            <v>1.7</v>
          </cell>
          <cell r="F144">
            <v>-15.581</v>
          </cell>
          <cell r="G144">
            <v>3.8639999999999999</v>
          </cell>
          <cell r="H144">
            <v>3.8272050000000002</v>
          </cell>
          <cell r="I144">
            <v>15.754735999999999</v>
          </cell>
          <cell r="J144">
            <v>23.056000000000001</v>
          </cell>
          <cell r="K144">
            <v>36.741999999999997</v>
          </cell>
        </row>
        <row r="145">
          <cell r="A145" t="str">
            <v xml:space="preserve">   % of parent comp</v>
          </cell>
          <cell r="C145" t="e">
            <v>#REF!</v>
          </cell>
          <cell r="D145" t="e">
            <v>#REF!</v>
          </cell>
          <cell r="E145" t="e">
            <v>#REF!</v>
          </cell>
          <cell r="F145" t="e">
            <v>#REF!</v>
          </cell>
          <cell r="G145" t="e">
            <v>#REF!</v>
          </cell>
          <cell r="H145" t="e">
            <v>#REF!</v>
          </cell>
          <cell r="I145" t="e">
            <v>#REF!</v>
          </cell>
          <cell r="J145" t="e">
            <v>#REF!</v>
          </cell>
          <cell r="K145" t="e">
            <v>#REF!</v>
          </cell>
        </row>
        <row r="146">
          <cell r="C146">
            <v>0</v>
          </cell>
          <cell r="D146">
            <v>0</v>
          </cell>
          <cell r="E146">
            <v>0</v>
          </cell>
          <cell r="F146">
            <v>0</v>
          </cell>
          <cell r="G146">
            <v>0</v>
          </cell>
        </row>
        <row r="147">
          <cell r="C147">
            <v>3.7829999999999999</v>
          </cell>
          <cell r="D147">
            <v>9.0220000000000002</v>
          </cell>
          <cell r="E147">
            <v>1.7</v>
          </cell>
          <cell r="F147">
            <v>-15.581</v>
          </cell>
          <cell r="G147">
            <v>3.8639999999999999</v>
          </cell>
        </row>
        <row r="148">
          <cell r="C148">
            <v>3.7829999999999999</v>
          </cell>
          <cell r="D148">
            <v>9.0220000000000002</v>
          </cell>
          <cell r="E148">
            <v>1.7</v>
          </cell>
          <cell r="F148">
            <v>-15.581</v>
          </cell>
          <cell r="G148">
            <v>3.8639999999999999</v>
          </cell>
        </row>
        <row r="149">
          <cell r="A149" t="str">
            <v>Total assets</v>
          </cell>
          <cell r="C149">
            <v>19.986999999999998</v>
          </cell>
          <cell r="D149">
            <v>29.673999999999999</v>
          </cell>
          <cell r="E149">
            <v>392.49799999999999</v>
          </cell>
          <cell r="F149">
            <v>317.10399999999998</v>
          </cell>
          <cell r="G149">
            <v>290.09699999999998</v>
          </cell>
          <cell r="H149">
            <v>960.23438299999998</v>
          </cell>
          <cell r="I149">
            <v>1153.906982</v>
          </cell>
          <cell r="J149">
            <v>1320.9290000000001</v>
          </cell>
          <cell r="K149">
            <v>1400.829</v>
          </cell>
        </row>
        <row r="150">
          <cell r="A150" t="str">
            <v xml:space="preserve">   % of parent comp</v>
          </cell>
          <cell r="C150" t="e">
            <v>#REF!</v>
          </cell>
          <cell r="D150" t="e">
            <v>#REF!</v>
          </cell>
          <cell r="E150" t="e">
            <v>#REF!</v>
          </cell>
          <cell r="F150" t="e">
            <v>#REF!</v>
          </cell>
          <cell r="G150" t="e">
            <v>#REF!</v>
          </cell>
          <cell r="H150" t="e">
            <v>#REF!</v>
          </cell>
          <cell r="I150" t="e">
            <v>#REF!</v>
          </cell>
          <cell r="J150" t="e">
            <v>#REF!</v>
          </cell>
          <cell r="K150" t="e">
            <v>#REF!</v>
          </cell>
        </row>
        <row r="151">
          <cell r="A151" t="str">
            <v>Total liabilities</v>
          </cell>
          <cell r="C151">
            <v>7.63</v>
          </cell>
          <cell r="D151">
            <v>9.7949999999999999</v>
          </cell>
          <cell r="E151">
            <v>370.96</v>
          </cell>
          <cell r="F151">
            <v>311.14699999999999</v>
          </cell>
          <cell r="G151">
            <v>211.28299999999999</v>
          </cell>
          <cell r="H151">
            <v>876.55106899999998</v>
          </cell>
          <cell r="I151">
            <v>1051.682816</v>
          </cell>
          <cell r="J151">
            <v>1201.5820000000001</v>
          </cell>
          <cell r="K151">
            <v>1251.895</v>
          </cell>
        </row>
        <row r="152">
          <cell r="A152" t="str">
            <v xml:space="preserve">   % of parent comp</v>
          </cell>
          <cell r="C152" t="e">
            <v>#REF!</v>
          </cell>
          <cell r="D152" t="e">
            <v>#REF!</v>
          </cell>
          <cell r="E152" t="e">
            <v>#REF!</v>
          </cell>
          <cell r="F152" t="e">
            <v>#REF!</v>
          </cell>
          <cell r="G152" t="e">
            <v>#REF!</v>
          </cell>
          <cell r="H152" t="e">
            <v>#REF!</v>
          </cell>
          <cell r="I152" t="e">
            <v>#REF!</v>
          </cell>
          <cell r="J152" t="e">
            <v>#REF!</v>
          </cell>
          <cell r="K152" t="e">
            <v>#REF!</v>
          </cell>
        </row>
        <row r="153">
          <cell r="A153" t="str">
            <v>Total shareholders' equity</v>
          </cell>
          <cell r="C153">
            <v>12.356999999999999</v>
          </cell>
          <cell r="D153">
            <v>19.879000000000001</v>
          </cell>
          <cell r="E153">
            <v>21.538</v>
          </cell>
          <cell r="F153">
            <v>5.9569999999999999</v>
          </cell>
          <cell r="G153">
            <v>78.813999999999993</v>
          </cell>
          <cell r="H153">
            <v>83.683312999999998</v>
          </cell>
          <cell r="I153">
            <v>102.224166</v>
          </cell>
          <cell r="J153">
            <v>119.34699999999999</v>
          </cell>
          <cell r="K153">
            <v>148.934</v>
          </cell>
        </row>
        <row r="154">
          <cell r="A154" t="str">
            <v xml:space="preserve">   % of parent comp</v>
          </cell>
          <cell r="C154" t="e">
            <v>#REF!</v>
          </cell>
          <cell r="D154" t="e">
            <v>#REF!</v>
          </cell>
          <cell r="E154" t="e">
            <v>#REF!</v>
          </cell>
          <cell r="F154" t="e">
            <v>#REF!</v>
          </cell>
          <cell r="G154" t="e">
            <v>#REF!</v>
          </cell>
          <cell r="H154" t="e">
            <v>#REF!</v>
          </cell>
          <cell r="I154" t="e">
            <v>#REF!</v>
          </cell>
          <cell r="J154" t="e">
            <v>#REF!</v>
          </cell>
          <cell r="K154" t="e">
            <v>#REF!</v>
          </cell>
        </row>
        <row r="156">
          <cell r="A156" t="str">
            <v>LG CARD</v>
          </cell>
          <cell r="I156" t="str">
            <v>O/S Shrs</v>
          </cell>
          <cell r="J156">
            <v>125.36940300000001</v>
          </cell>
          <cell r="L156" t="str">
            <v>BV as of June 06</v>
          </cell>
        </row>
        <row r="157">
          <cell r="A157" t="str">
            <v xml:space="preserve">   % ownership</v>
          </cell>
          <cell r="H157">
            <v>0.85699999999999987</v>
          </cell>
          <cell r="I157" t="str">
            <v>Holdings</v>
          </cell>
          <cell r="J157">
            <v>107.44157837099999</v>
          </cell>
          <cell r="L157">
            <v>360.28160000000003</v>
          </cell>
        </row>
        <row r="158">
          <cell r="A158" t="str">
            <v>Balance sheet (Reported)</v>
          </cell>
        </row>
        <row r="159">
          <cell r="A159" t="str">
            <v>Total assets</v>
          </cell>
          <cell r="H159">
            <v>19425.709443093001</v>
          </cell>
          <cell r="I159">
            <v>10765.557619648</v>
          </cell>
          <cell r="J159">
            <v>8217.358097024</v>
          </cell>
          <cell r="K159">
            <v>9084.2337239293047</v>
          </cell>
          <cell r="L159">
            <v>9645.4817304675944</v>
          </cell>
          <cell r="M159">
            <v>10279.386422697202</v>
          </cell>
          <cell r="N159">
            <v>10921.808845689473</v>
          </cell>
          <cell r="O159">
            <v>11604.701841452086</v>
          </cell>
          <cell r="P159">
            <v>12330.631652978911</v>
          </cell>
          <cell r="Q159">
            <v>13102.328111846602</v>
          </cell>
          <cell r="AD159">
            <v>19425.709443093001</v>
          </cell>
          <cell r="AE159">
            <v>20572.790378876001</v>
          </cell>
          <cell r="AF159">
            <v>17823.092566519928</v>
          </cell>
          <cell r="AG159">
            <v>15802.597101133</v>
          </cell>
          <cell r="AH159">
            <v>10765.557619648</v>
          </cell>
          <cell r="AI159">
            <v>12129.43586263</v>
          </cell>
          <cell r="AJ159">
            <v>10952.712550952328</v>
          </cell>
          <cell r="AK159">
            <v>9950.2843554999999</v>
          </cell>
          <cell r="AL159">
            <v>8217.358097024</v>
          </cell>
          <cell r="AM159">
            <v>8454.1806877350009</v>
          </cell>
          <cell r="AN159">
            <v>8677.3351910402507</v>
          </cell>
          <cell r="AO159">
            <v>8717.4559219418243</v>
          </cell>
          <cell r="AP159">
            <v>9084.2337239293047</v>
          </cell>
          <cell r="AQ159">
            <v>9515.9031037324094</v>
          </cell>
          <cell r="AR159">
            <v>9382.089956343485</v>
          </cell>
          <cell r="AS159">
            <v>9851.1141169623425</v>
          </cell>
          <cell r="AT159">
            <v>9645.4817304675944</v>
          </cell>
          <cell r="AU159">
            <v>9868.3730752840002</v>
          </cell>
          <cell r="AV159">
            <v>9782.4861796053283</v>
          </cell>
          <cell r="AW159">
            <v>10030.936301151265</v>
          </cell>
          <cell r="AX159">
            <v>10279.386422697202</v>
          </cell>
          <cell r="AY159">
            <v>10439.992028445269</v>
          </cell>
          <cell r="AZ159">
            <v>10439.992028445269</v>
          </cell>
          <cell r="BA159">
            <v>10680.900437067372</v>
          </cell>
          <cell r="BB159">
            <v>10921.808845689473</v>
          </cell>
          <cell r="BC159">
            <v>11092.532094630125</v>
          </cell>
          <cell r="BD159">
            <v>11092.532094630127</v>
          </cell>
          <cell r="BE159">
            <v>11348.616968041108</v>
          </cell>
          <cell r="BF159">
            <v>11604.701841452086</v>
          </cell>
          <cell r="BG159">
            <v>11786.184294333792</v>
          </cell>
          <cell r="BH159">
            <v>11786.184294333792</v>
          </cell>
          <cell r="BI159">
            <v>12058.407973656351</v>
          </cell>
          <cell r="BJ159">
            <v>12330.631652978911</v>
          </cell>
          <cell r="BK159">
            <v>12523.555767695834</v>
          </cell>
          <cell r="BL159">
            <v>12523.555767695834</v>
          </cell>
          <cell r="BM159">
            <v>12812.941939771219</v>
          </cell>
          <cell r="BN159">
            <v>13102.328111846602</v>
          </cell>
        </row>
        <row r="160">
          <cell r="A160" t="str">
            <v xml:space="preserve">   Interest earning assets</v>
          </cell>
          <cell r="H160">
            <v>14680.647696916001</v>
          </cell>
          <cell r="I160">
            <v>12343.111356021</v>
          </cell>
          <cell r="J160">
            <v>7944.3332686909998</v>
          </cell>
          <cell r="K160">
            <v>8295.4130061840006</v>
          </cell>
          <cell r="L160">
            <v>9053.6907223479993</v>
          </cell>
          <cell r="M160">
            <v>9642.1806193006196</v>
          </cell>
          <cell r="N160">
            <v>10268.922359555161</v>
          </cell>
          <cell r="O160">
            <v>10936.402312926244</v>
          </cell>
          <cell r="P160">
            <v>11647.26846326645</v>
          </cell>
          <cell r="Q160">
            <v>12404.340913378768</v>
          </cell>
          <cell r="AD160">
            <v>14680.647696916001</v>
          </cell>
          <cell r="AE160">
            <v>14237.998182197</v>
          </cell>
          <cell r="AF160">
            <v>11653.273587998998</v>
          </cell>
          <cell r="AG160">
            <v>9926.4476954889979</v>
          </cell>
          <cell r="AH160">
            <v>12343.111356021</v>
          </cell>
          <cell r="AI160">
            <v>11982.908541015999</v>
          </cell>
          <cell r="AJ160">
            <v>10390.551977382001</v>
          </cell>
          <cell r="AK160">
            <v>9904.2797666099996</v>
          </cell>
          <cell r="AL160">
            <v>7944.3332686909998</v>
          </cell>
          <cell r="AM160">
            <v>7860.5700094140002</v>
          </cell>
          <cell r="AN160">
            <v>8499.440444934</v>
          </cell>
          <cell r="AO160">
            <v>8359.9178914820004</v>
          </cell>
          <cell r="AP160">
            <v>8295.4130061840006</v>
          </cell>
          <cell r="AQ160">
            <v>8669.5813392279997</v>
          </cell>
          <cell r="AR160">
            <v>8919.4556621419997</v>
          </cell>
          <cell r="AS160">
            <v>9082.7818368459994</v>
          </cell>
          <cell r="AT160">
            <v>9053.6907223479993</v>
          </cell>
          <cell r="AU160">
            <v>8889.2598809390001</v>
          </cell>
          <cell r="AV160">
            <v>9304.6643018018731</v>
          </cell>
          <cell r="AW160">
            <v>9473.4224605512463</v>
          </cell>
          <cell r="AX160">
            <v>9642.1806193006196</v>
          </cell>
          <cell r="AY160">
            <v>9798.8660543642545</v>
          </cell>
          <cell r="AZ160">
            <v>9798.8660543642545</v>
          </cell>
          <cell r="BA160">
            <v>10033.894206959707</v>
          </cell>
          <cell r="BB160">
            <v>10268.922359555161</v>
          </cell>
          <cell r="BC160">
            <v>10435.792347897932</v>
          </cell>
          <cell r="BD160">
            <v>10435.792347897932</v>
          </cell>
          <cell r="BE160">
            <v>10686.097330412089</v>
          </cell>
          <cell r="BF160">
            <v>10936.402312926244</v>
          </cell>
          <cell r="BG160">
            <v>11114.118850511295</v>
          </cell>
          <cell r="BH160">
            <v>11114.118850511295</v>
          </cell>
          <cell r="BI160">
            <v>11380.693656888872</v>
          </cell>
          <cell r="BJ160">
            <v>11647.26846326645</v>
          </cell>
          <cell r="BK160">
            <v>11836.536575794529</v>
          </cell>
          <cell r="BL160">
            <v>11836.536575794529</v>
          </cell>
          <cell r="BM160">
            <v>12120.438744586649</v>
          </cell>
          <cell r="BN160">
            <v>12404.340913378768</v>
          </cell>
        </row>
        <row r="161">
          <cell r="A161" t="str">
            <v xml:space="preserve">   LLR</v>
          </cell>
          <cell r="H161">
            <v>2278.197090484</v>
          </cell>
          <cell r="I161">
            <v>5022.842407227</v>
          </cell>
          <cell r="J161">
            <v>2324.3275268460002</v>
          </cell>
          <cell r="K161">
            <v>1195.924789046695</v>
          </cell>
          <cell r="L161">
            <v>1042.3483241374099</v>
          </cell>
          <cell r="M161">
            <v>1078.6404954732729</v>
          </cell>
          <cell r="N161">
            <v>1148.7521276790355</v>
          </cell>
          <cell r="O161">
            <v>1223.4210159781726</v>
          </cell>
          <cell r="P161">
            <v>1302.943382016754</v>
          </cell>
          <cell r="Q161">
            <v>1387.634701847843</v>
          </cell>
          <cell r="AD161">
            <v>2278.197090484</v>
          </cell>
          <cell r="AE161">
            <v>2522.8298856689999</v>
          </cell>
          <cell r="AF161">
            <v>2019.277092735</v>
          </cell>
          <cell r="AG161">
            <v>2088.4149246880002</v>
          </cell>
          <cell r="AH161">
            <v>5022.842407227</v>
          </cell>
          <cell r="AI161">
            <v>4280.200485286</v>
          </cell>
          <cell r="AJ161">
            <v>3766.2418246218622</v>
          </cell>
          <cell r="AK161">
            <v>3358.5596008490002</v>
          </cell>
          <cell r="AL161">
            <v>2324.3275268460002</v>
          </cell>
          <cell r="AM161">
            <v>1718.4799940959999</v>
          </cell>
          <cell r="AN161">
            <v>1475.91671779175</v>
          </cell>
          <cell r="AO161">
            <v>1298.3521681681768</v>
          </cell>
          <cell r="AP161">
            <v>1195.924789046695</v>
          </cell>
          <cell r="AQ161">
            <v>1061.9110909625938</v>
          </cell>
          <cell r="AR161">
            <v>1084.1693792235167</v>
          </cell>
          <cell r="AS161">
            <v>1074.5789342666601</v>
          </cell>
          <cell r="AT161">
            <v>1042.3483241374099</v>
          </cell>
          <cell r="AU161">
            <v>915.149902344</v>
          </cell>
          <cell r="AV161">
            <v>1096.8451885138343</v>
          </cell>
          <cell r="AW161">
            <v>1087.7428419935536</v>
          </cell>
          <cell r="AX161">
            <v>1078.6404954732729</v>
          </cell>
          <cell r="AY161">
            <v>1096.1684035247135</v>
          </cell>
          <cell r="AZ161">
            <v>1096.1684035247135</v>
          </cell>
          <cell r="BA161">
            <v>1122.4602656018747</v>
          </cell>
          <cell r="BB161">
            <v>1148.7521276790355</v>
          </cell>
          <cell r="BC161">
            <v>1167.4193497538199</v>
          </cell>
          <cell r="BD161">
            <v>1167.4193497538197</v>
          </cell>
          <cell r="BE161">
            <v>1195.4201828659961</v>
          </cell>
          <cell r="BF161">
            <v>1223.4210159781726</v>
          </cell>
          <cell r="BG161">
            <v>1243.3016074878178</v>
          </cell>
          <cell r="BH161">
            <v>1243.301607487818</v>
          </cell>
          <cell r="BI161">
            <v>1273.122494752286</v>
          </cell>
          <cell r="BJ161">
            <v>1302.943382016754</v>
          </cell>
          <cell r="BK161">
            <v>1324.1162119745263</v>
          </cell>
          <cell r="BL161">
            <v>1324.1162119745261</v>
          </cell>
          <cell r="BM161">
            <v>1355.8754569111845</v>
          </cell>
          <cell r="BN161">
            <v>1387.634701847843</v>
          </cell>
        </row>
        <row r="162">
          <cell r="A162" t="str">
            <v xml:space="preserve">   Other assets</v>
          </cell>
          <cell r="H162">
            <v>7023.2588366609998</v>
          </cell>
          <cell r="I162">
            <v>3445.288670854</v>
          </cell>
          <cell r="J162">
            <v>2597.3523551790004</v>
          </cell>
          <cell r="K162">
            <v>1984.7455067919991</v>
          </cell>
          <cell r="L162">
            <v>1634.139332257005</v>
          </cell>
          <cell r="M162">
            <v>1715.8462988698552</v>
          </cell>
          <cell r="N162">
            <v>1801.638613813348</v>
          </cell>
          <cell r="O162">
            <v>1891.7205445040154</v>
          </cell>
          <cell r="P162">
            <v>1986.3065717292163</v>
          </cell>
          <cell r="Q162">
            <v>2085.6219003156771</v>
          </cell>
          <cell r="AD162">
            <v>7023.2588366609998</v>
          </cell>
          <cell r="AE162">
            <v>8857.6220823480016</v>
          </cell>
          <cell r="AF162">
            <v>8189.0960712559308</v>
          </cell>
          <cell r="AG162">
            <v>7964.564330332003</v>
          </cell>
          <cell r="AH162">
            <v>3445.288670854</v>
          </cell>
          <cell r="AI162">
            <v>4426.7278069000013</v>
          </cell>
          <cell r="AJ162">
            <v>4328.4023981921891</v>
          </cell>
          <cell r="AK162">
            <v>3404.5641897390005</v>
          </cell>
          <cell r="AL162">
            <v>2597.3523551790004</v>
          </cell>
          <cell r="AM162">
            <v>2312.0906724170009</v>
          </cell>
          <cell r="AN162">
            <v>1653.8114638980007</v>
          </cell>
          <cell r="AO162">
            <v>1655.8901986280007</v>
          </cell>
          <cell r="AP162">
            <v>1984.7455067919991</v>
          </cell>
          <cell r="AQ162">
            <v>1908.2328554670034</v>
          </cell>
          <cell r="AR162">
            <v>1546.803673425002</v>
          </cell>
          <cell r="AS162">
            <v>1842.9112143830032</v>
          </cell>
          <cell r="AT162">
            <v>1634.139332257005</v>
          </cell>
          <cell r="AU162">
            <v>1894.2630966890001</v>
          </cell>
          <cell r="AV162">
            <v>1574.6670663172899</v>
          </cell>
          <cell r="AW162">
            <v>1645.2566825935719</v>
          </cell>
          <cell r="AX162">
            <v>1715.8462988698552</v>
          </cell>
          <cell r="AY162">
            <v>1737.2943776057291</v>
          </cell>
          <cell r="AZ162">
            <v>1737.2943776057291</v>
          </cell>
          <cell r="BA162">
            <v>1769.4664957095392</v>
          </cell>
          <cell r="BB162">
            <v>1801.638613813348</v>
          </cell>
          <cell r="BC162">
            <v>1824.1590964860134</v>
          </cell>
          <cell r="BD162">
            <v>1824.1590964860152</v>
          </cell>
          <cell r="BE162">
            <v>1857.9398204950157</v>
          </cell>
          <cell r="BF162">
            <v>1891.7205445040154</v>
          </cell>
          <cell r="BG162">
            <v>1915.3670513103152</v>
          </cell>
          <cell r="BH162">
            <v>1915.3670513103152</v>
          </cell>
          <cell r="BI162">
            <v>1950.8368115197645</v>
          </cell>
          <cell r="BJ162">
            <v>1986.3065717292163</v>
          </cell>
          <cell r="BK162">
            <v>2011.1354038758309</v>
          </cell>
          <cell r="BL162">
            <v>2011.1354038758309</v>
          </cell>
          <cell r="BM162">
            <v>2048.3786520957547</v>
          </cell>
          <cell r="BN162">
            <v>2085.6219003156771</v>
          </cell>
        </row>
        <row r="163">
          <cell r="A163" t="str">
            <v>Total liabilities</v>
          </cell>
          <cell r="H163">
            <v>17650.999812833001</v>
          </cell>
          <cell r="I163">
            <v>13978.745060193</v>
          </cell>
          <cell r="J163">
            <v>8787.1056658929992</v>
          </cell>
          <cell r="K163">
            <v>7277.7093378500003</v>
          </cell>
          <cell r="L163">
            <v>6624.9121166320001</v>
          </cell>
          <cell r="M163">
            <v>6088.736016965644</v>
          </cell>
          <cell r="N163">
            <v>5550.6085041349452</v>
          </cell>
          <cell r="O163">
            <v>5325.4618409270579</v>
          </cell>
          <cell r="P163">
            <v>5158.718818481344</v>
          </cell>
          <cell r="Q163">
            <v>5058.9434231833447</v>
          </cell>
          <cell r="AD163">
            <v>17650.999812833001</v>
          </cell>
          <cell r="AE163">
            <v>19199.939171094</v>
          </cell>
          <cell r="AF163">
            <v>16437.980328497</v>
          </cell>
          <cell r="AG163">
            <v>14671.190648964999</v>
          </cell>
          <cell r="AH163">
            <v>13978.745060193</v>
          </cell>
          <cell r="AI163">
            <v>12423.565754523999</v>
          </cell>
          <cell r="AJ163">
            <v>11784.193760699811</v>
          </cell>
          <cell r="AK163">
            <v>10841.57304420093</v>
          </cell>
          <cell r="AL163">
            <v>8787.1056658929992</v>
          </cell>
          <cell r="AM163">
            <v>7728.1017176309997</v>
          </cell>
          <cell r="AN163">
            <v>7468.2801931289996</v>
          </cell>
          <cell r="AO163">
            <v>7140.471698789207</v>
          </cell>
          <cell r="AP163">
            <v>7277.7093378500003</v>
          </cell>
          <cell r="AQ163">
            <v>7348.9114591369998</v>
          </cell>
          <cell r="AR163">
            <v>6923.5451695385</v>
          </cell>
          <cell r="AS163">
            <v>7081.7263953251504</v>
          </cell>
          <cell r="AT163">
            <v>6624.9121166320001</v>
          </cell>
          <cell r="AU163">
            <v>5985.5677121480003</v>
          </cell>
          <cell r="AV163">
            <v>5608.3306992873531</v>
          </cell>
          <cell r="AW163">
            <v>5563.0905420675235</v>
          </cell>
          <cell r="AX163">
            <v>6091.899736322719</v>
          </cell>
          <cell r="AY163">
            <v>5960.9095079225126</v>
          </cell>
          <cell r="AZ163">
            <v>5666.952573902593</v>
          </cell>
          <cell r="BA163">
            <v>5611.5429486331304</v>
          </cell>
          <cell r="BB163">
            <v>5553.7722234920202</v>
          </cell>
          <cell r="BC163">
            <v>5468.3038981449317</v>
          </cell>
          <cell r="BD163">
            <v>5249.2182433830976</v>
          </cell>
          <cell r="BE163">
            <v>5284.4577378976082</v>
          </cell>
          <cell r="BF163">
            <v>5328.6255602841329</v>
          </cell>
          <cell r="BG163">
            <v>5289.6178231746217</v>
          </cell>
          <cell r="BH163">
            <v>5067.3422875154592</v>
          </cell>
          <cell r="BI163">
            <v>5115.5050855109102</v>
          </cell>
          <cell r="BJ163">
            <v>5161.8825378384181</v>
          </cell>
          <cell r="BK163">
            <v>5134.3164625641239</v>
          </cell>
          <cell r="BL163">
            <v>4912.0409269049615</v>
          </cell>
          <cell r="BM163">
            <v>4977.3662176532389</v>
          </cell>
          <cell r="BN163">
            <v>5062.107142540418</v>
          </cell>
        </row>
        <row r="164">
          <cell r="A164" t="str">
            <v xml:space="preserve">   Interest bearing liabilities</v>
          </cell>
          <cell r="H164">
            <v>15431.588687936999</v>
          </cell>
          <cell r="I164">
            <v>12436.375434269999</v>
          </cell>
          <cell r="J164">
            <v>7741.8698959120002</v>
          </cell>
          <cell r="K164">
            <v>6073.6267917449995</v>
          </cell>
          <cell r="L164">
            <v>5136.2042644860003</v>
          </cell>
          <cell r="M164">
            <v>4525.5927722123442</v>
          </cell>
          <cell r="N164">
            <v>3909.3080971439804</v>
          </cell>
          <cell r="O164">
            <v>3602.0964135865452</v>
          </cell>
          <cell r="P164">
            <v>3349.1851197738051</v>
          </cell>
          <cell r="Q164">
            <v>3158.933039540429</v>
          </cell>
          <cell r="AD164">
            <v>15431.588687936999</v>
          </cell>
          <cell r="AE164">
            <v>16825.921807940998</v>
          </cell>
          <cell r="AF164">
            <v>14390.429907538</v>
          </cell>
          <cell r="AG164">
            <v>12645.649348079</v>
          </cell>
          <cell r="AH164">
            <v>12436.375434269999</v>
          </cell>
          <cell r="AI164">
            <v>11131.660050217999</v>
          </cell>
          <cell r="AJ164">
            <v>10485.684456307999</v>
          </cell>
          <cell r="AK164">
            <v>9550.5312251969299</v>
          </cell>
          <cell r="AL164">
            <v>7741.8698959120002</v>
          </cell>
          <cell r="AM164">
            <v>6519.9840691030013</v>
          </cell>
          <cell r="AN164">
            <v>6474.3224769599892</v>
          </cell>
          <cell r="AO164">
            <v>6125.9806272919623</v>
          </cell>
          <cell r="AP164">
            <v>6073.6267917449995</v>
          </cell>
          <cell r="AQ164">
            <v>5989.1297374360001</v>
          </cell>
          <cell r="AR164">
            <v>5620.5320697349998</v>
          </cell>
          <cell r="AS164">
            <v>5575.3522794759992</v>
          </cell>
          <cell r="AT164">
            <v>5136.2042644860003</v>
          </cell>
          <cell r="AU164">
            <v>4490.7603060679994</v>
          </cell>
          <cell r="AV164">
            <v>5147.8150865341149</v>
          </cell>
          <cell r="AW164">
            <v>4836.7039293732296</v>
          </cell>
          <cell r="AX164">
            <v>4525.5927722123442</v>
          </cell>
          <cell r="AY164">
            <v>4371.5216034452533</v>
          </cell>
          <cell r="AZ164">
            <v>4371.5216034452533</v>
          </cell>
          <cell r="BA164">
            <v>4140.4148502946173</v>
          </cell>
          <cell r="BB164">
            <v>3909.3080971439804</v>
          </cell>
          <cell r="BC164">
            <v>3832.5051762546218</v>
          </cell>
          <cell r="BD164">
            <v>3832.5051762546213</v>
          </cell>
          <cell r="BE164">
            <v>3717.300794920583</v>
          </cell>
          <cell r="BF164">
            <v>3602.0964135865452</v>
          </cell>
          <cell r="BG164">
            <v>3538.8685901333602</v>
          </cell>
          <cell r="BH164">
            <v>3538.8685901333602</v>
          </cell>
          <cell r="BI164">
            <v>3444.0268549535826</v>
          </cell>
          <cell r="BJ164">
            <v>3349.1851197738051</v>
          </cell>
          <cell r="BK164">
            <v>3301.622099715461</v>
          </cell>
          <cell r="BL164">
            <v>3301.622099715461</v>
          </cell>
          <cell r="BM164">
            <v>3230.277569627945</v>
          </cell>
          <cell r="BN164">
            <v>3158.933039540429</v>
          </cell>
        </row>
        <row r="165">
          <cell r="A165" t="str">
            <v xml:space="preserve">   Other liabilities</v>
          </cell>
          <cell r="H165">
            <v>2219.4111248960016</v>
          </cell>
          <cell r="I165">
            <v>1542.3696259230001</v>
          </cell>
          <cell r="J165">
            <v>1045.2357699809991</v>
          </cell>
          <cell r="K165">
            <v>1204.0825461050008</v>
          </cell>
          <cell r="L165">
            <v>1488.7078521459998</v>
          </cell>
          <cell r="M165">
            <v>1563.1432447533</v>
          </cell>
          <cell r="N165">
            <v>1641.3004069909648</v>
          </cell>
          <cell r="O165">
            <v>1723.365427340513</v>
          </cell>
          <cell r="P165">
            <v>1809.5336987075386</v>
          </cell>
          <cell r="Q165">
            <v>1900.0103836429157</v>
          </cell>
          <cell r="AD165">
            <v>2219.4111248960016</v>
          </cell>
          <cell r="AE165">
            <v>2374.0173631530015</v>
          </cell>
          <cell r="AF165">
            <v>2047.5504209589999</v>
          </cell>
          <cell r="AG165">
            <v>2025.5413008859996</v>
          </cell>
          <cell r="AH165">
            <v>1542.3696259230001</v>
          </cell>
          <cell r="AI165">
            <v>1291.9057043060002</v>
          </cell>
          <cell r="AJ165">
            <v>1298.5093043918114</v>
          </cell>
          <cell r="AK165">
            <v>1291.041819004</v>
          </cell>
          <cell r="AL165">
            <v>1045.2357699809991</v>
          </cell>
          <cell r="AM165">
            <v>1208.1176485279984</v>
          </cell>
          <cell r="AN165">
            <v>993.95771616901038</v>
          </cell>
          <cell r="AO165">
            <v>1014.4910714972448</v>
          </cell>
          <cell r="AP165">
            <v>1204.0825461050008</v>
          </cell>
          <cell r="AQ165">
            <v>1359.7817217009997</v>
          </cell>
          <cell r="AR165">
            <v>1303.0130998035002</v>
          </cell>
          <cell r="AS165">
            <v>1506.3741158491512</v>
          </cell>
          <cell r="AT165">
            <v>1488.7078521459998</v>
          </cell>
          <cell r="AU165">
            <v>1494.8074060800009</v>
          </cell>
          <cell r="AV165">
            <v>460.5156127532382</v>
          </cell>
          <cell r="AW165">
            <v>726.38661269429394</v>
          </cell>
          <cell r="AX165">
            <v>1563.1432447533</v>
          </cell>
          <cell r="AY165">
            <v>1589.3879044772593</v>
          </cell>
          <cell r="AZ165">
            <v>1295.4309704573398</v>
          </cell>
          <cell r="BA165">
            <v>1471.1280983385132</v>
          </cell>
          <cell r="BB165">
            <v>1641.3004069909648</v>
          </cell>
          <cell r="BC165">
            <v>1635.7987218903099</v>
          </cell>
          <cell r="BD165">
            <v>1416.7130671284763</v>
          </cell>
          <cell r="BE165">
            <v>1567.1569429770252</v>
          </cell>
          <cell r="BF165">
            <v>1723.365427340513</v>
          </cell>
          <cell r="BG165">
            <v>1750.7492330412615</v>
          </cell>
          <cell r="BH165">
            <v>1528.4736973820991</v>
          </cell>
          <cell r="BI165">
            <v>1671.4782305573276</v>
          </cell>
          <cell r="BJ165">
            <v>1809.5336987075386</v>
          </cell>
          <cell r="BK165">
            <v>1832.6943628486629</v>
          </cell>
          <cell r="BL165">
            <v>1610.4188271895005</v>
          </cell>
          <cell r="BM165">
            <v>1747.0886480252939</v>
          </cell>
          <cell r="BN165">
            <v>1900.0103836429157</v>
          </cell>
        </row>
        <row r="166">
          <cell r="A166" t="str">
            <v>Total shareholders' equity</v>
          </cell>
          <cell r="H166">
            <v>1774.7096302599998</v>
          </cell>
          <cell r="I166">
            <v>-3213.1874405450003</v>
          </cell>
          <cell r="J166">
            <v>-569.74756886900013</v>
          </cell>
          <cell r="K166">
            <v>1806.5243860790001</v>
          </cell>
          <cell r="L166">
            <v>3020.569613836075</v>
          </cell>
          <cell r="M166">
            <v>4190.6504057315578</v>
          </cell>
          <cell r="N166">
            <v>5371.2003415545278</v>
          </cell>
          <cell r="O166">
            <v>6279.2400005250283</v>
          </cell>
          <cell r="P166">
            <v>7171.912834497567</v>
          </cell>
          <cell r="Q166">
            <v>8043.3846886632573</v>
          </cell>
          <cell r="AD166">
            <v>1774.7096302599998</v>
          </cell>
          <cell r="AE166">
            <v>1372.851207737586</v>
          </cell>
          <cell r="AF166">
            <v>1385.1122380229299</v>
          </cell>
          <cell r="AG166">
            <v>1131.406452168</v>
          </cell>
          <cell r="AH166">
            <v>-3213.1874405450003</v>
          </cell>
          <cell r="AI166">
            <v>-294.12989189399968</v>
          </cell>
          <cell r="AJ166">
            <v>-831.48120974748281</v>
          </cell>
          <cell r="AK166">
            <v>-891.2886887009297</v>
          </cell>
          <cell r="AL166">
            <v>-569.74756886900013</v>
          </cell>
          <cell r="AM166">
            <v>726.07897010399995</v>
          </cell>
          <cell r="AN166">
            <v>1209.05499791125</v>
          </cell>
          <cell r="AO166">
            <v>1576.9842231526156</v>
          </cell>
          <cell r="AP166">
            <v>1806.5243860790001</v>
          </cell>
          <cell r="AQ166">
            <v>2166.9916445950003</v>
          </cell>
          <cell r="AR166">
            <v>2458.5447868049846</v>
          </cell>
          <cell r="AS166">
            <v>2769.3877216368501</v>
          </cell>
          <cell r="AT166">
            <v>3020.569613836075</v>
          </cell>
          <cell r="AU166">
            <v>3882.8053631360003</v>
          </cell>
          <cell r="AV166">
            <v>4174.1554803179752</v>
          </cell>
          <cell r="AW166">
            <v>4467.8457590837415</v>
          </cell>
          <cell r="AX166">
            <v>4187.4866863744828</v>
          </cell>
          <cell r="AY166">
            <v>4479.0825205227566</v>
          </cell>
          <cell r="AZ166">
            <v>4773.0394545426761</v>
          </cell>
          <cell r="BA166">
            <v>5069.3574884342415</v>
          </cell>
          <cell r="BB166">
            <v>5368.0366221974527</v>
          </cell>
          <cell r="BC166">
            <v>5624.2281964851936</v>
          </cell>
          <cell r="BD166">
            <v>5843.3138512470296</v>
          </cell>
          <cell r="BE166">
            <v>6064.1592301434994</v>
          </cell>
          <cell r="BF166">
            <v>6276.0762811679533</v>
          </cell>
          <cell r="BG166">
            <v>6496.5664711591708</v>
          </cell>
          <cell r="BH166">
            <v>6718.8420068183332</v>
          </cell>
          <cell r="BI166">
            <v>6942.9028881454406</v>
          </cell>
          <cell r="BJ166">
            <v>7168.7491151404929</v>
          </cell>
          <cell r="BK166">
            <v>7389.2393051317104</v>
          </cell>
          <cell r="BL166">
            <v>7611.5148407908728</v>
          </cell>
          <cell r="BM166">
            <v>7835.5757221179801</v>
          </cell>
          <cell r="BN166">
            <v>8040.2209693061841</v>
          </cell>
        </row>
        <row r="167">
          <cell r="A167" t="str">
            <v xml:space="preserve">   Paid-in Capital</v>
          </cell>
          <cell r="H167">
            <v>370</v>
          </cell>
          <cell r="I167">
            <v>785.98911999999996</v>
          </cell>
          <cell r="J167">
            <v>2585.58961</v>
          </cell>
          <cell r="K167">
            <v>626.84701500000006</v>
          </cell>
          <cell r="L167">
            <v>626.84701500000006</v>
          </cell>
          <cell r="M167">
            <v>626.84701500000006</v>
          </cell>
          <cell r="N167">
            <v>626.84701500000006</v>
          </cell>
          <cell r="O167">
            <v>626.84701500000006</v>
          </cell>
          <cell r="P167">
            <v>626.84701500000006</v>
          </cell>
          <cell r="Q167">
            <v>626.84701500000006</v>
          </cell>
          <cell r="AD167">
            <v>370</v>
          </cell>
          <cell r="AE167">
            <v>370</v>
          </cell>
          <cell r="AF167">
            <v>595</v>
          </cell>
          <cell r="AG167">
            <v>595</v>
          </cell>
          <cell r="AH167">
            <v>785.98911999999996</v>
          </cell>
          <cell r="AI167">
            <v>1739.88912</v>
          </cell>
          <cell r="AJ167">
            <v>40.08961</v>
          </cell>
          <cell r="AK167">
            <v>2585.58961</v>
          </cell>
          <cell r="AL167">
            <v>2585.58961</v>
          </cell>
          <cell r="AM167">
            <v>626.84701500000006</v>
          </cell>
          <cell r="AN167">
            <v>626.84701500000006</v>
          </cell>
          <cell r="AO167">
            <v>626.84701500000006</v>
          </cell>
          <cell r="AP167">
            <v>626.84701500000006</v>
          </cell>
          <cell r="AQ167">
            <v>626.84701500000006</v>
          </cell>
          <cell r="AR167">
            <v>626.84701500000006</v>
          </cell>
          <cell r="AS167">
            <v>626.84701500000006</v>
          </cell>
          <cell r="AT167">
            <v>626.84701500000006</v>
          </cell>
          <cell r="AU167">
            <v>626.84701500000006</v>
          </cell>
          <cell r="AV167">
            <v>626.84701500000006</v>
          </cell>
          <cell r="AW167">
            <v>626.84701500000006</v>
          </cell>
          <cell r="AX167">
            <v>626.84701500000006</v>
          </cell>
          <cell r="AY167">
            <v>626.84701500000006</v>
          </cell>
          <cell r="AZ167">
            <v>626.84701500000006</v>
          </cell>
          <cell r="BA167">
            <v>626.84701500000006</v>
          </cell>
          <cell r="BB167">
            <v>626.84701500000006</v>
          </cell>
          <cell r="BC167">
            <v>626.84701500000006</v>
          </cell>
          <cell r="BD167">
            <v>626.84701500000006</v>
          </cell>
          <cell r="BE167">
            <v>626.84701500000006</v>
          </cell>
          <cell r="BF167">
            <v>626.84701500000006</v>
          </cell>
          <cell r="BG167">
            <v>626.84701500000006</v>
          </cell>
          <cell r="BH167">
            <v>626.84701500000006</v>
          </cell>
          <cell r="BI167">
            <v>626.84701500000006</v>
          </cell>
          <cell r="BJ167">
            <v>626.84701500000006</v>
          </cell>
          <cell r="BK167">
            <v>626.84701500000006</v>
          </cell>
          <cell r="BL167">
            <v>626.84701500000006</v>
          </cell>
          <cell r="BM167">
            <v>626.84701500000006</v>
          </cell>
          <cell r="BN167">
            <v>626.84701500000006</v>
          </cell>
        </row>
        <row r="168">
          <cell r="A168" t="str">
            <v xml:space="preserve">   Capital surplus</v>
          </cell>
          <cell r="H168">
            <v>260.152644802</v>
          </cell>
          <cell r="I168">
            <v>451.66445785600001</v>
          </cell>
          <cell r="J168">
            <v>1713.4845303029999</v>
          </cell>
          <cell r="K168">
            <v>2830.0516641889999</v>
          </cell>
          <cell r="L168">
            <v>1378.029722148</v>
          </cell>
          <cell r="M168">
            <v>1378.029722148</v>
          </cell>
          <cell r="N168">
            <v>1378.029722148</v>
          </cell>
          <cell r="O168">
            <v>1378.029722148</v>
          </cell>
          <cell r="P168">
            <v>1378.029722148</v>
          </cell>
          <cell r="Q168">
            <v>1378.029722148</v>
          </cell>
          <cell r="AD168">
            <v>260.152644802</v>
          </cell>
          <cell r="AE168">
            <v>260.152644802</v>
          </cell>
          <cell r="AF168">
            <v>421.21136038200001</v>
          </cell>
          <cell r="AG168">
            <v>430.86824440700002</v>
          </cell>
          <cell r="AH168">
            <v>451.66445785600001</v>
          </cell>
          <cell r="AI168">
            <v>13.685020303</v>
          </cell>
          <cell r="AJ168">
            <v>1713.4845303029999</v>
          </cell>
          <cell r="AK168">
            <v>1713.4845303029999</v>
          </cell>
          <cell r="AL168">
            <v>1713.4845303029999</v>
          </cell>
          <cell r="AM168">
            <v>2830.0516641889999</v>
          </cell>
          <cell r="AN168">
            <v>2830.0516641889999</v>
          </cell>
          <cell r="AO168">
            <v>2830.0516641889999</v>
          </cell>
          <cell r="AP168">
            <v>2830.0516641889999</v>
          </cell>
          <cell r="AQ168">
            <v>1378.029722148</v>
          </cell>
          <cell r="AR168">
            <v>1378.029722148</v>
          </cell>
          <cell r="AS168">
            <v>1378.029722148</v>
          </cell>
          <cell r="AT168">
            <v>1378.029722148</v>
          </cell>
          <cell r="AU168">
            <v>1378.029722148</v>
          </cell>
          <cell r="AV168">
            <v>1378.029722148</v>
          </cell>
          <cell r="AW168">
            <v>1378.029722148</v>
          </cell>
          <cell r="AX168">
            <v>1378.029722148</v>
          </cell>
          <cell r="AY168">
            <v>1378.029722148</v>
          </cell>
          <cell r="AZ168">
            <v>1378.029722148</v>
          </cell>
          <cell r="BA168">
            <v>1378.029722148</v>
          </cell>
          <cell r="BB168">
            <v>1378.029722148</v>
          </cell>
          <cell r="BC168">
            <v>1378.029722148</v>
          </cell>
          <cell r="BD168">
            <v>1378.029722148</v>
          </cell>
          <cell r="BE168">
            <v>1378.029722148</v>
          </cell>
          <cell r="BF168">
            <v>1378.029722148</v>
          </cell>
          <cell r="BG168">
            <v>1378.029722148</v>
          </cell>
          <cell r="BH168">
            <v>1378.029722148</v>
          </cell>
          <cell r="BI168">
            <v>1378.029722148</v>
          </cell>
          <cell r="BJ168">
            <v>1378.029722148</v>
          </cell>
          <cell r="BK168">
            <v>1378.029722148</v>
          </cell>
          <cell r="BL168">
            <v>1378.029722148</v>
          </cell>
          <cell r="BM168">
            <v>1378.029722148</v>
          </cell>
          <cell r="BN168">
            <v>1378.029722148</v>
          </cell>
        </row>
        <row r="169">
          <cell r="A169" t="str">
            <v xml:space="preserve">   Retained earnings</v>
          </cell>
          <cell r="H169">
            <v>1163.6129794149999</v>
          </cell>
          <cell r="I169">
            <v>-4435.1980536370002</v>
          </cell>
          <cell r="J169">
            <v>-4516.7985270469999</v>
          </cell>
          <cell r="K169">
            <v>-1449.4809161410001</v>
          </cell>
          <cell r="L169">
            <v>1193.679248018901</v>
          </cell>
          <cell r="M169">
            <v>2363.7600399143848</v>
          </cell>
          <cell r="N169">
            <v>3544.3099757373543</v>
          </cell>
          <cell r="O169">
            <v>4452.3496347078553</v>
          </cell>
          <cell r="P169">
            <v>5345.022468680394</v>
          </cell>
          <cell r="Q169">
            <v>6216.4943228460843</v>
          </cell>
          <cell r="AD169">
            <v>1163.6129794149999</v>
          </cell>
          <cell r="AE169">
            <v>779.09310576058601</v>
          </cell>
          <cell r="AF169">
            <v>416.7602947570121</v>
          </cell>
          <cell r="AG169">
            <v>146.810406164</v>
          </cell>
          <cell r="AH169">
            <v>-4435.1980536370002</v>
          </cell>
          <cell r="AI169">
            <v>-4314.1140299239996</v>
          </cell>
          <cell r="AJ169">
            <v>-4795.7987882844827</v>
          </cell>
          <cell r="AK169">
            <v>-4842.5866778189293</v>
          </cell>
          <cell r="AL169">
            <v>-4516.7985270469999</v>
          </cell>
          <cell r="AM169">
            <v>-2520.7832039469999</v>
          </cell>
          <cell r="AN169">
            <v>-2040.99148868775</v>
          </cell>
          <cell r="AO169">
            <v>-1677.5980877623845</v>
          </cell>
          <cell r="AP169">
            <v>-1449.4809161410001</v>
          </cell>
          <cell r="AQ169">
            <v>353.57640766700001</v>
          </cell>
          <cell r="AR169">
            <v>640.56436855498441</v>
          </cell>
          <cell r="AS169">
            <v>949.22887898385</v>
          </cell>
          <cell r="AT169">
            <v>1193.679248018901</v>
          </cell>
          <cell r="AU169">
            <v>1868.334677757</v>
          </cell>
          <cell r="AV169">
            <v>2159.6847949389753</v>
          </cell>
          <cell r="AW169">
            <v>2453.3750737047417</v>
          </cell>
          <cell r="AX169">
            <v>2173.0160009954834</v>
          </cell>
          <cell r="AY169">
            <v>2464.6118351437572</v>
          </cell>
          <cell r="AZ169">
            <v>2758.5687691636767</v>
          </cell>
          <cell r="BA169">
            <v>3054.8868030552421</v>
          </cell>
          <cell r="BB169">
            <v>3353.5659368184533</v>
          </cell>
          <cell r="BC169">
            <v>3609.7575111061938</v>
          </cell>
          <cell r="BD169">
            <v>3828.8431658680302</v>
          </cell>
          <cell r="BE169">
            <v>4049.6885447644995</v>
          </cell>
          <cell r="BF169">
            <v>4261.6055957889539</v>
          </cell>
          <cell r="BG169">
            <v>4482.0957857801714</v>
          </cell>
          <cell r="BH169">
            <v>4704.3713214393338</v>
          </cell>
          <cell r="BI169">
            <v>4928.4322027664412</v>
          </cell>
          <cell r="BJ169">
            <v>5154.2784297614935</v>
          </cell>
          <cell r="BK169">
            <v>5374.7686197527109</v>
          </cell>
          <cell r="BL169">
            <v>5597.0441554118734</v>
          </cell>
          <cell r="BM169">
            <v>5821.1050367389807</v>
          </cell>
          <cell r="BN169">
            <v>6025.7502839271847</v>
          </cell>
        </row>
        <row r="170">
          <cell r="A170" t="str">
            <v xml:space="preserve">   Capital adjustment</v>
          </cell>
          <cell r="H170">
            <v>-19.055993956999998</v>
          </cell>
          <cell r="I170">
            <v>-15.642964764</v>
          </cell>
          <cell r="J170">
            <v>-352.02318212500001</v>
          </cell>
          <cell r="K170">
            <v>-200.893376969</v>
          </cell>
          <cell r="L170">
            <v>-177.98637133082656</v>
          </cell>
          <cell r="M170">
            <v>-177.98637133082656</v>
          </cell>
          <cell r="N170">
            <v>-177.98637133082656</v>
          </cell>
          <cell r="O170">
            <v>-177.98637133082656</v>
          </cell>
          <cell r="P170">
            <v>-177.98637133082656</v>
          </cell>
          <cell r="Q170">
            <v>-177.98637133082656</v>
          </cell>
          <cell r="AD170">
            <v>-19.055993956999998</v>
          </cell>
          <cell r="AE170">
            <v>-36.394542825000002</v>
          </cell>
          <cell r="AF170">
            <v>-47.859417116082362</v>
          </cell>
          <cell r="AG170">
            <v>-41.272198402999997</v>
          </cell>
          <cell r="AH170">
            <v>-15.642964764</v>
          </cell>
          <cell r="AI170">
            <v>2266.4099977269998</v>
          </cell>
          <cell r="AJ170">
            <v>2210.7434382340002</v>
          </cell>
          <cell r="AK170">
            <v>-347.776151185</v>
          </cell>
          <cell r="AL170">
            <v>-352.02318212500001</v>
          </cell>
          <cell r="AM170">
            <v>-210.036505138</v>
          </cell>
          <cell r="AN170">
            <v>-206.85219258999999</v>
          </cell>
          <cell r="AO170">
            <v>-202.31636827400001</v>
          </cell>
          <cell r="AP170">
            <v>-200.893376969</v>
          </cell>
          <cell r="AQ170">
            <v>-191.46150022</v>
          </cell>
          <cell r="AR170">
            <v>-186.896318898</v>
          </cell>
          <cell r="AS170">
            <v>-184.717894495</v>
          </cell>
          <cell r="AT170">
            <v>-177.98637133082656</v>
          </cell>
          <cell r="AU170">
            <v>9.5939482310000006</v>
          </cell>
          <cell r="AV170">
            <v>9.5939482310000006</v>
          </cell>
          <cell r="AW170">
            <v>9.5939482310000006</v>
          </cell>
          <cell r="AX170">
            <v>9.5939482310000006</v>
          </cell>
          <cell r="AY170">
            <v>9.5939482310000006</v>
          </cell>
          <cell r="AZ170">
            <v>9.5939482310000006</v>
          </cell>
          <cell r="BA170">
            <v>9.5939482310000006</v>
          </cell>
          <cell r="BB170">
            <v>9.5939482310000006</v>
          </cell>
          <cell r="BC170">
            <v>9.5939482310000006</v>
          </cell>
          <cell r="BD170">
            <v>9.5939482310000006</v>
          </cell>
          <cell r="BE170">
            <v>9.5939482310000006</v>
          </cell>
          <cell r="BF170">
            <v>9.5939482310000006</v>
          </cell>
          <cell r="BG170">
            <v>9.5939482310000006</v>
          </cell>
          <cell r="BH170">
            <v>9.5939482310000006</v>
          </cell>
          <cell r="BI170">
            <v>9.5939482310000006</v>
          </cell>
          <cell r="BJ170">
            <v>9.5939482310000006</v>
          </cell>
          <cell r="BK170">
            <v>9.5939482310000006</v>
          </cell>
          <cell r="BL170">
            <v>9.5939482310000006</v>
          </cell>
          <cell r="BM170">
            <v>9.5939482310000006</v>
          </cell>
          <cell r="BN170">
            <v>9.5939482310000006</v>
          </cell>
        </row>
        <row r="172">
          <cell r="A172" t="str">
            <v>Balance sheet (Managed)</v>
          </cell>
        </row>
        <row r="173">
          <cell r="A173" t="str">
            <v>Total assets</v>
          </cell>
          <cell r="H173">
            <v>33784.023648237999</v>
          </cell>
          <cell r="I173">
            <v>17488.753342242999</v>
          </cell>
          <cell r="J173">
            <v>12372.647515225</v>
          </cell>
          <cell r="K173">
            <v>11938.167895600509</v>
          </cell>
          <cell r="L173">
            <v>12336.656306016757</v>
          </cell>
          <cell r="M173">
            <v>13149.198569444059</v>
          </cell>
          <cell r="N173">
            <v>13980.072612782911</v>
          </cell>
          <cell r="O173">
            <v>14863.76227575504</v>
          </cell>
          <cell r="P173">
            <v>15803.641013977418</v>
          </cell>
          <cell r="Q173">
            <v>16803.298579699167</v>
          </cell>
          <cell r="AD173">
            <v>33784.023648237999</v>
          </cell>
          <cell r="AE173">
            <v>34084.649993316591</v>
          </cell>
          <cell r="AF173">
            <v>29913.593266764543</v>
          </cell>
          <cell r="AG173">
            <v>26054.161063340001</v>
          </cell>
          <cell r="AH173">
            <v>17488.753342242999</v>
          </cell>
          <cell r="AI173">
            <v>17224.177455721001</v>
          </cell>
          <cell r="AJ173">
            <v>15492.807988232602</v>
          </cell>
          <cell r="AK173">
            <v>13583.160505000467</v>
          </cell>
          <cell r="AL173">
            <v>12372.647515225</v>
          </cell>
          <cell r="AM173">
            <v>11852.102733154001</v>
          </cell>
          <cell r="AN173">
            <v>11428.82305093025</v>
          </cell>
          <cell r="AO173">
            <v>11467.023444456001</v>
          </cell>
          <cell r="AP173">
            <v>11938.167895600509</v>
          </cell>
          <cell r="AQ173">
            <v>12243.7056119836</v>
          </cell>
          <cell r="AR173">
            <v>12132.138458926496</v>
          </cell>
          <cell r="AS173">
            <v>12656.720870173276</v>
          </cell>
          <cell r="AT173">
            <v>12336.656306016757</v>
          </cell>
          <cell r="AU173">
            <v>12533.661963597</v>
          </cell>
          <cell r="AV173">
            <v>12541.835174632444</v>
          </cell>
          <cell r="AW173">
            <v>12845.516872038252</v>
          </cell>
          <cell r="AX173">
            <v>13149.198569444059</v>
          </cell>
          <cell r="AY173">
            <v>13356.917080278772</v>
          </cell>
          <cell r="AZ173">
            <v>13356.917080278772</v>
          </cell>
          <cell r="BA173">
            <v>13668.494846530841</v>
          </cell>
          <cell r="BB173">
            <v>13980.072612782911</v>
          </cell>
          <cell r="BC173">
            <v>14200.995028525944</v>
          </cell>
          <cell r="BD173">
            <v>14200.995028525944</v>
          </cell>
          <cell r="BE173">
            <v>14532.378652140491</v>
          </cell>
          <cell r="BF173">
            <v>14863.76227575504</v>
          </cell>
          <cell r="BG173">
            <v>15098.731960310633</v>
          </cell>
          <cell r="BH173">
            <v>15098.731960310635</v>
          </cell>
          <cell r="BI173">
            <v>15451.186487144027</v>
          </cell>
          <cell r="BJ173">
            <v>15803.641013977418</v>
          </cell>
          <cell r="BK173">
            <v>16053.555405407855</v>
          </cell>
          <cell r="BL173">
            <v>16053.555405407855</v>
          </cell>
          <cell r="BM173">
            <v>16428.426992553512</v>
          </cell>
          <cell r="BN173">
            <v>16803.298579699167</v>
          </cell>
        </row>
        <row r="174">
          <cell r="A174" t="str">
            <v xml:space="preserve">   IEA</v>
          </cell>
          <cell r="H174">
            <v>33542.835446251003</v>
          </cell>
          <cell r="I174">
            <v>21129.175706642</v>
          </cell>
          <cell r="J174">
            <v>12191.570449344999</v>
          </cell>
          <cell r="K174">
            <v>11246.288696866</v>
          </cell>
          <cell r="L174">
            <v>11928.949069917</v>
          </cell>
          <cell r="M174">
            <v>12704.330759461605</v>
          </cell>
          <cell r="N174">
            <v>13530.11225882661</v>
          </cell>
          <cell r="O174">
            <v>14409.569555650338</v>
          </cell>
          <cell r="P174">
            <v>15346.191576767609</v>
          </cell>
          <cell r="Q174">
            <v>16343.694029257504</v>
          </cell>
          <cell r="AD174">
            <v>33542.835446251003</v>
          </cell>
          <cell r="AE174">
            <v>32293.532561083</v>
          </cell>
          <cell r="AF174">
            <v>27839.229362406</v>
          </cell>
          <cell r="AG174">
            <v>24862.888205915002</v>
          </cell>
          <cell r="AH174">
            <v>21129.175706642</v>
          </cell>
          <cell r="AI174">
            <v>17481.811230675743</v>
          </cell>
          <cell r="AJ174">
            <v>15389.262216839807</v>
          </cell>
          <cell r="AK174">
            <v>13828.691387755744</v>
          </cell>
          <cell r="AL174">
            <v>12191.570449344999</v>
          </cell>
          <cell r="AM174">
            <v>11002.361199977</v>
          </cell>
          <cell r="AN174">
            <v>10711.834970256999</v>
          </cell>
          <cell r="AO174">
            <v>10695.290453112</v>
          </cell>
          <cell r="AP174">
            <v>11246.288696866</v>
          </cell>
          <cell r="AQ174">
            <v>11621.088525367</v>
          </cell>
          <cell r="AR174">
            <v>11868.824092519</v>
          </cell>
          <cell r="AS174">
            <v>12029.755763561001</v>
          </cell>
          <cell r="AT174">
            <v>11928.949069917</v>
          </cell>
          <cell r="AU174">
            <v>11692.806925130999</v>
          </cell>
          <cell r="AV174">
            <v>12266.123681360536</v>
          </cell>
          <cell r="AW174">
            <v>12485.22722041107</v>
          </cell>
          <cell r="AX174">
            <v>12704.330759461605</v>
          </cell>
          <cell r="AY174">
            <v>12910.776134302856</v>
          </cell>
          <cell r="AZ174">
            <v>12910.776134302856</v>
          </cell>
          <cell r="BA174">
            <v>13220.444196564733</v>
          </cell>
          <cell r="BB174">
            <v>13530.11225882661</v>
          </cell>
          <cell r="BC174">
            <v>13749.976583032541</v>
          </cell>
          <cell r="BD174">
            <v>13749.976583032541</v>
          </cell>
          <cell r="BE174">
            <v>14079.77306934144</v>
          </cell>
          <cell r="BF174">
            <v>14409.569555650338</v>
          </cell>
          <cell r="BG174">
            <v>14643.725060929655</v>
          </cell>
          <cell r="BH174">
            <v>14643.725060929655</v>
          </cell>
          <cell r="BI174">
            <v>14994.958318848632</v>
          </cell>
          <cell r="BJ174">
            <v>15346.191576767609</v>
          </cell>
          <cell r="BK174">
            <v>15595.567189890084</v>
          </cell>
          <cell r="BL174">
            <v>15595.567189890082</v>
          </cell>
          <cell r="BM174">
            <v>15969.630609573793</v>
          </cell>
          <cell r="BN174">
            <v>16343.694029257504</v>
          </cell>
        </row>
        <row r="175">
          <cell r="A175" t="str">
            <v xml:space="preserve">      Growth</v>
          </cell>
          <cell r="H175" t="str">
            <v>NA</v>
          </cell>
          <cell r="I175">
            <v>-0.37008379209624764</v>
          </cell>
          <cell r="J175">
            <v>-0.42299829304213921</v>
          </cell>
          <cell r="K175">
            <v>-7.7535683889665363E-2</v>
          </cell>
          <cell r="L175">
            <v>6.0700946903598174E-2</v>
          </cell>
          <cell r="M175">
            <v>6.4999999999999947E-2</v>
          </cell>
          <cell r="N175">
            <v>6.4999999999999947E-2</v>
          </cell>
          <cell r="O175">
            <v>6.4999999999999947E-2</v>
          </cell>
          <cell r="P175">
            <v>6.4999999999999947E-2</v>
          </cell>
          <cell r="Q175">
            <v>6.4999999999999947E-2</v>
          </cell>
          <cell r="Y175">
            <v>6.5000000000000002E-2</v>
          </cell>
          <cell r="AD175" t="str">
            <v>NA</v>
          </cell>
          <cell r="AE175">
            <v>7.5266659788124191E-2</v>
          </cell>
          <cell r="AF175">
            <v>-0.10835897069877676</v>
          </cell>
          <cell r="AG175">
            <v>-0.24673583523221954</v>
          </cell>
          <cell r="AH175">
            <v>-0.37008379209624764</v>
          </cell>
          <cell r="AI175">
            <v>-0.45865906129628231</v>
          </cell>
          <cell r="AJ175">
            <v>-0.44720947492815966</v>
          </cell>
          <cell r="AK175">
            <v>-0.44380189166977668</v>
          </cell>
          <cell r="AL175">
            <v>-0.42299829304213921</v>
          </cell>
          <cell r="AM175">
            <v>-0.37063951470480938</v>
          </cell>
          <cell r="AN175">
            <v>-0.30394096745355992</v>
          </cell>
          <cell r="AO175">
            <v>-0.22658694498151377</v>
          </cell>
          <cell r="AP175">
            <v>-7.7535683889665363E-2</v>
          </cell>
          <cell r="AQ175">
            <v>5.6235867387383509E-2</v>
          </cell>
          <cell r="AR175">
            <v>0.10801035728001351</v>
          </cell>
          <cell r="AS175">
            <v>0.12477130156485949</v>
          </cell>
          <cell r="AT175">
            <v>6.0700946903598174E-2</v>
          </cell>
          <cell r="AU175">
            <v>6.1714012080236191E-3</v>
          </cell>
          <cell r="AV175">
            <v>3.3474216632122467E-2</v>
          </cell>
          <cell r="AW175">
            <v>3.7862070170179729E-2</v>
          </cell>
          <cell r="AX175">
            <v>6.4999999999999947E-2</v>
          </cell>
          <cell r="AY175">
            <v>0.10416397165971425</v>
          </cell>
          <cell r="AZ175">
            <v>5.2555515474047132E-2</v>
          </cell>
          <cell r="BA175">
            <v>5.8886952009308713E-2</v>
          </cell>
          <cell r="BB175">
            <v>6.4999999999999947E-2</v>
          </cell>
          <cell r="BC175">
            <v>6.4999999999999947E-2</v>
          </cell>
          <cell r="BD175">
            <v>6.4999999999999947E-2</v>
          </cell>
          <cell r="BE175">
            <v>6.4999999999999947E-2</v>
          </cell>
          <cell r="BF175">
            <v>6.4999999999999947E-2</v>
          </cell>
          <cell r="BG175">
            <v>6.4999999999999947E-2</v>
          </cell>
          <cell r="BH175">
            <v>6.4999999999999947E-2</v>
          </cell>
          <cell r="BI175">
            <v>6.4999999999999947E-2</v>
          </cell>
          <cell r="BJ175">
            <v>6.4999999999999947E-2</v>
          </cell>
          <cell r="BK175">
            <v>6.5000000000000169E-2</v>
          </cell>
          <cell r="BL175">
            <v>6.4999999999999947E-2</v>
          </cell>
          <cell r="BM175">
            <v>6.4999999999999947E-2</v>
          </cell>
          <cell r="BN175">
            <v>6.4999999999999947E-2</v>
          </cell>
        </row>
        <row r="176">
          <cell r="A176" t="str">
            <v xml:space="preserve">      Avg. IEA</v>
          </cell>
          <cell r="H176">
            <v>31951.302205695501</v>
          </cell>
          <cell r="I176">
            <v>27336.0055764465</v>
          </cell>
          <cell r="J176">
            <v>16660.373077993499</v>
          </cell>
          <cell r="K176">
            <v>11718.929573105499</v>
          </cell>
          <cell r="L176">
            <v>11587.6188833915</v>
          </cell>
          <cell r="M176">
            <v>12316.639914689302</v>
          </cell>
          <cell r="N176">
            <v>13117.221509144107</v>
          </cell>
          <cell r="O176">
            <v>13969.840907238475</v>
          </cell>
          <cell r="P176">
            <v>14877.880566208973</v>
          </cell>
          <cell r="Q176">
            <v>15844.942803012556</v>
          </cell>
          <cell r="AD176">
            <v>33274.84996431</v>
          </cell>
          <cell r="AE176">
            <v>33542.835446251003</v>
          </cell>
          <cell r="AF176">
            <v>30066.3809617445</v>
          </cell>
          <cell r="AG176">
            <v>26351.058784160501</v>
          </cell>
          <cell r="AH176">
            <v>22996.031956278501</v>
          </cell>
          <cell r="AI176">
            <v>19305.493468658871</v>
          </cell>
          <cell r="AJ176">
            <v>16435.536723757774</v>
          </cell>
          <cell r="AK176">
            <v>14608.976802297775</v>
          </cell>
          <cell r="AL176">
            <v>13010.130918550371</v>
          </cell>
          <cell r="AM176">
            <v>11596.965824661</v>
          </cell>
          <cell r="AN176">
            <v>10857.098085116999</v>
          </cell>
          <cell r="AO176">
            <v>10703.562711684499</v>
          </cell>
          <cell r="AP176">
            <v>10970.789574989001</v>
          </cell>
          <cell r="AQ176">
            <v>11433.6886111165</v>
          </cell>
          <cell r="AR176">
            <v>11744.956308943001</v>
          </cell>
          <cell r="AS176">
            <v>11949.289928040002</v>
          </cell>
          <cell r="AT176">
            <v>11979.352416739001</v>
          </cell>
          <cell r="AU176">
            <v>11810.877997524</v>
          </cell>
          <cell r="AV176">
            <v>11979.465303245768</v>
          </cell>
          <cell r="AW176">
            <v>12375.675450885803</v>
          </cell>
          <cell r="AX176">
            <v>12594.778989936338</v>
          </cell>
          <cell r="AY176">
            <v>12807.55344688223</v>
          </cell>
          <cell r="AZ176">
            <v>12910.776134302856</v>
          </cell>
          <cell r="BA176">
            <v>13065.610165433794</v>
          </cell>
          <cell r="BB176">
            <v>13375.278227695671</v>
          </cell>
          <cell r="BC176">
            <v>13640.044420929575</v>
          </cell>
          <cell r="BD176">
            <v>13749.976583032541</v>
          </cell>
          <cell r="BE176">
            <v>13914.874826186991</v>
          </cell>
          <cell r="BF176">
            <v>14244.671312495888</v>
          </cell>
          <cell r="BG176">
            <v>14526.647308289997</v>
          </cell>
          <cell r="BH176">
            <v>14643.725060929655</v>
          </cell>
          <cell r="BI176">
            <v>14819.341689889145</v>
          </cell>
          <cell r="BJ176">
            <v>15170.57494780812</v>
          </cell>
          <cell r="BK176">
            <v>15470.879383328847</v>
          </cell>
          <cell r="BL176">
            <v>15595.567189890084</v>
          </cell>
          <cell r="BM176">
            <v>15782.598899731936</v>
          </cell>
          <cell r="BN176">
            <v>16156.662319415649</v>
          </cell>
        </row>
        <row r="177">
          <cell r="A177" t="str">
            <v xml:space="preserve">      LLR</v>
          </cell>
          <cell r="H177">
            <v>2278.197090484</v>
          </cell>
          <cell r="I177">
            <v>5022.842407227</v>
          </cell>
          <cell r="J177">
            <v>2494.0883880830002</v>
          </cell>
          <cell r="K177">
            <v>1312.1929442216951</v>
          </cell>
          <cell r="L177">
            <v>1104.91902898024</v>
          </cell>
          <cell r="M177">
            <v>1143.3897683515445</v>
          </cell>
          <cell r="N177">
            <v>1217.7101032943949</v>
          </cell>
          <cell r="O177">
            <v>1296.8612600085303</v>
          </cell>
          <cell r="P177">
            <v>1381.1572419090849</v>
          </cell>
          <cell r="Q177">
            <v>1470.9324626331752</v>
          </cell>
          <cell r="AD177">
            <v>2278.197090484</v>
          </cell>
          <cell r="AE177">
            <v>2522.8298856689999</v>
          </cell>
          <cell r="AF177">
            <v>2019.277092735</v>
          </cell>
          <cell r="AG177">
            <v>2088.4149246880002</v>
          </cell>
          <cell r="AH177">
            <v>5022.842407227</v>
          </cell>
          <cell r="AI177">
            <v>4280.200485286</v>
          </cell>
          <cell r="AJ177">
            <v>3766.2418246218622</v>
          </cell>
          <cell r="AK177">
            <v>3358.5596008490002</v>
          </cell>
          <cell r="AL177">
            <v>2494.0883880830002</v>
          </cell>
          <cell r="AM177">
            <v>1839.454195173</v>
          </cell>
          <cell r="AN177">
            <v>1600.13556830875</v>
          </cell>
          <cell r="AO177">
            <v>1428.602340935</v>
          </cell>
          <cell r="AP177">
            <v>1312.1929442216951</v>
          </cell>
          <cell r="AQ177">
            <v>1156.5126967455944</v>
          </cell>
          <cell r="AR177">
            <v>1147.8654559906133</v>
          </cell>
          <cell r="AS177">
            <v>1118.388093622</v>
          </cell>
          <cell r="AT177">
            <v>1104.91902898024</v>
          </cell>
          <cell r="AU177">
            <v>968.85839242600002</v>
          </cell>
          <cell r="AV177">
            <v>1163.0961542887549</v>
          </cell>
          <cell r="AW177">
            <v>1153.2429613201498</v>
          </cell>
          <cell r="AX177">
            <v>1143.3897683515445</v>
          </cell>
          <cell r="AY177">
            <v>1161.9698520872571</v>
          </cell>
          <cell r="AZ177">
            <v>1161.9698520872571</v>
          </cell>
          <cell r="BA177">
            <v>1189.8399776908259</v>
          </cell>
          <cell r="BB177">
            <v>1217.7101032943949</v>
          </cell>
          <cell r="BC177">
            <v>1237.4978924729287</v>
          </cell>
          <cell r="BD177">
            <v>1237.4978924729287</v>
          </cell>
          <cell r="BE177">
            <v>1267.1795762407296</v>
          </cell>
          <cell r="BF177">
            <v>1296.8612600085303</v>
          </cell>
          <cell r="BG177">
            <v>1317.9352554836689</v>
          </cell>
          <cell r="BH177">
            <v>1317.9352554836689</v>
          </cell>
          <cell r="BI177">
            <v>1349.546248696377</v>
          </cell>
          <cell r="BJ177">
            <v>1381.1572419090849</v>
          </cell>
          <cell r="BK177">
            <v>1403.6010470901074</v>
          </cell>
          <cell r="BL177">
            <v>1403.6010470901074</v>
          </cell>
          <cell r="BM177">
            <v>1437.2667548616414</v>
          </cell>
          <cell r="BN177">
            <v>1470.9324626331752</v>
          </cell>
        </row>
        <row r="178">
          <cell r="A178" t="str">
            <v xml:space="preserve">      LLR as % of IEA</v>
          </cell>
          <cell r="H178">
            <v>6.7919037260120121E-2</v>
          </cell>
          <cell r="I178">
            <v>0.23772069847703803</v>
          </cell>
          <cell r="J178">
            <v>0.20457482474843894</v>
          </cell>
          <cell r="K178">
            <v>0.11667786410172482</v>
          </cell>
          <cell r="L178">
            <v>9.262501017517781E-2</v>
          </cell>
          <cell r="M178">
            <v>0.09</v>
          </cell>
          <cell r="N178">
            <v>0.09</v>
          </cell>
          <cell r="O178">
            <v>0.09</v>
          </cell>
          <cell r="P178">
            <v>0.09</v>
          </cell>
          <cell r="Q178">
            <v>0.09</v>
          </cell>
          <cell r="Y178">
            <v>0.09</v>
          </cell>
          <cell r="AE178">
            <v>7.8121830768965395E-2</v>
          </cell>
          <cell r="AF178">
            <v>7.2533512564174091E-2</v>
          </cell>
          <cell r="AG178">
            <v>8.3997277685186875E-2</v>
          </cell>
          <cell r="AH178">
            <v>0.23772069847703803</v>
          </cell>
          <cell r="AI178">
            <v>0.24483735860134631</v>
          </cell>
          <cell r="AJ178">
            <v>0.24473179880583398</v>
          </cell>
          <cell r="AK178">
            <v>0.24286893869240223</v>
          </cell>
          <cell r="AL178">
            <v>0.20457482474843894</v>
          </cell>
          <cell r="AM178">
            <v>0.16718722115547754</v>
          </cell>
          <cell r="AN178">
            <v>0.14938015501095414</v>
          </cell>
          <cell r="AO178">
            <v>0.1335730289137983</v>
          </cell>
          <cell r="AP178">
            <v>0.11667786410172482</v>
          </cell>
          <cell r="AQ178">
            <v>9.951844822635246E-2</v>
          </cell>
          <cell r="AR178">
            <v>9.6712652158533599E-2</v>
          </cell>
          <cell r="AS178">
            <v>9.2968478795694115E-2</v>
          </cell>
          <cell r="AT178">
            <v>9.262501017517781E-2</v>
          </cell>
          <cell r="AU178">
            <v>8.2859350935117357E-2</v>
          </cell>
          <cell r="AV178">
            <v>9.4821818571435304E-2</v>
          </cell>
          <cell r="AW178">
            <v>9.2368600183327682E-2</v>
          </cell>
          <cell r="AX178">
            <v>0.09</v>
          </cell>
          <cell r="AY178">
            <v>9.0000000000000011E-2</v>
          </cell>
          <cell r="AZ178">
            <v>9.0000000000000011E-2</v>
          </cell>
          <cell r="BA178">
            <v>0.09</v>
          </cell>
          <cell r="BB178">
            <v>0.09</v>
          </cell>
          <cell r="BC178">
            <v>0.09</v>
          </cell>
          <cell r="BD178">
            <v>0.09</v>
          </cell>
          <cell r="BE178">
            <v>0.09</v>
          </cell>
          <cell r="BF178">
            <v>0.09</v>
          </cell>
          <cell r="BG178">
            <v>0.09</v>
          </cell>
          <cell r="BH178">
            <v>0.09</v>
          </cell>
          <cell r="BI178">
            <v>9.0000000000000011E-2</v>
          </cell>
          <cell r="BJ178">
            <v>0.09</v>
          </cell>
          <cell r="BK178">
            <v>0.09</v>
          </cell>
          <cell r="BL178">
            <v>0.09</v>
          </cell>
          <cell r="BM178">
            <v>0.09</v>
          </cell>
          <cell r="BN178">
            <v>0.09</v>
          </cell>
        </row>
        <row r="179">
          <cell r="A179" t="str">
            <v xml:space="preserve">   Other assets</v>
          </cell>
          <cell r="H179">
            <v>2519.3852924709954</v>
          </cell>
          <cell r="I179">
            <v>1382.4200428279992</v>
          </cell>
          <cell r="J179">
            <v>2675.1654539630013</v>
          </cell>
          <cell r="K179">
            <v>2004.0721429562036</v>
          </cell>
          <cell r="L179">
            <v>1512.6262650799972</v>
          </cell>
          <cell r="M179">
            <v>1588.2575783339971</v>
          </cell>
          <cell r="N179">
            <v>1667.6704572506972</v>
          </cell>
          <cell r="O179">
            <v>1751.053980113232</v>
          </cell>
          <cell r="P179">
            <v>1838.6066791188937</v>
          </cell>
          <cell r="Q179">
            <v>1930.5370130748383</v>
          </cell>
          <cell r="Y179">
            <v>0.05</v>
          </cell>
          <cell r="AD179">
            <v>2519.3852924709954</v>
          </cell>
          <cell r="AE179">
            <v>4313.9473179025899</v>
          </cell>
          <cell r="AF179">
            <v>4093.6409970935429</v>
          </cell>
          <cell r="AG179">
            <v>3279.6877821129997</v>
          </cell>
          <cell r="AH179">
            <v>1382.4200428279992</v>
          </cell>
          <cell r="AI179">
            <v>4022.566710331258</v>
          </cell>
          <cell r="AJ179">
            <v>3869.7875960146575</v>
          </cell>
          <cell r="AK179">
            <v>3113.0287180937239</v>
          </cell>
          <cell r="AL179">
            <v>2675.1654539630013</v>
          </cell>
          <cell r="AM179">
            <v>2689.1957283500005</v>
          </cell>
          <cell r="AN179">
            <v>2317.1236489820008</v>
          </cell>
          <cell r="AO179">
            <v>2200.3353322790008</v>
          </cell>
          <cell r="AP179">
            <v>2004.0721429562036</v>
          </cell>
          <cell r="AQ179">
            <v>1779.1297833621938</v>
          </cell>
          <cell r="AR179">
            <v>1411.1798223981093</v>
          </cell>
          <cell r="AS179">
            <v>1745.3532002342752</v>
          </cell>
          <cell r="AT179">
            <v>1512.6262650799972</v>
          </cell>
          <cell r="AU179">
            <v>1809.7134308920013</v>
          </cell>
          <cell r="AV179">
            <v>1438.8076475606636</v>
          </cell>
          <cell r="AW179">
            <v>1513.532612947331</v>
          </cell>
          <cell r="AX179">
            <v>1588.2575783339983</v>
          </cell>
          <cell r="AY179">
            <v>1608.1107980631732</v>
          </cell>
          <cell r="AZ179">
            <v>1608.1107980631732</v>
          </cell>
          <cell r="BA179">
            <v>1637.8906276569337</v>
          </cell>
          <cell r="BB179">
            <v>1667.6704572506962</v>
          </cell>
          <cell r="BC179">
            <v>1688.5163379663311</v>
          </cell>
          <cell r="BD179">
            <v>1688.5163379663311</v>
          </cell>
          <cell r="BE179">
            <v>1719.7851590397809</v>
          </cell>
          <cell r="BF179">
            <v>1751.0539801132322</v>
          </cell>
          <cell r="BG179">
            <v>1772.9421548646471</v>
          </cell>
          <cell r="BH179">
            <v>1772.942154864649</v>
          </cell>
          <cell r="BI179">
            <v>1805.7744169917714</v>
          </cell>
          <cell r="BJ179">
            <v>1838.6066791188937</v>
          </cell>
          <cell r="BK179">
            <v>1861.5892626078785</v>
          </cell>
          <cell r="BL179">
            <v>1861.5892626078803</v>
          </cell>
          <cell r="BM179">
            <v>1896.0631378413605</v>
          </cell>
          <cell r="BN179">
            <v>1930.5370130748386</v>
          </cell>
        </row>
        <row r="180">
          <cell r="A180" t="str">
            <v>Total liabilities</v>
          </cell>
          <cell r="H180">
            <v>32009.314017977998</v>
          </cell>
          <cell r="I180">
            <v>20701.940782787999</v>
          </cell>
          <cell r="J180">
            <v>12942.395084094</v>
          </cell>
          <cell r="K180">
            <v>10131.6435095214</v>
          </cell>
          <cell r="L180">
            <v>9316.0866921809393</v>
          </cell>
          <cell r="M180">
            <v>8958.5481637125013</v>
          </cell>
          <cell r="N180">
            <v>8608.8722712283834</v>
          </cell>
          <cell r="O180">
            <v>8584.5222752300106</v>
          </cell>
          <cell r="P180">
            <v>8631.728179479851</v>
          </cell>
          <cell r="Q180">
            <v>8759.9138910359106</v>
          </cell>
          <cell r="AD180">
            <v>32009.314017977998</v>
          </cell>
          <cell r="AE180">
            <v>32711.795107414997</v>
          </cell>
          <cell r="AF180">
            <v>28528.481028741615</v>
          </cell>
          <cell r="AG180">
            <v>24922.754611172</v>
          </cell>
          <cell r="AH180">
            <v>20701.940782787999</v>
          </cell>
          <cell r="AI180">
            <v>17518.307347614998</v>
          </cell>
          <cell r="AJ180">
            <v>16324.289197980082</v>
          </cell>
          <cell r="AK180">
            <v>14474.449193701465</v>
          </cell>
          <cell r="AL180">
            <v>12942.395084094</v>
          </cell>
          <cell r="AM180">
            <v>11126.02376305</v>
          </cell>
          <cell r="AN180">
            <v>10219.768053018999</v>
          </cell>
          <cell r="AO180">
            <v>9890.0392213032064</v>
          </cell>
          <cell r="AP180">
            <v>10131.6435095214</v>
          </cell>
          <cell r="AQ180">
            <v>10076.713967388099</v>
          </cell>
          <cell r="AR180">
            <v>9673.5936721215112</v>
          </cell>
          <cell r="AS180">
            <v>9887.3331485361505</v>
          </cell>
          <cell r="AT180">
            <v>9316.0866921809393</v>
          </cell>
          <cell r="AU180">
            <v>8650.8566004610002</v>
          </cell>
          <cell r="AV180">
            <v>8367.6796943144691</v>
          </cell>
          <cell r="AW180">
            <v>8377.671112954511</v>
          </cell>
          <cell r="AX180">
            <v>8961.7118830695763</v>
          </cell>
          <cell r="AY180">
            <v>8877.8345597560146</v>
          </cell>
          <cell r="AZ180">
            <v>8583.8776257360951</v>
          </cell>
          <cell r="BA180">
            <v>8599.1373580965992</v>
          </cell>
          <cell r="BB180">
            <v>8612.0359905854584</v>
          </cell>
          <cell r="BC180">
            <v>8576.7668320407502</v>
          </cell>
          <cell r="BD180">
            <v>8357.6811772789151</v>
          </cell>
          <cell r="BE180">
            <v>8468.2194219969915</v>
          </cell>
          <cell r="BF180">
            <v>8587.6859945870856</v>
          </cell>
          <cell r="BG180">
            <v>8602.1654891514627</v>
          </cell>
          <cell r="BH180">
            <v>8379.8899534923021</v>
          </cell>
          <cell r="BI180">
            <v>8508.283598998587</v>
          </cell>
          <cell r="BJ180">
            <v>8634.891898836926</v>
          </cell>
          <cell r="BK180">
            <v>8664.3161002761444</v>
          </cell>
          <cell r="BL180">
            <v>8442.040564616982</v>
          </cell>
          <cell r="BM180">
            <v>8592.8512704355308</v>
          </cell>
          <cell r="BN180">
            <v>8763.077610392982</v>
          </cell>
        </row>
        <row r="181">
          <cell r="A181" t="str">
            <v xml:space="preserve">   IBL</v>
          </cell>
          <cell r="H181">
            <v>30451.988687936999</v>
          </cell>
          <cell r="I181">
            <v>19731.47543427</v>
          </cell>
          <cell r="J181">
            <v>12013.334715540403</v>
          </cell>
          <cell r="K181">
            <v>9005.4867115049983</v>
          </cell>
          <cell r="L181">
            <v>7859.3292817990005</v>
          </cell>
          <cell r="M181">
            <v>7428.9528828114653</v>
          </cell>
          <cell r="N181">
            <v>7002.7972262822959</v>
          </cell>
          <cell r="O181">
            <v>6898.1434780366189</v>
          </cell>
          <cell r="P181">
            <v>6861.0304424267897</v>
          </cell>
          <cell r="Q181">
            <v>6900.6812671301959</v>
          </cell>
          <cell r="AD181">
            <v>30451.988687936999</v>
          </cell>
          <cell r="AE181">
            <v>31468.392807941</v>
          </cell>
          <cell r="AF181">
            <v>27321.440907538003</v>
          </cell>
          <cell r="AG181">
            <v>23474.983348079</v>
          </cell>
          <cell r="AH181">
            <v>19731.47543427</v>
          </cell>
          <cell r="AI181">
            <v>16568.972854265969</v>
          </cell>
          <cell r="AJ181">
            <v>15373.816305085</v>
          </cell>
          <cell r="AK181">
            <v>13415.375245137464</v>
          </cell>
          <cell r="AL181">
            <v>12013.334715540403</v>
          </cell>
          <cell r="AM181">
            <v>10037.190876352</v>
          </cell>
          <cell r="AN181">
            <v>9347.8210076299893</v>
          </cell>
          <cell r="AO181">
            <v>8950.4488214369612</v>
          </cell>
          <cell r="AP181">
            <v>9005.4867115049983</v>
          </cell>
          <cell r="AQ181">
            <v>8852.2686983999993</v>
          </cell>
          <cell r="AR181">
            <v>8397.8377707809996</v>
          </cell>
          <cell r="AS181">
            <v>8400.2627876879997</v>
          </cell>
          <cell r="AT181">
            <v>7859.3292817990005</v>
          </cell>
          <cell r="AU181">
            <v>7182.24485026</v>
          </cell>
          <cell r="AV181">
            <v>7941.5652926494886</v>
          </cell>
          <cell r="AW181">
            <v>7685.2590877304774</v>
          </cell>
          <cell r="AX181">
            <v>7428.9528828114653</v>
          </cell>
          <cell r="AY181">
            <v>7322.4139686791732</v>
          </cell>
          <cell r="AZ181">
            <v>7322.4139686791732</v>
          </cell>
          <cell r="BA181">
            <v>7162.605597480735</v>
          </cell>
          <cell r="BB181">
            <v>7002.7972262822959</v>
          </cell>
          <cell r="BC181">
            <v>6976.6337892208767</v>
          </cell>
          <cell r="BD181">
            <v>6976.6337892208767</v>
          </cell>
          <cell r="BE181">
            <v>6937.3886336287478</v>
          </cell>
          <cell r="BF181">
            <v>6898.1434780366189</v>
          </cell>
          <cell r="BG181">
            <v>6888.8652191341616</v>
          </cell>
          <cell r="BH181">
            <v>6888.8652191341616</v>
          </cell>
          <cell r="BI181">
            <v>6874.9478307804757</v>
          </cell>
          <cell r="BJ181">
            <v>6861.0304424267897</v>
          </cell>
          <cell r="BK181">
            <v>6870.9431486026415</v>
          </cell>
          <cell r="BL181">
            <v>6870.9431486026415</v>
          </cell>
          <cell r="BM181">
            <v>6885.8122078664182</v>
          </cell>
          <cell r="BN181">
            <v>6900.6812671301959</v>
          </cell>
        </row>
        <row r="182">
          <cell r="A182" t="str">
            <v xml:space="preserve">   Other liabilities</v>
          </cell>
          <cell r="H182">
            <v>1557.3253300409997</v>
          </cell>
          <cell r="I182">
            <v>970.46534851799879</v>
          </cell>
          <cell r="J182">
            <v>929.06036855359707</v>
          </cell>
          <cell r="K182">
            <v>1126.1567980164018</v>
          </cell>
          <cell r="L182">
            <v>1456.7574103819388</v>
          </cell>
          <cell r="M182">
            <v>1529.5952809010357</v>
          </cell>
          <cell r="N182">
            <v>1606.0750449460875</v>
          </cell>
          <cell r="O182">
            <v>1686.3787971933918</v>
          </cell>
          <cell r="P182">
            <v>1770.6977370530615</v>
          </cell>
          <cell r="Q182">
            <v>1859.2326239057147</v>
          </cell>
          <cell r="Y182">
            <v>0.05</v>
          </cell>
          <cell r="AD182">
            <v>1557.3253300409997</v>
          </cell>
          <cell r="AE182">
            <v>1243.4022994739971</v>
          </cell>
          <cell r="AF182">
            <v>1207.0401212036122</v>
          </cell>
          <cell r="AG182">
            <v>1447.771263093</v>
          </cell>
          <cell r="AH182">
            <v>970.46534851799879</v>
          </cell>
          <cell r="AI182">
            <v>949.3344933490298</v>
          </cell>
          <cell r="AJ182">
            <v>950.47289289508262</v>
          </cell>
          <cell r="AK182">
            <v>1059.0739485640006</v>
          </cell>
          <cell r="AL182">
            <v>929.06036855359707</v>
          </cell>
          <cell r="AM182">
            <v>1088.8328866979991</v>
          </cell>
          <cell r="AN182">
            <v>871.94704538900987</v>
          </cell>
          <cell r="AO182">
            <v>939.59039986624521</v>
          </cell>
          <cell r="AP182">
            <v>1126.1567980164018</v>
          </cell>
          <cell r="AQ182">
            <v>1224.4452689881</v>
          </cell>
          <cell r="AR182">
            <v>1275.7559013405116</v>
          </cell>
          <cell r="AS182">
            <v>1487.0703608481508</v>
          </cell>
          <cell r="AT182">
            <v>1456.7574103819388</v>
          </cell>
          <cell r="AU182">
            <v>1468.6117502010002</v>
          </cell>
          <cell r="AV182">
            <v>426.11440166498051</v>
          </cell>
          <cell r="AW182">
            <v>692.41202522403364</v>
          </cell>
          <cell r="AX182">
            <v>1532.759000258111</v>
          </cell>
          <cell r="AY182">
            <v>1555.4205910768414</v>
          </cell>
          <cell r="AZ182">
            <v>1261.4636570569219</v>
          </cell>
          <cell r="BA182">
            <v>1436.5317606158642</v>
          </cell>
          <cell r="BB182">
            <v>1609.2387643031625</v>
          </cell>
          <cell r="BC182">
            <v>1600.1330428198735</v>
          </cell>
          <cell r="BD182">
            <v>1381.0473880580385</v>
          </cell>
          <cell r="BE182">
            <v>1530.8307883682437</v>
          </cell>
          <cell r="BF182">
            <v>1689.5425165504666</v>
          </cell>
          <cell r="BG182">
            <v>1713.300270017301</v>
          </cell>
          <cell r="BH182">
            <v>1491.0247343581404</v>
          </cell>
          <cell r="BI182">
            <v>1633.3357682181113</v>
          </cell>
          <cell r="BJ182">
            <v>1773.8614564101363</v>
          </cell>
          <cell r="BK182">
            <v>1793.3729516735029</v>
          </cell>
          <cell r="BL182">
            <v>1571.0974160143405</v>
          </cell>
          <cell r="BM182">
            <v>1707.0390625691125</v>
          </cell>
          <cell r="BN182">
            <v>1862.3963432627861</v>
          </cell>
        </row>
        <row r="183">
          <cell r="A183" t="str">
            <v>Total shareholders' equity</v>
          </cell>
          <cell r="H183">
            <v>1774.7096302599998</v>
          </cell>
          <cell r="I183">
            <v>-3213.1874405449998</v>
          </cell>
          <cell r="J183">
            <v>-569.74756886899922</v>
          </cell>
          <cell r="K183">
            <v>1806.5243860791088</v>
          </cell>
          <cell r="L183">
            <v>3020.569613835818</v>
          </cell>
          <cell r="M183">
            <v>4190.6504057315578</v>
          </cell>
          <cell r="N183">
            <v>5371.2003415545278</v>
          </cell>
          <cell r="O183">
            <v>6279.2400005250283</v>
          </cell>
          <cell r="P183">
            <v>7171.912834497567</v>
          </cell>
          <cell r="Q183">
            <v>8043.3846886632573</v>
          </cell>
          <cell r="AD183">
            <v>1774.7096302599998</v>
          </cell>
          <cell r="AE183">
            <v>1372.8548859015937</v>
          </cell>
          <cell r="AF183">
            <v>1385.1122380229281</v>
          </cell>
          <cell r="AG183">
            <v>1131.4064521680011</v>
          </cell>
          <cell r="AH183">
            <v>-3213.1874405449998</v>
          </cell>
          <cell r="AI183">
            <v>-294.12989189399741</v>
          </cell>
          <cell r="AJ183">
            <v>-831.48120974748053</v>
          </cell>
          <cell r="AK183">
            <v>-891.28868870099723</v>
          </cell>
          <cell r="AL183">
            <v>-569.74756886899922</v>
          </cell>
          <cell r="AM183">
            <v>726.0789701040012</v>
          </cell>
          <cell r="AN183">
            <v>1209.0549979112511</v>
          </cell>
          <cell r="AO183">
            <v>1576.9842231527946</v>
          </cell>
          <cell r="AP183">
            <v>1806.5243860791088</v>
          </cell>
          <cell r="AQ183">
            <v>2166.9916445955005</v>
          </cell>
          <cell r="AR183">
            <v>2458.5447868049851</v>
          </cell>
          <cell r="AS183">
            <v>2769.3877216371257</v>
          </cell>
          <cell r="AT183">
            <v>3020.569613835818</v>
          </cell>
          <cell r="AU183">
            <v>3882.8053631359999</v>
          </cell>
          <cell r="AV183">
            <v>4174.1554803179752</v>
          </cell>
          <cell r="AW183">
            <v>4467.8457590837415</v>
          </cell>
          <cell r="AX183">
            <v>4187.4866863744828</v>
          </cell>
          <cell r="AY183">
            <v>4479.0825205227566</v>
          </cell>
          <cell r="AZ183">
            <v>4773.0394545426761</v>
          </cell>
          <cell r="BA183">
            <v>5069.3574884342415</v>
          </cell>
          <cell r="BB183">
            <v>5368.0366221974527</v>
          </cell>
          <cell r="BC183">
            <v>5624.2281964851936</v>
          </cell>
          <cell r="BD183">
            <v>5843.3138512470296</v>
          </cell>
          <cell r="BE183">
            <v>6064.1592301434994</v>
          </cell>
          <cell r="BF183">
            <v>6276.0762811679533</v>
          </cell>
          <cell r="BG183">
            <v>6496.5664711591708</v>
          </cell>
          <cell r="BH183">
            <v>6718.8420068183332</v>
          </cell>
          <cell r="BI183">
            <v>6942.9028881454406</v>
          </cell>
          <cell r="BJ183">
            <v>7168.7491151404929</v>
          </cell>
          <cell r="BK183">
            <v>7389.2393051317104</v>
          </cell>
          <cell r="BL183">
            <v>7611.5148407908728</v>
          </cell>
          <cell r="BM183">
            <v>7835.5757221179801</v>
          </cell>
          <cell r="BN183">
            <v>8040.2209693061841</v>
          </cell>
        </row>
        <row r="184">
          <cell r="A184" t="str">
            <v xml:space="preserve">   CAR</v>
          </cell>
          <cell r="H184" t="str">
            <v>NM</v>
          </cell>
          <cell r="I184" t="str">
            <v>NM</v>
          </cell>
          <cell r="J184" t="str">
            <v>NM</v>
          </cell>
          <cell r="K184">
            <v>0.25600000000000001</v>
          </cell>
          <cell r="L184">
            <v>0.34200000000000003</v>
          </cell>
          <cell r="M184">
            <v>0.37624227995898074</v>
          </cell>
          <cell r="N184">
            <v>0.4536485059892979</v>
          </cell>
          <cell r="O184">
            <v>0.49885336344883352</v>
          </cell>
          <cell r="P184">
            <v>0.53591963344723725</v>
          </cell>
          <cell r="Q184">
            <v>0.56531027887885943</v>
          </cell>
          <cell r="AD184" t="str">
            <v>NM</v>
          </cell>
          <cell r="AP184">
            <v>0.25600000000000001</v>
          </cell>
          <cell r="AQ184">
            <v>0.27</v>
          </cell>
          <cell r="AR184">
            <v>0.307</v>
          </cell>
          <cell r="AS184">
            <v>0.32700000000000001</v>
          </cell>
          <cell r="AT184">
            <v>0.34300000000000003</v>
          </cell>
          <cell r="AU184">
            <v>0.36599999999999999</v>
          </cell>
          <cell r="AV184">
            <v>0.39320675933071664</v>
          </cell>
          <cell r="AW184">
            <v>0.41092260247980866</v>
          </cell>
          <cell r="AX184">
            <v>0.37624227995898074</v>
          </cell>
          <cell r="AY184">
            <v>0.39618340108224986</v>
          </cell>
          <cell r="AZ184">
            <v>0.42218445316336439</v>
          </cell>
          <cell r="BA184">
            <v>0.4381730546478908</v>
          </cell>
          <cell r="BB184">
            <v>0.4536485059892979</v>
          </cell>
          <cell r="BC184">
            <v>0.46790490730581108</v>
          </cell>
          <cell r="BD184">
            <v>0.48613163093829687</v>
          </cell>
          <cell r="BE184">
            <v>0.49300046979998857</v>
          </cell>
          <cell r="BF184">
            <v>0.49885336344883352</v>
          </cell>
          <cell r="BG184">
            <v>0.5083430063862926</v>
          </cell>
          <cell r="BH184">
            <v>0.52573561131763891</v>
          </cell>
          <cell r="BI184">
            <v>0.53087551894083584</v>
          </cell>
          <cell r="BJ184">
            <v>0.53591963344723725</v>
          </cell>
          <cell r="BK184">
            <v>0.54380342992197916</v>
          </cell>
          <cell r="BL184">
            <v>0.56016156824824126</v>
          </cell>
          <cell r="BM184">
            <v>0.56349280082557307</v>
          </cell>
          <cell r="BN184">
            <v>0.56531027887885943</v>
          </cell>
        </row>
        <row r="186">
          <cell r="A186" t="str">
            <v>Income statement (Stated)</v>
          </cell>
        </row>
        <row r="187">
          <cell r="A187" t="str">
            <v>Opreating revenue</v>
          </cell>
          <cell r="H187">
            <v>5631.1537365149998</v>
          </cell>
          <cell r="I187">
            <v>4392.6345656619997</v>
          </cell>
          <cell r="J187">
            <v>3432.2684772969997</v>
          </cell>
          <cell r="K187">
            <v>2729.7121418010001</v>
          </cell>
          <cell r="L187">
            <v>2703.3975773309999</v>
          </cell>
          <cell r="M187">
            <v>2702.0648857544629</v>
          </cell>
          <cell r="N187">
            <v>2877.699103328503</v>
          </cell>
          <cell r="O187">
            <v>3064.7495450448559</v>
          </cell>
          <cell r="P187">
            <v>3263.958265472771</v>
          </cell>
          <cell r="Q187">
            <v>3476.1155527285009</v>
          </cell>
          <cell r="AE187">
            <v>1386.201805962</v>
          </cell>
          <cell r="AF187">
            <v>1233.4019875108575</v>
          </cell>
          <cell r="AG187">
            <v>1231.5669755401427</v>
          </cell>
          <cell r="AH187">
            <v>541.46379664899951</v>
          </cell>
          <cell r="AI187">
            <v>1121.7982115539999</v>
          </cell>
          <cell r="AJ187">
            <v>681.67165924000028</v>
          </cell>
          <cell r="AK187">
            <v>787.64507224299996</v>
          </cell>
          <cell r="AL187">
            <v>841.15353425999956</v>
          </cell>
          <cell r="AM187">
            <v>701.89217845299993</v>
          </cell>
          <cell r="AN187">
            <v>670.75253782100015</v>
          </cell>
          <cell r="AO187">
            <v>658.62592038599951</v>
          </cell>
          <cell r="AP187">
            <v>698.44150514100056</v>
          </cell>
          <cell r="AQ187">
            <v>677.29638000300008</v>
          </cell>
          <cell r="AR187">
            <v>692.79318837599988</v>
          </cell>
          <cell r="AS187">
            <v>674.5923107860001</v>
          </cell>
          <cell r="AT187">
            <v>658.71569816599981</v>
          </cell>
          <cell r="AU187">
            <v>633.31712340400009</v>
          </cell>
          <cell r="AV187">
            <v>672.81415655286128</v>
          </cell>
          <cell r="AW187">
            <v>678.2182863243703</v>
          </cell>
          <cell r="AX187">
            <v>717.71531947323149</v>
          </cell>
          <cell r="AY187">
            <v>710.79167852214027</v>
          </cell>
          <cell r="AZ187">
            <v>716.54707672879726</v>
          </cell>
          <cell r="BA187">
            <v>722.30247493545437</v>
          </cell>
          <cell r="BB187">
            <v>728.05787314211102</v>
          </cell>
          <cell r="BC187">
            <v>756.99313762607937</v>
          </cell>
          <cell r="BD187">
            <v>763.12263671616915</v>
          </cell>
          <cell r="BE187">
            <v>769.25213580625882</v>
          </cell>
          <cell r="BF187">
            <v>775.38163489634871</v>
          </cell>
          <cell r="BG187">
            <v>806.1976915717745</v>
          </cell>
          <cell r="BH187">
            <v>812.72560810272</v>
          </cell>
          <cell r="BI187">
            <v>819.25352463366562</v>
          </cell>
          <cell r="BJ187">
            <v>825.78144116461101</v>
          </cell>
          <cell r="BK187">
            <v>806.1976915717745</v>
          </cell>
          <cell r="BL187">
            <v>812.72560810272</v>
          </cell>
          <cell r="BM187">
            <v>819.25352463366562</v>
          </cell>
          <cell r="BN187">
            <v>1037.9387284203408</v>
          </cell>
        </row>
        <row r="188">
          <cell r="A188" t="str">
            <v xml:space="preserve">   ABS related revenue</v>
          </cell>
          <cell r="H188">
            <v>2230.5226477669999</v>
          </cell>
          <cell r="I188">
            <v>1896.601214994</v>
          </cell>
          <cell r="J188">
            <v>1437.833109423</v>
          </cell>
          <cell r="K188">
            <v>832.42513011699998</v>
          </cell>
          <cell r="L188">
            <v>596.73801920100004</v>
          </cell>
          <cell r="M188">
            <v>501.73266199073015</v>
          </cell>
          <cell r="N188">
            <v>534.34528502012756</v>
          </cell>
          <cell r="O188">
            <v>569.07772854643588</v>
          </cell>
          <cell r="P188">
            <v>606.06778090195405</v>
          </cell>
          <cell r="Q188">
            <v>645.4621866605811</v>
          </cell>
          <cell r="AE188">
            <v>655.56577849200005</v>
          </cell>
          <cell r="AF188">
            <v>620.47819148685733</v>
          </cell>
          <cell r="AG188">
            <v>696.23050514414263</v>
          </cell>
          <cell r="AH188">
            <v>-75.673260129000028</v>
          </cell>
          <cell r="AI188">
            <v>593.85810486499997</v>
          </cell>
          <cell r="AJ188">
            <v>218.12303151100002</v>
          </cell>
          <cell r="AK188">
            <v>310.31347039999991</v>
          </cell>
          <cell r="AL188">
            <v>315.53850264700009</v>
          </cell>
          <cell r="AM188">
            <v>243.084421948</v>
          </cell>
          <cell r="AN188">
            <v>197.26289387200001</v>
          </cell>
          <cell r="AO188">
            <v>197.653578837</v>
          </cell>
          <cell r="AP188">
            <v>194.42423545999998</v>
          </cell>
          <cell r="AQ188">
            <v>175.567875109</v>
          </cell>
          <cell r="AR188">
            <v>162.962107129</v>
          </cell>
          <cell r="AS188">
            <v>140.89295243499998</v>
          </cell>
          <cell r="AT188">
            <v>117.31508452800006</v>
          </cell>
          <cell r="AU188">
            <v>116.584330725</v>
          </cell>
          <cell r="AV188">
            <v>140.07937761683638</v>
          </cell>
          <cell r="AW188">
            <v>141.20451318002381</v>
          </cell>
          <cell r="AX188">
            <v>103.86444046886999</v>
          </cell>
          <cell r="AY188">
            <v>97.057522982114634</v>
          </cell>
          <cell r="AZ188">
            <v>97.843413856463741</v>
          </cell>
          <cell r="BA188">
            <v>98.629304730812834</v>
          </cell>
          <cell r="BB188">
            <v>240.81504345073631</v>
          </cell>
          <cell r="BC188">
            <v>252.88963346831144</v>
          </cell>
          <cell r="BD188">
            <v>254.93732280813583</v>
          </cell>
          <cell r="BE188">
            <v>256.98501214796022</v>
          </cell>
          <cell r="BF188">
            <v>-195.73423987797162</v>
          </cell>
          <cell r="BG188">
            <v>-203.51332202015737</v>
          </cell>
          <cell r="BH188">
            <v>-205.16120317011817</v>
          </cell>
          <cell r="BI188">
            <v>-206.80908432007897</v>
          </cell>
          <cell r="BJ188">
            <v>1221.5513904123086</v>
          </cell>
          <cell r="BK188">
            <v>1192.5817922207123</v>
          </cell>
          <cell r="BL188">
            <v>1202.2383249512443</v>
          </cell>
          <cell r="BM188">
            <v>1211.8948576817766</v>
          </cell>
          <cell r="BN188">
            <v>-2961.2527881931519</v>
          </cell>
        </row>
        <row r="189">
          <cell r="A189" t="str">
            <v xml:space="preserve">   Other revenue</v>
          </cell>
          <cell r="H189">
            <v>3400.6310887479999</v>
          </cell>
          <cell r="I189">
            <v>2496.0333506679999</v>
          </cell>
          <cell r="J189">
            <v>1994.4353678739997</v>
          </cell>
          <cell r="K189">
            <v>1897.2870116840002</v>
          </cell>
          <cell r="L189">
            <v>2106.6595581299998</v>
          </cell>
          <cell r="M189">
            <v>2200.3322237637326</v>
          </cell>
          <cell r="N189">
            <v>2343.3538183083756</v>
          </cell>
          <cell r="O189">
            <v>2495.67181649842</v>
          </cell>
          <cell r="P189">
            <v>2657.8904845708171</v>
          </cell>
          <cell r="Q189">
            <v>2830.6533660679197</v>
          </cell>
          <cell r="AE189">
            <v>730.63602746999993</v>
          </cell>
          <cell r="AF189">
            <v>612.92379602400013</v>
          </cell>
          <cell r="AG189">
            <v>535.3364703960001</v>
          </cell>
          <cell r="AH189">
            <v>617.13705677799976</v>
          </cell>
          <cell r="AI189">
            <v>527.94010668899989</v>
          </cell>
          <cell r="AJ189">
            <v>463.54862772900026</v>
          </cell>
          <cell r="AK189">
            <v>477.33160184300004</v>
          </cell>
          <cell r="AL189">
            <v>525.61503161299947</v>
          </cell>
          <cell r="AM189">
            <v>458.80775650499993</v>
          </cell>
          <cell r="AN189">
            <v>473.4896439490002</v>
          </cell>
          <cell r="AO189">
            <v>460.97234154899934</v>
          </cell>
          <cell r="AP189">
            <v>504.0172696810007</v>
          </cell>
          <cell r="AQ189">
            <v>501.72850489400008</v>
          </cell>
          <cell r="AR189">
            <v>529.83108124699993</v>
          </cell>
          <cell r="AS189">
            <v>533.69935835100011</v>
          </cell>
          <cell r="AT189">
            <v>541.40061363799975</v>
          </cell>
          <cell r="AU189">
            <v>516.73279267900011</v>
          </cell>
          <cell r="AV189">
            <v>532.7347789360249</v>
          </cell>
          <cell r="AW189">
            <v>537.01377314434649</v>
          </cell>
          <cell r="AX189">
            <v>613.8508790043611</v>
          </cell>
          <cell r="AY189">
            <v>613.73415554002565</v>
          </cell>
          <cell r="AZ189">
            <v>618.70366287233355</v>
          </cell>
          <cell r="BA189">
            <v>623.67317020464156</v>
          </cell>
          <cell r="BB189">
            <v>487.24282969137471</v>
          </cell>
          <cell r="BC189">
            <v>504.10350415776793</v>
          </cell>
          <cell r="BD189">
            <v>508.18531390803332</v>
          </cell>
          <cell r="BE189">
            <v>512.2671236582986</v>
          </cell>
          <cell r="BF189">
            <v>971.11587477432022</v>
          </cell>
          <cell r="BG189">
            <v>1009.7110135919319</v>
          </cell>
          <cell r="BH189">
            <v>1017.8868112728381</v>
          </cell>
          <cell r="BI189">
            <v>1026.0626089537445</v>
          </cell>
          <cell r="BJ189">
            <v>-395.76994924769724</v>
          </cell>
          <cell r="BK189">
            <v>-386.38410064893776</v>
          </cell>
          <cell r="BL189">
            <v>-389.51271684852429</v>
          </cell>
          <cell r="BM189">
            <v>-392.64133304811094</v>
          </cell>
          <cell r="BN189">
            <v>3999.1915166134927</v>
          </cell>
        </row>
        <row r="190">
          <cell r="A190" t="str">
            <v>Operating expenses</v>
          </cell>
          <cell r="H190">
            <v>2439.6186236009999</v>
          </cell>
          <cell r="I190">
            <v>2593.0075714750001</v>
          </cell>
          <cell r="J190">
            <v>1698.7087752350001</v>
          </cell>
          <cell r="K190">
            <v>1356.0185848840001</v>
          </cell>
          <cell r="L190">
            <v>1393.249190125</v>
          </cell>
          <cell r="M190">
            <v>1351.2267399484958</v>
          </cell>
          <cell r="N190">
            <v>1407.8939400697275</v>
          </cell>
          <cell r="O190">
            <v>1474.6813956000096</v>
          </cell>
          <cell r="P190">
            <v>1552.9231665684733</v>
          </cell>
          <cell r="Q190">
            <v>1638.8272282770195</v>
          </cell>
          <cell r="AE190">
            <v>654.87415488099998</v>
          </cell>
          <cell r="AF190">
            <v>610.74699420800005</v>
          </cell>
          <cell r="AG190">
            <v>641.97173513899997</v>
          </cell>
          <cell r="AH190">
            <v>685.41468724700007</v>
          </cell>
          <cell r="AI190">
            <v>478.606837025</v>
          </cell>
          <cell r="AJ190">
            <v>398.96007861999999</v>
          </cell>
          <cell r="AK190">
            <v>392.50340488092968</v>
          </cell>
          <cell r="AL190">
            <v>428.6384547090704</v>
          </cell>
          <cell r="AM190">
            <v>314.56119360899999</v>
          </cell>
          <cell r="AN190">
            <v>319.06418420900008</v>
          </cell>
          <cell r="AO190">
            <v>320.08751199499989</v>
          </cell>
          <cell r="AP190">
            <v>402.30569507100017</v>
          </cell>
          <cell r="AQ190">
            <v>353.36574320699998</v>
          </cell>
          <cell r="AR190">
            <v>336.139526698</v>
          </cell>
          <cell r="AS190">
            <v>325.70898270215025</v>
          </cell>
          <cell r="AT190">
            <v>378.03493751784981</v>
          </cell>
          <cell r="AU190">
            <v>331.43829403899997</v>
          </cell>
          <cell r="AV190">
            <v>336.45545824717544</v>
          </cell>
          <cell r="AW190">
            <v>339.15791172707242</v>
          </cell>
          <cell r="AX190">
            <v>344.17507593524789</v>
          </cell>
          <cell r="AY190">
            <v>347.74980319722266</v>
          </cell>
          <cell r="AZ190">
            <v>350.56559107736217</v>
          </cell>
          <cell r="BA190">
            <v>353.38137895750162</v>
          </cell>
          <cell r="BB190">
            <v>356.19716683764113</v>
          </cell>
          <cell r="BC190">
            <v>364.24630471320239</v>
          </cell>
          <cell r="BD190">
            <v>367.19566750440242</v>
          </cell>
          <cell r="BE190">
            <v>370.1450302956024</v>
          </cell>
          <cell r="BF190">
            <v>373.09439308680248</v>
          </cell>
          <cell r="BG190">
            <v>383.57202214241283</v>
          </cell>
          <cell r="BH190">
            <v>386.67786847554981</v>
          </cell>
          <cell r="BI190">
            <v>389.7837148086868</v>
          </cell>
          <cell r="BJ190">
            <v>392.88956114182372</v>
          </cell>
          <cell r="BK190">
            <v>383.57202214241283</v>
          </cell>
          <cell r="BL190">
            <v>386.67786847554981</v>
          </cell>
          <cell r="BM190">
            <v>389.7837148086868</v>
          </cell>
          <cell r="BN190">
            <v>478.79362285037007</v>
          </cell>
        </row>
        <row r="191">
          <cell r="A191" t="str">
            <v xml:space="preserve">   Interest expenses</v>
          </cell>
          <cell r="H191">
            <v>866.915562271</v>
          </cell>
          <cell r="I191">
            <v>1105.1195764879999</v>
          </cell>
          <cell r="J191">
            <v>736.30000774400003</v>
          </cell>
          <cell r="K191">
            <v>397.85756054400002</v>
          </cell>
          <cell r="L191">
            <v>325.96956768000001</v>
          </cell>
          <cell r="M191">
            <v>289.85391110095031</v>
          </cell>
          <cell r="N191">
            <v>253.04702608068973</v>
          </cell>
          <cell r="O191">
            <v>225.34213532191575</v>
          </cell>
          <cell r="P191">
            <v>208.5384460008105</v>
          </cell>
          <cell r="Q191">
            <v>195.243544779427</v>
          </cell>
          <cell r="AE191">
            <v>249.00295505400001</v>
          </cell>
          <cell r="AF191">
            <v>236.96825849500001</v>
          </cell>
          <cell r="AG191">
            <v>223.29431754400002</v>
          </cell>
          <cell r="AH191">
            <v>395.85404539499984</v>
          </cell>
          <cell r="AI191">
            <v>208.002661128</v>
          </cell>
          <cell r="AJ191">
            <v>196.129032994</v>
          </cell>
          <cell r="AK191">
            <v>175.79993669013913</v>
          </cell>
          <cell r="AL191">
            <v>156.36837693186089</v>
          </cell>
          <cell r="AM191">
            <v>115.494934122</v>
          </cell>
          <cell r="AN191">
            <v>97.64647944299999</v>
          </cell>
          <cell r="AO191">
            <v>92.43674818400001</v>
          </cell>
          <cell r="AP191">
            <v>92.27939879500002</v>
          </cell>
          <cell r="AQ191">
            <v>85.181193883000006</v>
          </cell>
          <cell r="AR191">
            <v>84.134670326000006</v>
          </cell>
          <cell r="AS191">
            <v>81.004171665000001</v>
          </cell>
          <cell r="AT191">
            <v>75.649531805999999</v>
          </cell>
          <cell r="AU191">
            <v>67.763388223999996</v>
          </cell>
          <cell r="AV191">
            <v>72.17362386413663</v>
          </cell>
          <cell r="AW191">
            <v>72.753331686338527</v>
          </cell>
          <cell r="AX191">
            <v>77.163567326475174</v>
          </cell>
          <cell r="AY191">
            <v>62.502615441930367</v>
          </cell>
          <cell r="AZ191">
            <v>63.008709494091747</v>
          </cell>
          <cell r="BA191">
            <v>63.51480354625312</v>
          </cell>
          <cell r="BB191">
            <v>64.020897598414507</v>
          </cell>
          <cell r="BC191">
            <v>55.659507424513187</v>
          </cell>
          <cell r="BD191">
            <v>56.11019169515702</v>
          </cell>
          <cell r="BE191">
            <v>56.560875965800854</v>
          </cell>
          <cell r="BF191">
            <v>57.011560236444694</v>
          </cell>
          <cell r="BG191">
            <v>51.508996162200191</v>
          </cell>
          <cell r="BH191">
            <v>51.926073054201815</v>
          </cell>
          <cell r="BI191">
            <v>52.343149946203432</v>
          </cell>
          <cell r="BJ191">
            <v>52.760226838205057</v>
          </cell>
          <cell r="BK191">
            <v>51.508996162200191</v>
          </cell>
          <cell r="BL191">
            <v>51.926073054201815</v>
          </cell>
          <cell r="BM191">
            <v>52.343149946203432</v>
          </cell>
          <cell r="BN191">
            <v>39.465325616821559</v>
          </cell>
        </row>
        <row r="192">
          <cell r="A192" t="str">
            <v xml:space="preserve">   SG&amp;A</v>
          </cell>
          <cell r="H192">
            <v>1572.7030613300001</v>
          </cell>
          <cell r="I192">
            <v>1487.887994987</v>
          </cell>
          <cell r="J192">
            <v>962.40876749100005</v>
          </cell>
          <cell r="K192">
            <v>958.16102434000004</v>
          </cell>
          <cell r="L192">
            <v>1067.2796224450001</v>
          </cell>
          <cell r="M192">
            <v>1061.3728288475454</v>
          </cell>
          <cell r="N192">
            <v>1154.8469139890378</v>
          </cell>
          <cell r="O192">
            <v>1249.3392602780939</v>
          </cell>
          <cell r="P192">
            <v>1344.3847205676627</v>
          </cell>
          <cell r="Q192">
            <v>1443.5836834975926</v>
          </cell>
          <cell r="AE192">
            <v>405.871199827</v>
          </cell>
          <cell r="AF192">
            <v>373.778735713</v>
          </cell>
          <cell r="AG192">
            <v>418.67741759500007</v>
          </cell>
          <cell r="AH192">
            <v>289.56064185199989</v>
          </cell>
          <cell r="AI192">
            <v>270.604175897</v>
          </cell>
          <cell r="AJ192">
            <v>202.83104562599999</v>
          </cell>
          <cell r="AK192">
            <v>216.70346819079066</v>
          </cell>
          <cell r="AL192">
            <v>272.27007777720939</v>
          </cell>
          <cell r="AM192">
            <v>199.066259487</v>
          </cell>
          <cell r="AN192">
            <v>221.41770476600001</v>
          </cell>
          <cell r="AO192">
            <v>227.65076381099999</v>
          </cell>
          <cell r="AP192">
            <v>310.02629627600004</v>
          </cell>
          <cell r="AQ192">
            <v>268.18454932399999</v>
          </cell>
          <cell r="AR192">
            <v>252.00485637200001</v>
          </cell>
          <cell r="AS192">
            <v>244.70481103715019</v>
          </cell>
          <cell r="AT192">
            <v>302.3854057118499</v>
          </cell>
          <cell r="AU192">
            <v>263.67490581499999</v>
          </cell>
          <cell r="AV192">
            <v>264.28183438303881</v>
          </cell>
          <cell r="AW192">
            <v>266.40458004073389</v>
          </cell>
          <cell r="AX192">
            <v>267.01150860877271</v>
          </cell>
          <cell r="AY192">
            <v>285.24718775529232</v>
          </cell>
          <cell r="AZ192">
            <v>287.55688158327041</v>
          </cell>
          <cell r="BA192">
            <v>289.8665754112485</v>
          </cell>
          <cell r="BB192">
            <v>292.1762692392266</v>
          </cell>
          <cell r="BC192">
            <v>308.58679728868918</v>
          </cell>
          <cell r="BD192">
            <v>311.08547580924539</v>
          </cell>
          <cell r="BE192">
            <v>313.58415432980155</v>
          </cell>
          <cell r="BF192">
            <v>316.08283285035782</v>
          </cell>
          <cell r="BG192">
            <v>332.06302598021267</v>
          </cell>
          <cell r="BH192">
            <v>334.75179542134799</v>
          </cell>
          <cell r="BI192">
            <v>337.44056486248337</v>
          </cell>
          <cell r="BJ192">
            <v>340.12933430361863</v>
          </cell>
          <cell r="BK192">
            <v>332.06302598021267</v>
          </cell>
          <cell r="BL192">
            <v>334.75179542134799</v>
          </cell>
          <cell r="BM192">
            <v>337.44056486248337</v>
          </cell>
          <cell r="BN192">
            <v>439.32829723354848</v>
          </cell>
        </row>
        <row r="193">
          <cell r="A193" t="str">
            <v>Provisioning expenses</v>
          </cell>
          <cell r="H193">
            <v>2697.4574824249999</v>
          </cell>
          <cell r="I193">
            <v>7134.3511772840002</v>
          </cell>
          <cell r="J193">
            <v>2580.442989316</v>
          </cell>
          <cell r="K193">
            <v>125.259430991</v>
          </cell>
          <cell r="L193">
            <v>118.966112426406</v>
          </cell>
          <cell r="M193">
            <v>307.91599786723259</v>
          </cell>
          <cell r="N193">
            <v>459.1027528200438</v>
          </cell>
          <cell r="O193">
            <v>488.94443175334663</v>
          </cell>
          <cell r="P193">
            <v>595.11522264835889</v>
          </cell>
          <cell r="Q193">
            <v>633.7977121205023</v>
          </cell>
          <cell r="AE193">
            <v>1108.4421188660001</v>
          </cell>
          <cell r="AF193">
            <v>993.23341886000003</v>
          </cell>
          <cell r="AG193">
            <v>807.68133218999992</v>
          </cell>
          <cell r="AH193">
            <v>4224.9943073680006</v>
          </cell>
          <cell r="AI193">
            <v>1259.2513831450001</v>
          </cell>
          <cell r="AJ193">
            <v>700.84298572900002</v>
          </cell>
          <cell r="AK193">
            <v>465.05056284299985</v>
          </cell>
          <cell r="AL193">
            <v>155.298057599</v>
          </cell>
          <cell r="AM193">
            <v>94.592368898999993</v>
          </cell>
          <cell r="AN193">
            <v>-3.2828218049999975</v>
          </cell>
          <cell r="AO193">
            <v>-22.769618886663352</v>
          </cell>
          <cell r="AP193">
            <v>56.719502783663359</v>
          </cell>
          <cell r="AQ193">
            <v>-18.211236221</v>
          </cell>
          <cell r="AR193">
            <v>70.375085078313106</v>
          </cell>
          <cell r="AS193">
            <v>61.564521177686885</v>
          </cell>
          <cell r="AT193">
            <v>5.2377423914060017</v>
          </cell>
          <cell r="AU193">
            <v>0</v>
          </cell>
          <cell r="AV193">
            <v>76.671083468940921</v>
          </cell>
          <cell r="AW193">
            <v>77.286915464675374</v>
          </cell>
          <cell r="AX193">
            <v>153.9579989336163</v>
          </cell>
          <cell r="AY193">
            <v>113.39837994655082</v>
          </cell>
          <cell r="AZ193">
            <v>114.31658545219091</v>
          </cell>
          <cell r="BA193">
            <v>115.234790957831</v>
          </cell>
          <cell r="BB193">
            <v>116.15299646347108</v>
          </cell>
          <cell r="BC193">
            <v>120.76927464307661</v>
          </cell>
          <cell r="BD193">
            <v>121.74716350658331</v>
          </cell>
          <cell r="BE193">
            <v>122.72505237009001</v>
          </cell>
          <cell r="BF193">
            <v>123.70294123359673</v>
          </cell>
          <cell r="BG193">
            <v>146.99345999414464</v>
          </cell>
          <cell r="BH193">
            <v>148.18369043944136</v>
          </cell>
          <cell r="BI193">
            <v>149.37392088473808</v>
          </cell>
          <cell r="BJ193">
            <v>150.5641513300348</v>
          </cell>
          <cell r="BK193">
            <v>146.99345999414464</v>
          </cell>
          <cell r="BL193">
            <v>148.18369043944136</v>
          </cell>
          <cell r="BM193">
            <v>149.37392088473808</v>
          </cell>
          <cell r="BN193">
            <v>189.24664080217821</v>
          </cell>
        </row>
        <row r="194">
          <cell r="A194" t="str">
            <v>Operating profits</v>
          </cell>
          <cell r="H194">
            <v>494.07763048900006</v>
          </cell>
          <cell r="I194">
            <v>-5334.7241830970006</v>
          </cell>
          <cell r="J194">
            <v>-846.88328725400038</v>
          </cell>
          <cell r="K194">
            <v>1248.434125926</v>
          </cell>
          <cell r="L194">
            <v>1191.1822747795939</v>
          </cell>
          <cell r="M194">
            <v>1042.9221479387345</v>
          </cell>
          <cell r="N194">
            <v>1010.7024104387317</v>
          </cell>
          <cell r="O194">
            <v>1101.1237176914997</v>
          </cell>
          <cell r="P194">
            <v>1115.9198762559388</v>
          </cell>
          <cell r="Q194">
            <v>1203.4906123309793</v>
          </cell>
          <cell r="AE194">
            <v>-377.1144677850001</v>
          </cell>
          <cell r="AF194">
            <v>-370.57842555714262</v>
          </cell>
          <cell r="AG194">
            <v>-218.08609178885717</v>
          </cell>
          <cell r="AH194">
            <v>-4368.9451979660007</v>
          </cell>
          <cell r="AI194">
            <v>-616.06000861600023</v>
          </cell>
          <cell r="AJ194">
            <v>-418.13140510899984</v>
          </cell>
          <cell r="AK194">
            <v>-69.908895480929459</v>
          </cell>
          <cell r="AL194">
            <v>257.21702195192915</v>
          </cell>
          <cell r="AM194">
            <v>292.73861594499994</v>
          </cell>
          <cell r="AN194">
            <v>354.9711754170001</v>
          </cell>
          <cell r="AO194">
            <v>361.30802727766297</v>
          </cell>
          <cell r="AP194">
            <v>239.41630728633697</v>
          </cell>
          <cell r="AQ194">
            <v>342.14187301700008</v>
          </cell>
          <cell r="AR194">
            <v>286.27857659968674</v>
          </cell>
          <cell r="AS194">
            <v>287.31880690616299</v>
          </cell>
          <cell r="AT194">
            <v>275.44301825674398</v>
          </cell>
          <cell r="AU194">
            <v>301.87882936500012</v>
          </cell>
          <cell r="AV194">
            <v>259.6876148367449</v>
          </cell>
          <cell r="AW194">
            <v>261.77345913262252</v>
          </cell>
          <cell r="AX194">
            <v>219.5822446043673</v>
          </cell>
          <cell r="AY194">
            <v>249.64349537836679</v>
          </cell>
          <cell r="AZ194">
            <v>251.66490019924419</v>
          </cell>
          <cell r="BA194">
            <v>253.68630502012175</v>
          </cell>
          <cell r="BB194">
            <v>255.7077098409988</v>
          </cell>
          <cell r="BC194">
            <v>271.9775582698004</v>
          </cell>
          <cell r="BD194">
            <v>274.17980570518341</v>
          </cell>
          <cell r="BE194">
            <v>276.38205314056643</v>
          </cell>
          <cell r="BF194">
            <v>278.5843005759495</v>
          </cell>
          <cell r="BG194">
            <v>275.63220943521702</v>
          </cell>
          <cell r="BH194">
            <v>277.86404918772882</v>
          </cell>
          <cell r="BI194">
            <v>280.09588894024074</v>
          </cell>
          <cell r="BJ194">
            <v>282.32772869275249</v>
          </cell>
          <cell r="BK194">
            <v>275.63220943521702</v>
          </cell>
          <cell r="BL194">
            <v>277.86404918772882</v>
          </cell>
          <cell r="BM194">
            <v>280.09588894024074</v>
          </cell>
          <cell r="BN194">
            <v>369.89846476779252</v>
          </cell>
        </row>
        <row r="195">
          <cell r="A195" t="str">
            <v>Net non-op income</v>
          </cell>
          <cell r="H195">
            <v>6.9539340109999443</v>
          </cell>
          <cell r="I195">
            <v>-238.36101234099999</v>
          </cell>
          <cell r="J195">
            <v>53.344025035000001</v>
          </cell>
          <cell r="K195">
            <v>114.639048867</v>
          </cell>
          <cell r="L195">
            <v>-4.4052661692749025E-2</v>
          </cell>
          <cell r="M195">
            <v>127.15864395674907</v>
          </cell>
          <cell r="N195">
            <v>169.84752538423777</v>
          </cell>
          <cell r="O195">
            <v>112.47913377968803</v>
          </cell>
          <cell r="P195">
            <v>115.35299818894123</v>
          </cell>
          <cell r="Q195">
            <v>-1.4604686541645151</v>
          </cell>
          <cell r="AE195">
            <v>-23.53841091</v>
          </cell>
          <cell r="AF195">
            <v>8.2456145539999994</v>
          </cell>
          <cell r="AG195">
            <v>-51.863796805000007</v>
          </cell>
          <cell r="AH195">
            <v>-171.20441918</v>
          </cell>
          <cell r="AI195">
            <v>69.820089715999998</v>
          </cell>
          <cell r="AJ195">
            <v>-63.553354689323101</v>
          </cell>
          <cell r="AK195">
            <v>-21.493838811676895</v>
          </cell>
          <cell r="AL195">
            <v>68.571128819999998</v>
          </cell>
          <cell r="AM195">
            <v>-0.967728959</v>
          </cell>
          <cell r="AN195">
            <v>124.820539842</v>
          </cell>
          <cell r="AO195">
            <v>2.0853736480000009</v>
          </cell>
          <cell r="AP195">
            <v>-11.299135664000005</v>
          </cell>
          <cell r="AQ195">
            <v>11.43453465</v>
          </cell>
          <cell r="AR195">
            <v>0.70938428800000075</v>
          </cell>
          <cell r="AS195">
            <v>18.804677622</v>
          </cell>
          <cell r="AT195">
            <v>-30.992649221692748</v>
          </cell>
          <cell r="AU195">
            <v>43.540123170000001</v>
          </cell>
          <cell r="AV195">
            <v>31.662502345230518</v>
          </cell>
          <cell r="AW195">
            <v>31.916819633144019</v>
          </cell>
          <cell r="AX195">
            <v>20.039198808374536</v>
          </cell>
          <cell r="AY195">
            <v>41.952338769906731</v>
          </cell>
          <cell r="AZ195">
            <v>42.292033820675208</v>
          </cell>
          <cell r="BA195">
            <v>42.631728871443677</v>
          </cell>
          <cell r="BB195">
            <v>42.971423922212153</v>
          </cell>
          <cell r="BC195">
            <v>27.782346043582944</v>
          </cell>
          <cell r="BD195">
            <v>28.00730431114232</v>
          </cell>
          <cell r="BE195">
            <v>28.232262578701693</v>
          </cell>
          <cell r="BF195">
            <v>28.457220846261066</v>
          </cell>
          <cell r="BG195">
            <v>28.492190552668482</v>
          </cell>
          <cell r="BH195">
            <v>28.722896549046364</v>
          </cell>
          <cell r="BI195">
            <v>28.95360254542425</v>
          </cell>
          <cell r="BJ195">
            <v>29.184308541802139</v>
          </cell>
          <cell r="BK195">
            <v>28.492190552668482</v>
          </cell>
          <cell r="BL195">
            <v>28.722896549046364</v>
          </cell>
          <cell r="BM195">
            <v>28.95360254542425</v>
          </cell>
          <cell r="BN195">
            <v>-87.629158301303605</v>
          </cell>
        </row>
        <row r="196">
          <cell r="A196" t="str">
            <v>Pretax profits</v>
          </cell>
          <cell r="H196">
            <v>501.0315645</v>
          </cell>
          <cell r="I196">
            <v>-5556.9521903970008</v>
          </cell>
          <cell r="J196">
            <v>-81.600473410000404</v>
          </cell>
          <cell r="K196">
            <v>1363.0731747929999</v>
          </cell>
          <cell r="L196">
            <v>1191.138222117901</v>
          </cell>
          <cell r="M196">
            <v>1170.0807918954836</v>
          </cell>
          <cell r="N196">
            <v>1180.5499358229695</v>
          </cell>
          <cell r="O196">
            <v>1213.6028514711877</v>
          </cell>
          <cell r="P196">
            <v>1231.27287444488</v>
          </cell>
          <cell r="Q196">
            <v>1202.0301436768148</v>
          </cell>
          <cell r="AE196">
            <v>-384.51987365400009</v>
          </cell>
          <cell r="AF196">
            <v>-362.33281100314264</v>
          </cell>
          <cell r="AG196">
            <v>-269.94988859385717</v>
          </cell>
          <cell r="AH196">
            <v>-4540.1496171460012</v>
          </cell>
          <cell r="AI196">
            <v>121.08402371299974</v>
          </cell>
          <cell r="AJ196">
            <v>-481.68475979832283</v>
          </cell>
          <cell r="AK196">
            <v>-46.78788809660648</v>
          </cell>
          <cell r="AL196">
            <v>325.78815077192917</v>
          </cell>
          <cell r="AM196">
            <v>291.77088698599994</v>
          </cell>
          <cell r="AN196">
            <v>479.79171525900006</v>
          </cell>
          <cell r="AO196">
            <v>363.39340092566306</v>
          </cell>
          <cell r="AP196">
            <v>228.11717162233685</v>
          </cell>
          <cell r="AQ196">
            <v>353.57640766700013</v>
          </cell>
          <cell r="AR196">
            <v>286.98796088768665</v>
          </cell>
          <cell r="AS196">
            <v>306.12348452816309</v>
          </cell>
          <cell r="AT196">
            <v>244.45036903505115</v>
          </cell>
          <cell r="AU196">
            <v>345.41895253500013</v>
          </cell>
          <cell r="AV196">
            <v>291.35011718197541</v>
          </cell>
          <cell r="AW196">
            <v>293.69027876576655</v>
          </cell>
          <cell r="AX196">
            <v>239.62144341274183</v>
          </cell>
          <cell r="AY196">
            <v>291.59583414827352</v>
          </cell>
          <cell r="AZ196">
            <v>293.9569340199194</v>
          </cell>
          <cell r="BA196">
            <v>296.31803389156545</v>
          </cell>
          <cell r="BB196">
            <v>298.67913376321098</v>
          </cell>
          <cell r="BC196">
            <v>299.75990431338334</v>
          </cell>
          <cell r="BD196">
            <v>302.18711001632573</v>
          </cell>
          <cell r="BE196">
            <v>304.61431571926812</v>
          </cell>
          <cell r="BF196">
            <v>307.04152142221056</v>
          </cell>
          <cell r="BG196">
            <v>304.12439998788551</v>
          </cell>
          <cell r="BH196">
            <v>306.58694573677519</v>
          </cell>
          <cell r="BI196">
            <v>309.04949148566499</v>
          </cell>
          <cell r="BJ196">
            <v>311.51203723455461</v>
          </cell>
          <cell r="BK196">
            <v>304.12439998788551</v>
          </cell>
          <cell r="BL196">
            <v>306.58694573677519</v>
          </cell>
          <cell r="BM196">
            <v>309.04949148566499</v>
          </cell>
          <cell r="BN196">
            <v>282.2693064664889</v>
          </cell>
        </row>
        <row r="197">
          <cell r="A197" t="str">
            <v xml:space="preserve">   Income taxes</v>
          </cell>
          <cell r="H197">
            <v>150.63719141000001</v>
          </cell>
          <cell r="I197">
            <v>0</v>
          </cell>
          <cell r="J197">
            <v>0</v>
          </cell>
          <cell r="K197">
            <v>0</v>
          </cell>
          <cell r="L197">
            <v>-2.5410259009999998</v>
          </cell>
          <cell r="M197">
            <v>0</v>
          </cell>
          <cell r="N197">
            <v>0</v>
          </cell>
          <cell r="O197">
            <v>305.56319250068691</v>
          </cell>
          <cell r="P197">
            <v>338.60004047234219</v>
          </cell>
          <cell r="Q197">
            <v>330.55828951112409</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-2.5410259009999998</v>
          </cell>
          <cell r="AT197">
            <v>0</v>
          </cell>
          <cell r="AU197">
            <v>-519.98051612200004</v>
          </cell>
          <cell r="AV197">
            <v>0</v>
          </cell>
          <cell r="AW197">
            <v>0</v>
          </cell>
          <cell r="AX197">
            <v>519.98051612200004</v>
          </cell>
          <cell r="AY197">
            <v>0</v>
          </cell>
          <cell r="AZ197">
            <v>0</v>
          </cell>
          <cell r="BA197">
            <v>0</v>
          </cell>
          <cell r="BB197">
            <v>0</v>
          </cell>
          <cell r="BC197">
            <v>43.568330025642766</v>
          </cell>
          <cell r="BD197">
            <v>83.101455254489579</v>
          </cell>
          <cell r="BE197">
            <v>83.768936822798736</v>
          </cell>
          <cell r="BF197">
            <v>95.124470397755829</v>
          </cell>
          <cell r="BG197">
            <v>83.634209996668488</v>
          </cell>
          <cell r="BH197">
            <v>84.311410077613218</v>
          </cell>
          <cell r="BI197">
            <v>84.988610158557861</v>
          </cell>
          <cell r="BJ197">
            <v>85.665810239502633</v>
          </cell>
          <cell r="BK197">
            <v>83.634209996668488</v>
          </cell>
          <cell r="BL197">
            <v>84.311410077613218</v>
          </cell>
          <cell r="BM197">
            <v>84.988610158557861</v>
          </cell>
          <cell r="BN197">
            <v>77.624059278284534</v>
          </cell>
        </row>
        <row r="198">
          <cell r="A198" t="str">
            <v>Net profits</v>
          </cell>
          <cell r="H198">
            <v>350.39437308999999</v>
          </cell>
          <cell r="I198">
            <v>-5598.8110330510008</v>
          </cell>
          <cell r="J198">
            <v>-81.600473410000404</v>
          </cell>
          <cell r="K198">
            <v>1363.0731747929999</v>
          </cell>
          <cell r="L198">
            <v>1193.679248018901</v>
          </cell>
          <cell r="M198">
            <v>1170.0807918954836</v>
          </cell>
          <cell r="N198">
            <v>1180.5499358229695</v>
          </cell>
          <cell r="O198">
            <v>908.0396589705008</v>
          </cell>
          <cell r="P198">
            <v>892.67283397253777</v>
          </cell>
          <cell r="Q198">
            <v>871.47185416569073</v>
          </cell>
          <cell r="AE198">
            <v>-384.51987365400009</v>
          </cell>
          <cell r="AF198">
            <v>-362.33281100314264</v>
          </cell>
          <cell r="AG198">
            <v>-269.94988859385717</v>
          </cell>
          <cell r="AH198">
            <v>-4582.0084598000012</v>
          </cell>
          <cell r="AI198">
            <v>121.08402371299974</v>
          </cell>
          <cell r="AJ198">
            <v>-481.68475979832283</v>
          </cell>
          <cell r="AK198">
            <v>-46.78788809660648</v>
          </cell>
          <cell r="AL198">
            <v>325.78815077192917</v>
          </cell>
          <cell r="AM198">
            <v>291.77088698599994</v>
          </cell>
          <cell r="AN198">
            <v>479.79171525900006</v>
          </cell>
          <cell r="AO198">
            <v>363.39340092566306</v>
          </cell>
          <cell r="AP198">
            <v>228.11717162233685</v>
          </cell>
          <cell r="AQ198">
            <v>353.57640766700013</v>
          </cell>
          <cell r="AR198">
            <v>286.98796088768665</v>
          </cell>
          <cell r="AS198">
            <v>308.6645104291631</v>
          </cell>
          <cell r="AT198">
            <v>244.45036903505115</v>
          </cell>
          <cell r="AU198">
            <v>865.39946865700017</v>
          </cell>
          <cell r="AV198">
            <v>291.35011718197541</v>
          </cell>
          <cell r="AW198">
            <v>293.69027876576655</v>
          </cell>
          <cell r="AX198">
            <v>-280.35907270925821</v>
          </cell>
          <cell r="AY198">
            <v>291.59583414827352</v>
          </cell>
          <cell r="AZ198">
            <v>293.9569340199194</v>
          </cell>
          <cell r="BA198">
            <v>296.31803389156545</v>
          </cell>
          <cell r="BB198">
            <v>298.67913376321098</v>
          </cell>
          <cell r="BC198">
            <v>256.19157428774059</v>
          </cell>
          <cell r="BD198">
            <v>219.08565476183617</v>
          </cell>
          <cell r="BE198">
            <v>220.84537889646938</v>
          </cell>
          <cell r="BF198">
            <v>211.91705102445474</v>
          </cell>
          <cell r="BG198">
            <v>220.49018999121702</v>
          </cell>
          <cell r="BH198">
            <v>222.27553565916196</v>
          </cell>
          <cell r="BI198">
            <v>224.06088132710713</v>
          </cell>
          <cell r="BJ198">
            <v>225.84622699505198</v>
          </cell>
          <cell r="BK198">
            <v>220.49018999121702</v>
          </cell>
          <cell r="BL198">
            <v>222.27553565916196</v>
          </cell>
          <cell r="BM198">
            <v>224.06088132710713</v>
          </cell>
          <cell r="BN198">
            <v>204.64524718820437</v>
          </cell>
        </row>
        <row r="200">
          <cell r="A200" t="str">
            <v>Income statement (Adjusted)</v>
          </cell>
          <cell r="AU200">
            <v>0.247</v>
          </cell>
          <cell r="AV200">
            <v>0.249</v>
          </cell>
          <cell r="AW200">
            <v>0.251</v>
          </cell>
          <cell r="AX200">
            <v>0.253</v>
          </cell>
          <cell r="AY200">
            <v>0.247</v>
          </cell>
          <cell r="AZ200">
            <v>0.249</v>
          </cell>
          <cell r="BA200">
            <v>0.251</v>
          </cell>
          <cell r="BB200">
            <v>0.253</v>
          </cell>
          <cell r="BC200">
            <v>0.247</v>
          </cell>
          <cell r="BD200">
            <v>0.249</v>
          </cell>
          <cell r="BE200">
            <v>0.251</v>
          </cell>
          <cell r="BF200">
            <v>0.253</v>
          </cell>
          <cell r="BG200">
            <v>0.247</v>
          </cell>
          <cell r="BH200">
            <v>0.249</v>
          </cell>
          <cell r="BI200">
            <v>0.251</v>
          </cell>
          <cell r="BJ200">
            <v>0.253</v>
          </cell>
          <cell r="BK200">
            <v>0.247</v>
          </cell>
          <cell r="BL200">
            <v>0.249</v>
          </cell>
          <cell r="BM200">
            <v>0.251</v>
          </cell>
          <cell r="BN200">
            <v>0.253</v>
          </cell>
        </row>
        <row r="201">
          <cell r="A201" t="str">
            <v>Net interest income</v>
          </cell>
          <cell r="H201">
            <v>2466.328781235</v>
          </cell>
          <cell r="I201">
            <v>1295.5570329789998</v>
          </cell>
          <cell r="J201">
            <v>1096.2485332249998</v>
          </cell>
          <cell r="K201">
            <v>1258.873010435</v>
          </cell>
          <cell r="L201">
            <v>1586.3900235169999</v>
          </cell>
          <cell r="M201">
            <v>1673.2125797721546</v>
          </cell>
          <cell r="N201">
            <v>1837.6187866991672</v>
          </cell>
          <cell r="O201">
            <v>2001.2169552886319</v>
          </cell>
          <cell r="P201">
            <v>2162.7469854994224</v>
          </cell>
          <cell r="Q201">
            <v>2330.1754397683208</v>
          </cell>
          <cell r="AE201">
            <v>423.78943630499998</v>
          </cell>
          <cell r="AF201">
            <v>369.22774891500001</v>
          </cell>
          <cell r="AG201">
            <v>291.60989857899995</v>
          </cell>
          <cell r="AH201">
            <v>210.92994917999988</v>
          </cell>
          <cell r="AI201">
            <v>294.37467453300002</v>
          </cell>
          <cell r="AJ201">
            <v>255.00410349200007</v>
          </cell>
          <cell r="AK201">
            <v>287.02713966686088</v>
          </cell>
          <cell r="AL201">
            <v>259.84261553313877</v>
          </cell>
          <cell r="AM201">
            <v>282.76668578499994</v>
          </cell>
          <cell r="AN201">
            <v>315.89966258100003</v>
          </cell>
          <cell r="AO201">
            <v>306.43041332099978</v>
          </cell>
          <cell r="AP201">
            <v>353.77624874800028</v>
          </cell>
          <cell r="AQ201">
            <v>366.76667728699999</v>
          </cell>
          <cell r="AR201">
            <v>394.23812477599995</v>
          </cell>
          <cell r="AS201">
            <v>405.89680904700009</v>
          </cell>
          <cell r="AT201">
            <v>419.48841240699983</v>
          </cell>
          <cell r="AU201">
            <v>412.40661923600004</v>
          </cell>
          <cell r="AV201">
            <v>416.62993236326651</v>
          </cell>
          <cell r="AW201">
            <v>419.97635752281087</v>
          </cell>
          <cell r="AX201">
            <v>424.19967065007728</v>
          </cell>
          <cell r="AY201">
            <v>453.89184031469432</v>
          </cell>
          <cell r="AZ201">
            <v>457.56707788809257</v>
          </cell>
          <cell r="BA201">
            <v>461.24231546149099</v>
          </cell>
          <cell r="BB201">
            <v>464.91755303488901</v>
          </cell>
          <cell r="BC201">
            <v>494.30058795629202</v>
          </cell>
          <cell r="BD201">
            <v>498.30302186686936</v>
          </cell>
          <cell r="BE201">
            <v>502.30545577744658</v>
          </cell>
          <cell r="BF201">
            <v>506.30788968802403</v>
          </cell>
          <cell r="BG201">
            <v>534.19850541835729</v>
          </cell>
          <cell r="BH201">
            <v>538.52399938935616</v>
          </cell>
          <cell r="BI201">
            <v>542.84949336035504</v>
          </cell>
          <cell r="BJ201">
            <v>547.17498733135369</v>
          </cell>
          <cell r="BK201">
            <v>534.19850541835729</v>
          </cell>
          <cell r="BL201">
            <v>538.52399938935616</v>
          </cell>
          <cell r="BM201">
            <v>542.84949336035504</v>
          </cell>
          <cell r="BN201">
            <v>714.60344160025204</v>
          </cell>
        </row>
        <row r="202">
          <cell r="A202" t="str">
            <v xml:space="preserve">   Interest income</v>
          </cell>
          <cell r="H202">
            <v>3333.244343506</v>
          </cell>
          <cell r="I202">
            <v>2400.6766094669997</v>
          </cell>
          <cell r="J202">
            <v>1832.5485409689998</v>
          </cell>
          <cell r="K202">
            <v>1656.730570979</v>
          </cell>
          <cell r="L202">
            <v>1912.3595911969999</v>
          </cell>
          <cell r="M202">
            <v>1963.0664908731051</v>
          </cell>
          <cell r="N202">
            <v>2090.6658127798569</v>
          </cell>
          <cell r="O202">
            <v>2226.5590906105476</v>
          </cell>
          <cell r="P202">
            <v>2371.2854315002328</v>
          </cell>
          <cell r="Q202">
            <v>2525.4189845477476</v>
          </cell>
          <cell r="AE202">
            <v>672.79239135900002</v>
          </cell>
          <cell r="AF202">
            <v>606.19600740999999</v>
          </cell>
          <cell r="AG202">
            <v>514.90421612299997</v>
          </cell>
          <cell r="AH202">
            <v>606.78399457499972</v>
          </cell>
          <cell r="AI202">
            <v>502.37733566100002</v>
          </cell>
          <cell r="AJ202">
            <v>451.13313648600007</v>
          </cell>
          <cell r="AK202">
            <v>462.82707635700001</v>
          </cell>
          <cell r="AL202">
            <v>416.21099246499966</v>
          </cell>
          <cell r="AM202">
            <v>398.26161990699995</v>
          </cell>
          <cell r="AN202">
            <v>413.54614202400001</v>
          </cell>
          <cell r="AO202">
            <v>398.86716150499979</v>
          </cell>
          <cell r="AP202">
            <v>446.0556475430003</v>
          </cell>
          <cell r="AQ202">
            <v>451.94787116999998</v>
          </cell>
          <cell r="AR202">
            <v>478.37279510199994</v>
          </cell>
          <cell r="AS202">
            <v>486.90098071200009</v>
          </cell>
          <cell r="AT202">
            <v>495.13794421299986</v>
          </cell>
          <cell r="AU202">
            <v>480.17000746000002</v>
          </cell>
          <cell r="AV202">
            <v>488.80355622740313</v>
          </cell>
          <cell r="AW202">
            <v>492.7296892091494</v>
          </cell>
          <cell r="AX202">
            <v>501.36323797655245</v>
          </cell>
          <cell r="AY202">
            <v>516.39445575662467</v>
          </cell>
          <cell r="AZ202">
            <v>520.57578738218433</v>
          </cell>
          <cell r="BA202">
            <v>524.75711900774411</v>
          </cell>
          <cell r="BB202">
            <v>528.93845063330355</v>
          </cell>
          <cell r="BC202">
            <v>549.96009538080523</v>
          </cell>
          <cell r="BD202">
            <v>554.41321356202639</v>
          </cell>
          <cell r="BE202">
            <v>558.86633174324743</v>
          </cell>
          <cell r="BF202">
            <v>563.3194499244687</v>
          </cell>
          <cell r="BG202">
            <v>585.7075015805575</v>
          </cell>
          <cell r="BH202">
            <v>590.45007244355793</v>
          </cell>
          <cell r="BI202">
            <v>595.19264330655847</v>
          </cell>
          <cell r="BJ202">
            <v>599.93521416955878</v>
          </cell>
          <cell r="BK202">
            <v>585.7075015805575</v>
          </cell>
          <cell r="BL202">
            <v>590.45007244355793</v>
          </cell>
          <cell r="BM202">
            <v>595.19264330655847</v>
          </cell>
          <cell r="BN202">
            <v>754.06876721707363</v>
          </cell>
        </row>
        <row r="203">
          <cell r="A203" t="str">
            <v xml:space="preserve">      as % avg. IEA</v>
          </cell>
          <cell r="H203">
            <v>0.22705022369048625</v>
          </cell>
          <cell r="I203">
            <v>0.17767155226364328</v>
          </cell>
          <cell r="J203">
            <v>0.18065838994200234</v>
          </cell>
          <cell r="K203">
            <v>0.20403404621440149</v>
          </cell>
          <cell r="L203">
            <v>0.22045629804518035</v>
          </cell>
          <cell r="M203">
            <v>0.21</v>
          </cell>
          <cell r="N203">
            <v>0.21000000000000002</v>
          </cell>
          <cell r="O203">
            <v>0.21000000000000002</v>
          </cell>
          <cell r="P203">
            <v>0.21</v>
          </cell>
          <cell r="Q203">
            <v>0.21</v>
          </cell>
          <cell r="Y203">
            <v>0.21</v>
          </cell>
          <cell r="AE203">
            <v>0.18612002627548649</v>
          </cell>
          <cell r="AF203">
            <v>0.18730513133242233</v>
          </cell>
          <cell r="AG203">
            <v>0.19088447319919208</v>
          </cell>
          <cell r="AH203">
            <v>0.21797791080514689</v>
          </cell>
          <cell r="AI203">
            <v>0.16521480712007197</v>
          </cell>
          <cell r="AJ203">
            <v>0.16131009724312503</v>
          </cell>
          <cell r="AK203">
            <v>0.18244135539345419</v>
          </cell>
          <cell r="AL203">
            <v>0.18655163474800746</v>
          </cell>
          <cell r="AM203">
            <v>0.20158889321833359</v>
          </cell>
          <cell r="AN203">
            <v>0.2022229231102193</v>
          </cell>
          <cell r="AO203">
            <v>0.18926801532817616</v>
          </cell>
          <cell r="AP203">
            <v>0.21425243378647418</v>
          </cell>
          <cell r="AQ203">
            <v>0.21312019890756964</v>
          </cell>
          <cell r="AR203">
            <v>0.2175777082348464</v>
          </cell>
          <cell r="AS203">
            <v>0.21637353945113608</v>
          </cell>
          <cell r="AT203">
            <v>0.21840540054168248</v>
          </cell>
          <cell r="AU203">
            <v>0.21408742322326269</v>
          </cell>
          <cell r="AV203">
            <v>0.21493045758257787</v>
          </cell>
          <cell r="AW203">
            <v>0.20991688682448262</v>
          </cell>
          <cell r="AX203">
            <v>0.20982366536162153</v>
          </cell>
          <cell r="AY203">
            <v>0.21249656540607564</v>
          </cell>
          <cell r="AZ203">
            <v>0.21250450184501846</v>
          </cell>
          <cell r="BA203">
            <v>0.21167285323609847</v>
          </cell>
          <cell r="BB203">
            <v>0.20841973285841484</v>
          </cell>
          <cell r="BC203">
            <v>0.21249656540607559</v>
          </cell>
          <cell r="BD203">
            <v>0.21250450184501846</v>
          </cell>
          <cell r="BE203">
            <v>0.21167285323609844</v>
          </cell>
          <cell r="BF203">
            <v>0.208419732858415</v>
          </cell>
          <cell r="BG203">
            <v>0.21249656540607564</v>
          </cell>
          <cell r="BH203">
            <v>0.21250450184501843</v>
          </cell>
          <cell r="BI203">
            <v>0.21167285323609847</v>
          </cell>
          <cell r="BJ203">
            <v>0.20841973285841489</v>
          </cell>
          <cell r="BK203">
            <v>0.19952729146110387</v>
          </cell>
          <cell r="BL203">
            <v>0.19953474351644923</v>
          </cell>
          <cell r="BM203">
            <v>0.19875385280384833</v>
          </cell>
          <cell r="BN203">
            <v>0.24597775074310499</v>
          </cell>
        </row>
        <row r="204">
          <cell r="A204" t="str">
            <v xml:space="preserve">   Interest expenses</v>
          </cell>
          <cell r="H204">
            <v>866.915562271</v>
          </cell>
          <cell r="I204">
            <v>1105.1195764879999</v>
          </cell>
          <cell r="J204">
            <v>736.30000774400003</v>
          </cell>
          <cell r="K204">
            <v>397.85756054400002</v>
          </cell>
          <cell r="L204">
            <v>325.96956768000001</v>
          </cell>
          <cell r="M204">
            <v>289.85391110095031</v>
          </cell>
          <cell r="N204">
            <v>253.04702608068973</v>
          </cell>
          <cell r="O204">
            <v>225.34213532191575</v>
          </cell>
          <cell r="P204">
            <v>208.5384460008105</v>
          </cell>
          <cell r="Q204">
            <v>195.243544779427</v>
          </cell>
          <cell r="AE204">
            <v>249.00295505400001</v>
          </cell>
          <cell r="AF204">
            <v>236.96825849500001</v>
          </cell>
          <cell r="AG204">
            <v>223.29431754400002</v>
          </cell>
          <cell r="AH204">
            <v>395.85404539499984</v>
          </cell>
          <cell r="AI204">
            <v>208.002661128</v>
          </cell>
          <cell r="AJ204">
            <v>196.129032994</v>
          </cell>
          <cell r="AK204">
            <v>175.79993669013913</v>
          </cell>
          <cell r="AL204">
            <v>156.36837693186089</v>
          </cell>
          <cell r="AM204">
            <v>115.494934122</v>
          </cell>
          <cell r="AN204">
            <v>97.64647944299999</v>
          </cell>
          <cell r="AO204">
            <v>92.43674818400001</v>
          </cell>
          <cell r="AP204">
            <v>92.27939879500002</v>
          </cell>
          <cell r="AQ204">
            <v>85.181193883000006</v>
          </cell>
          <cell r="AR204">
            <v>84.134670326000006</v>
          </cell>
          <cell r="AS204">
            <v>81.004171665000001</v>
          </cell>
          <cell r="AT204">
            <v>75.649531805999999</v>
          </cell>
          <cell r="AU204">
            <v>67.763388223999996</v>
          </cell>
          <cell r="AV204">
            <v>72.17362386413663</v>
          </cell>
          <cell r="AW204">
            <v>72.753331686338527</v>
          </cell>
          <cell r="AX204">
            <v>77.163567326475174</v>
          </cell>
          <cell r="AY204">
            <v>62.502615441930367</v>
          </cell>
          <cell r="AZ204">
            <v>63.008709494091747</v>
          </cell>
          <cell r="BA204">
            <v>63.51480354625312</v>
          </cell>
          <cell r="BB204">
            <v>64.020897598414507</v>
          </cell>
          <cell r="BC204">
            <v>55.659507424513187</v>
          </cell>
          <cell r="BD204">
            <v>56.11019169515702</v>
          </cell>
          <cell r="BE204">
            <v>56.560875965800854</v>
          </cell>
          <cell r="BF204">
            <v>57.011560236444694</v>
          </cell>
          <cell r="BG204">
            <v>51.508996162200191</v>
          </cell>
          <cell r="BH204">
            <v>51.926073054201815</v>
          </cell>
          <cell r="BI204">
            <v>52.343149946203432</v>
          </cell>
          <cell r="BJ204">
            <v>52.760226838205057</v>
          </cell>
          <cell r="BK204">
            <v>51.508996162200191</v>
          </cell>
          <cell r="BL204">
            <v>51.926073054201815</v>
          </cell>
          <cell r="BM204">
            <v>52.343149946203432</v>
          </cell>
          <cell r="BN204">
            <v>39.465325616821559</v>
          </cell>
        </row>
        <row r="205">
          <cell r="A205" t="str">
            <v xml:space="preserve">      as % avg. IBL</v>
          </cell>
          <cell r="H205">
            <v>5.6177985287326579E-2</v>
          </cell>
          <cell r="I205">
            <v>7.9311109461876264E-2</v>
          </cell>
          <cell r="J205">
            <v>7.2979587243164806E-2</v>
          </cell>
          <cell r="K205">
            <v>5.7595838866865028E-2</v>
          </cell>
          <cell r="L205">
            <v>5.8157802030175891E-2</v>
          </cell>
          <cell r="M205">
            <v>0.06</v>
          </cell>
          <cell r="N205">
            <v>0.06</v>
          </cell>
          <cell r="O205">
            <v>0.06</v>
          </cell>
          <cell r="P205">
            <v>0.06</v>
          </cell>
          <cell r="Q205">
            <v>0.06</v>
          </cell>
          <cell r="Y205">
            <v>0.06</v>
          </cell>
          <cell r="AE205">
            <v>6.1753793451808668E-2</v>
          </cell>
          <cell r="AF205">
            <v>6.072926411256354E-2</v>
          </cell>
          <cell r="AG205">
            <v>6.6072988004755473E-2</v>
          </cell>
          <cell r="AH205">
            <v>0.126259039716307</v>
          </cell>
          <cell r="AI205">
            <v>7.0605006094768691E-2</v>
          </cell>
          <cell r="AJ205">
            <v>7.2582100150105355E-2</v>
          </cell>
          <cell r="AK205">
            <v>7.019287054387896E-2</v>
          </cell>
          <cell r="AL205">
            <v>7.2340851145758417E-2</v>
          </cell>
          <cell r="AM205">
            <v>6.4785369086131167E-2</v>
          </cell>
          <cell r="AN205">
            <v>6.0116469684230976E-2</v>
          </cell>
          <cell r="AO205">
            <v>5.8688587040613263E-2</v>
          </cell>
          <cell r="AP205">
            <v>6.0513028411718885E-2</v>
          </cell>
          <cell r="AQ205">
            <v>5.6492025634066835E-2</v>
          </cell>
          <cell r="AR205">
            <v>5.7975621838722027E-2</v>
          </cell>
          <cell r="AS205">
            <v>5.7881392224783786E-2</v>
          </cell>
          <cell r="AT205">
            <v>5.6499375414224291E-2</v>
          </cell>
          <cell r="AU205">
            <v>5.6311322413104464E-2</v>
          </cell>
          <cell r="AV205">
            <v>5.9903976199247852E-2</v>
          </cell>
          <cell r="AW205">
            <v>5.8292908508003526E-2</v>
          </cell>
          <cell r="AX205">
            <v>6.5935588060059627E-2</v>
          </cell>
          <cell r="AY205">
            <v>5.6200347935673883E-2</v>
          </cell>
          <cell r="AZ205">
            <v>5.7653801316625092E-2</v>
          </cell>
          <cell r="BA205">
            <v>5.9694809886271426E-2</v>
          </cell>
          <cell r="BB205">
            <v>6.3625442034658641E-2</v>
          </cell>
          <cell r="BC205">
            <v>5.7515732254367895E-2</v>
          </cell>
          <cell r="BD205">
            <v>5.8562417128935618E-2</v>
          </cell>
          <cell r="BE205">
            <v>5.9933594247849602E-2</v>
          </cell>
          <cell r="BF205">
            <v>6.2312847478950065E-2</v>
          </cell>
          <cell r="BG205">
            <v>5.7705361821958664E-2</v>
          </cell>
          <cell r="BH205">
            <v>5.8692287358706373E-2</v>
          </cell>
          <cell r="BI205">
            <v>5.9967273298392305E-2</v>
          </cell>
          <cell r="BJ205">
            <v>6.2132878567001969E-2</v>
          </cell>
          <cell r="BK205">
            <v>6.1958188787983794E-2</v>
          </cell>
          <cell r="BL205">
            <v>6.2909771604299461E-2</v>
          </cell>
          <cell r="BM205">
            <v>6.4107720688814596E-2</v>
          </cell>
          <cell r="BN205">
            <v>4.9414962856525281E-2</v>
          </cell>
        </row>
        <row r="206">
          <cell r="A206" t="str">
            <v>Non-interest come</v>
          </cell>
          <cell r="H206">
            <v>2297.9093930089998</v>
          </cell>
          <cell r="I206">
            <v>1991.957956195</v>
          </cell>
          <cell r="J206">
            <v>1599.7199363279999</v>
          </cell>
          <cell r="K206">
            <v>1072.9815708220001</v>
          </cell>
          <cell r="L206">
            <v>791.03798613399999</v>
          </cell>
          <cell r="M206">
            <v>738.99839488135808</v>
          </cell>
          <cell r="N206">
            <v>787.03329054864639</v>
          </cell>
          <cell r="O206">
            <v>838.19045443430844</v>
          </cell>
          <cell r="P206">
            <v>892.67283397253834</v>
          </cell>
          <cell r="Q206">
            <v>950.69656818075339</v>
          </cell>
          <cell r="AE206">
            <v>713.40941460299996</v>
          </cell>
          <cell r="AF206">
            <v>627.20598010085746</v>
          </cell>
          <cell r="AG206">
            <v>716.66275941714275</v>
          </cell>
          <cell r="AH206">
            <v>-65.320197926000219</v>
          </cell>
          <cell r="AI206">
            <v>619.4208758929999</v>
          </cell>
          <cell r="AJ206">
            <v>230.53852275400021</v>
          </cell>
          <cell r="AK206">
            <v>324.81799588599995</v>
          </cell>
          <cell r="AL206">
            <v>424.9425417949999</v>
          </cell>
          <cell r="AM206">
            <v>303.63055854599997</v>
          </cell>
          <cell r="AN206">
            <v>257.20639579700014</v>
          </cell>
          <cell r="AO206">
            <v>259.75875888099972</v>
          </cell>
          <cell r="AP206">
            <v>252.38585759800026</v>
          </cell>
          <cell r="AQ206">
            <v>225.3485088330001</v>
          </cell>
          <cell r="AR206">
            <v>214.42039327399993</v>
          </cell>
          <cell r="AS206">
            <v>187.69133007400001</v>
          </cell>
          <cell r="AT206">
            <v>163.57775395299996</v>
          </cell>
          <cell r="AU206">
            <v>153.14711594400006</v>
          </cell>
          <cell r="AV206">
            <v>184.01060032545817</v>
          </cell>
          <cell r="AW206">
            <v>185.48859711522087</v>
          </cell>
          <cell r="AX206">
            <v>216.35208149667903</v>
          </cell>
          <cell r="AY206">
            <v>194.39722276551566</v>
          </cell>
          <cell r="AZ206">
            <v>195.97128934661296</v>
          </cell>
          <cell r="BA206">
            <v>197.54535592771023</v>
          </cell>
          <cell r="BB206">
            <v>199.11942250880747</v>
          </cell>
          <cell r="BC206">
            <v>207.03304224527417</v>
          </cell>
          <cell r="BD206">
            <v>208.7094231541428</v>
          </cell>
          <cell r="BE206">
            <v>210.38580406301142</v>
          </cell>
          <cell r="BF206">
            <v>212.06218497188001</v>
          </cell>
          <cell r="BG206">
            <v>220.49018999121697</v>
          </cell>
          <cell r="BH206">
            <v>222.27553565916205</v>
          </cell>
          <cell r="BI206">
            <v>224.06088132710713</v>
          </cell>
          <cell r="BJ206">
            <v>225.84622699505223</v>
          </cell>
          <cell r="BK206">
            <v>220.49018999121697</v>
          </cell>
          <cell r="BL206">
            <v>222.27553565916205</v>
          </cell>
          <cell r="BM206">
            <v>224.06088132710713</v>
          </cell>
          <cell r="BN206">
            <v>283.86996120326728</v>
          </cell>
        </row>
        <row r="207">
          <cell r="A207" t="str">
            <v xml:space="preserve">   as % of managed IEA</v>
          </cell>
          <cell r="H207">
            <v>7.1919115478159892E-2</v>
          </cell>
          <cell r="I207">
            <v>7.2869386517514068E-2</v>
          </cell>
          <cell r="J207">
            <v>9.6019454596791232E-2</v>
          </cell>
          <cell r="K207">
            <v>9.155969102198995E-2</v>
          </cell>
          <cell r="L207">
            <v>6.8265792488894542E-2</v>
          </cell>
          <cell r="M207">
            <v>0.06</v>
          </cell>
          <cell r="N207">
            <v>0.06</v>
          </cell>
          <cell r="O207">
            <v>0.06</v>
          </cell>
          <cell r="P207">
            <v>0.06</v>
          </cell>
          <cell r="Q207">
            <v>0.06</v>
          </cell>
          <cell r="Y207">
            <v>0.06</v>
          </cell>
          <cell r="AE207">
            <v>8.5074431557363869E-2</v>
          </cell>
          <cell r="AF207">
            <v>8.3442830169536436E-2</v>
          </cell>
          <cell r="AG207">
            <v>0.10878693949829832</v>
          </cell>
          <cell r="AH207">
            <v>-1.1361994634585841E-2</v>
          </cell>
          <cell r="AI207">
            <v>0.1283408532185073</v>
          </cell>
          <cell r="AJ207">
            <v>5.6107330506768034E-2</v>
          </cell>
          <cell r="AK207">
            <v>8.8936549159256903E-2</v>
          </cell>
          <cell r="AL207">
            <v>0.13064973579600175</v>
          </cell>
          <cell r="AM207">
            <v>0.10472758586571955</v>
          </cell>
          <cell r="AN207">
            <v>9.4760641851280983E-2</v>
          </cell>
          <cell r="AO207">
            <v>9.7073756048510901E-2</v>
          </cell>
          <cell r="AP207">
            <v>9.202103672588334E-2</v>
          </cell>
          <cell r="AQ207">
            <v>7.8836678694888751E-2</v>
          </cell>
          <cell r="AR207">
            <v>7.3025522661411046E-2</v>
          </cell>
          <cell r="AS207">
            <v>6.2829283147132181E-2</v>
          </cell>
          <cell r="AT207">
            <v>5.4619898726555309E-2</v>
          </cell>
          <cell r="AU207">
            <v>5.1866462756149173E-2</v>
          </cell>
          <cell r="AV207">
            <v>6.1442007858431395E-2</v>
          </cell>
          <cell r="AW207">
            <v>5.9952637850387167E-2</v>
          </cell>
          <cell r="AX207">
            <v>6.8711672247540601E-2</v>
          </cell>
          <cell r="AY207">
            <v>6.0713304401735897E-2</v>
          </cell>
          <cell r="AZ207">
            <v>6.0715571955719555E-2</v>
          </cell>
          <cell r="BA207">
            <v>6.0477958067456691E-2</v>
          </cell>
          <cell r="BB207">
            <v>5.9548495102404252E-2</v>
          </cell>
          <cell r="BC207">
            <v>6.0713304401735897E-2</v>
          </cell>
          <cell r="BD207">
            <v>6.0715571955719555E-2</v>
          </cell>
          <cell r="BE207">
            <v>6.0477958067456698E-2</v>
          </cell>
          <cell r="BF207">
            <v>5.9548495102404272E-2</v>
          </cell>
          <cell r="BG207">
            <v>6.0713304401735883E-2</v>
          </cell>
          <cell r="BH207">
            <v>6.0715571955719555E-2</v>
          </cell>
          <cell r="BI207">
            <v>6.0477958067456691E-2</v>
          </cell>
          <cell r="BJ207">
            <v>5.9548495102404286E-2</v>
          </cell>
          <cell r="BK207">
            <v>5.7007797560315383E-2</v>
          </cell>
          <cell r="BL207">
            <v>5.7009926718985492E-2</v>
          </cell>
          <cell r="BM207">
            <v>5.6786815086813804E-2</v>
          </cell>
          <cell r="BN207">
            <v>7.0279357355172906E-2</v>
          </cell>
        </row>
        <row r="209">
          <cell r="A209" t="str">
            <v>LLPE</v>
          </cell>
          <cell r="H209">
            <v>2697.4574824249999</v>
          </cell>
          <cell r="I209">
            <v>7134.3511772840002</v>
          </cell>
          <cell r="J209">
            <v>2580.442989316</v>
          </cell>
          <cell r="K209">
            <v>125.259430991</v>
          </cell>
          <cell r="L209">
            <v>118.966112426406</v>
          </cell>
          <cell r="M209">
            <v>307.91599786723259</v>
          </cell>
          <cell r="N209">
            <v>459.1027528200438</v>
          </cell>
          <cell r="O209">
            <v>488.94443175334663</v>
          </cell>
          <cell r="P209">
            <v>595.11522264835889</v>
          </cell>
          <cell r="Q209">
            <v>633.7977121205023</v>
          </cell>
          <cell r="AE209">
            <v>1108.4421188660001</v>
          </cell>
          <cell r="AF209">
            <v>993.23341886000003</v>
          </cell>
          <cell r="AG209">
            <v>807.68133218999992</v>
          </cell>
          <cell r="AH209">
            <v>4224.9943073680006</v>
          </cell>
          <cell r="AI209">
            <v>1259.2513831450001</v>
          </cell>
          <cell r="AJ209">
            <v>700.84298572900002</v>
          </cell>
          <cell r="AK209">
            <v>465.05056284299985</v>
          </cell>
          <cell r="AL209">
            <v>155.298057599</v>
          </cell>
          <cell r="AM209">
            <v>94.592368898999993</v>
          </cell>
          <cell r="AN209">
            <v>-3.2828218049999975</v>
          </cell>
          <cell r="AO209">
            <v>-22.769618886663352</v>
          </cell>
          <cell r="AP209">
            <v>56.719502783663359</v>
          </cell>
          <cell r="AQ209">
            <v>-18.211236221</v>
          </cell>
          <cell r="AR209">
            <v>70.375085078313106</v>
          </cell>
          <cell r="AS209">
            <v>61.564521177686885</v>
          </cell>
          <cell r="AT209">
            <v>5.2377423914060017</v>
          </cell>
          <cell r="AU209">
            <v>0</v>
          </cell>
          <cell r="AV209">
            <v>76.671083468940921</v>
          </cell>
          <cell r="AW209">
            <v>77.286915464675374</v>
          </cell>
          <cell r="AX209">
            <v>153.9579989336163</v>
          </cell>
          <cell r="AY209">
            <v>113.39837994655082</v>
          </cell>
          <cell r="AZ209">
            <v>114.31658545219091</v>
          </cell>
          <cell r="BA209">
            <v>115.234790957831</v>
          </cell>
          <cell r="BB209">
            <v>116.15299646347108</v>
          </cell>
          <cell r="BC209">
            <v>120.76927464307661</v>
          </cell>
          <cell r="BD209">
            <v>121.74716350658331</v>
          </cell>
          <cell r="BE209">
            <v>122.72505237009001</v>
          </cell>
          <cell r="BF209">
            <v>123.70294123359673</v>
          </cell>
          <cell r="BG209">
            <v>146.99345999414464</v>
          </cell>
          <cell r="BH209">
            <v>148.18369043944136</v>
          </cell>
          <cell r="BI209">
            <v>149.37392088473808</v>
          </cell>
          <cell r="BJ209">
            <v>150.5641513300348</v>
          </cell>
          <cell r="BK209">
            <v>146.99345999414464</v>
          </cell>
          <cell r="BL209">
            <v>148.18369043944136</v>
          </cell>
          <cell r="BM209">
            <v>149.37392088473808</v>
          </cell>
          <cell r="BN209">
            <v>189.24664080217821</v>
          </cell>
        </row>
        <row r="210">
          <cell r="A210" t="str">
            <v xml:space="preserve">   as % of avg. IEA (managed)</v>
          </cell>
          <cell r="H210">
            <v>8.4424023317089175E-2</v>
          </cell>
          <cell r="I210">
            <v>0.26098733252495254</v>
          </cell>
          <cell r="J210">
            <v>0.15488506633290694</v>
          </cell>
          <cell r="K210">
            <v>1.0688640989742414E-2</v>
          </cell>
          <cell r="L210">
            <v>1.0266657336902905E-2</v>
          </cell>
          <cell r="M210">
            <v>2.5000000000000001E-2</v>
          </cell>
          <cell r="N210">
            <v>3.5000000000000003E-2</v>
          </cell>
          <cell r="O210">
            <v>3.5000000000000003E-2</v>
          </cell>
          <cell r="P210">
            <v>0.04</v>
          </cell>
          <cell r="Q210">
            <v>0.04</v>
          </cell>
          <cell r="AE210">
            <v>0.13218228025381651</v>
          </cell>
          <cell r="AF210">
            <v>0.13213873929473033</v>
          </cell>
          <cell r="AG210">
            <v>0.12260324547953169</v>
          </cell>
          <cell r="AH210">
            <v>0.73490840774631461</v>
          </cell>
          <cell r="AI210">
            <v>0.26091047818887558</v>
          </cell>
          <cell r="AJ210">
            <v>0.17056771494804249</v>
          </cell>
          <cell r="AK210">
            <v>0.12733282258887682</v>
          </cell>
          <cell r="AL210">
            <v>4.7746808566720804E-2</v>
          </cell>
          <cell r="AM210">
            <v>3.2626592275661934E-2</v>
          </cell>
          <cell r="AN210">
            <v>-1.2094656525209503E-3</v>
          </cell>
          <cell r="AO210">
            <v>-8.509173814362574E-3</v>
          </cell>
          <cell r="AP210">
            <v>2.0680189842660516E-2</v>
          </cell>
          <cell r="AQ210">
            <v>-6.3710800041533308E-3</v>
          </cell>
          <cell r="AR210">
            <v>2.3967763941268021E-2</v>
          </cell>
          <cell r="AS210">
            <v>2.0608595673361516E-2</v>
          </cell>
          <cell r="AT210">
            <v>1.7489233839008507E-3</v>
          </cell>
          <cell r="AU210">
            <v>0</v>
          </cell>
          <cell r="AV210">
            <v>2.5600836607679752E-2</v>
          </cell>
          <cell r="AW210">
            <v>2.4980265770994659E-2</v>
          </cell>
          <cell r="AX210">
            <v>4.889581597474129E-2</v>
          </cell>
          <cell r="AY210">
            <v>3.5416094234345948E-2</v>
          </cell>
          <cell r="AZ210">
            <v>3.5417416974169745E-2</v>
          </cell>
          <cell r="BA210">
            <v>3.527880887268308E-2</v>
          </cell>
          <cell r="BB210">
            <v>3.4736622143069162E-2</v>
          </cell>
          <cell r="BC210">
            <v>3.5416094234345941E-2</v>
          </cell>
          <cell r="BD210">
            <v>3.5417416974169745E-2</v>
          </cell>
          <cell r="BE210">
            <v>3.527880887268308E-2</v>
          </cell>
          <cell r="BF210">
            <v>3.4736622143069176E-2</v>
          </cell>
          <cell r="BG210">
            <v>4.0475536267823922E-2</v>
          </cell>
          <cell r="BH210">
            <v>4.0477047970479706E-2</v>
          </cell>
          <cell r="BI210">
            <v>4.0318638711637794E-2</v>
          </cell>
          <cell r="BJ210">
            <v>3.9698996734936182E-2</v>
          </cell>
          <cell r="BK210">
            <v>3.8005198373543589E-2</v>
          </cell>
          <cell r="BL210">
            <v>3.8006617812656997E-2</v>
          </cell>
          <cell r="BM210">
            <v>3.7857876724542536E-2</v>
          </cell>
          <cell r="BN210">
            <v>4.6852904903448608E-2</v>
          </cell>
        </row>
        <row r="211">
          <cell r="A211" t="str">
            <v>SG&amp;A</v>
          </cell>
          <cell r="H211">
            <v>1572.7030613300001</v>
          </cell>
          <cell r="I211">
            <v>1487.887994987</v>
          </cell>
          <cell r="J211">
            <v>962.40876749100005</v>
          </cell>
          <cell r="K211">
            <v>958.16102434000004</v>
          </cell>
          <cell r="L211">
            <v>1067.2796224450001</v>
          </cell>
          <cell r="M211">
            <v>1061.3728288475454</v>
          </cell>
          <cell r="N211">
            <v>1154.8469139890378</v>
          </cell>
          <cell r="O211">
            <v>1249.3392602780939</v>
          </cell>
          <cell r="P211">
            <v>1344.3847205676627</v>
          </cell>
          <cell r="Q211">
            <v>1443.5836834975926</v>
          </cell>
          <cell r="AE211">
            <v>405.871199827</v>
          </cell>
          <cell r="AF211">
            <v>373.778735713</v>
          </cell>
          <cell r="AG211">
            <v>418.67741759500007</v>
          </cell>
          <cell r="AH211">
            <v>289.56064185199989</v>
          </cell>
          <cell r="AI211">
            <v>270.604175897</v>
          </cell>
          <cell r="AJ211">
            <v>202.83104562599999</v>
          </cell>
          <cell r="AK211">
            <v>216.70346819079066</v>
          </cell>
          <cell r="AL211">
            <v>272.27007777720939</v>
          </cell>
          <cell r="AM211">
            <v>199.066259487</v>
          </cell>
          <cell r="AN211">
            <v>221.41770476600001</v>
          </cell>
          <cell r="AO211">
            <v>227.65076381099999</v>
          </cell>
          <cell r="AP211">
            <v>310.02629627600004</v>
          </cell>
          <cell r="AQ211">
            <v>268.18454932399999</v>
          </cell>
          <cell r="AR211">
            <v>252.00485637200001</v>
          </cell>
          <cell r="AS211">
            <v>244.70481103715019</v>
          </cell>
          <cell r="AT211">
            <v>302.3854057118499</v>
          </cell>
          <cell r="AU211">
            <v>263.67490581499999</v>
          </cell>
          <cell r="AV211">
            <v>264.28183438303881</v>
          </cell>
          <cell r="AW211">
            <v>266.40458004073389</v>
          </cell>
          <cell r="AX211">
            <v>267.01150860877271</v>
          </cell>
          <cell r="AY211">
            <v>285.24718775529232</v>
          </cell>
          <cell r="AZ211">
            <v>287.55688158327041</v>
          </cell>
          <cell r="BA211">
            <v>289.8665754112485</v>
          </cell>
          <cell r="BB211">
            <v>292.1762692392266</v>
          </cell>
          <cell r="BC211">
            <v>308.58679728868918</v>
          </cell>
          <cell r="BD211">
            <v>311.08547580924539</v>
          </cell>
          <cell r="BE211">
            <v>313.58415432980155</v>
          </cell>
          <cell r="BF211">
            <v>316.08283285035782</v>
          </cell>
          <cell r="BG211">
            <v>332.06302598021267</v>
          </cell>
          <cell r="BH211">
            <v>334.75179542134799</v>
          </cell>
          <cell r="BI211">
            <v>337.44056486248337</v>
          </cell>
          <cell r="BJ211">
            <v>340.12933430361863</v>
          </cell>
          <cell r="BK211">
            <v>332.06302598021267</v>
          </cell>
          <cell r="BL211">
            <v>334.75179542134799</v>
          </cell>
          <cell r="BM211">
            <v>337.44056486248337</v>
          </cell>
          <cell r="BN211">
            <v>439.32829723354848</v>
          </cell>
        </row>
        <row r="212">
          <cell r="A212" t="str">
            <v xml:space="preserve">   Cost / income ratio</v>
          </cell>
          <cell r="H212">
            <v>0.33010588551853004</v>
          </cell>
          <cell r="I212">
            <v>0.45258744063120981</v>
          </cell>
          <cell r="J212">
            <v>0.35698072079105975</v>
          </cell>
          <cell r="K212">
            <v>0.41090084778078129</v>
          </cell>
          <cell r="L212">
            <v>0.44892195183721834</v>
          </cell>
          <cell r="M212">
            <v>0.43999999999999995</v>
          </cell>
          <cell r="N212">
            <v>0.44</v>
          </cell>
          <cell r="O212">
            <v>0.44000000000000006</v>
          </cell>
          <cell r="P212">
            <v>0.44</v>
          </cell>
          <cell r="Q212">
            <v>0.44</v>
          </cell>
          <cell r="Y212">
            <v>0.44</v>
          </cell>
          <cell r="AE212">
            <v>0.35690433515908926</v>
          </cell>
          <cell r="AF212">
            <v>0.3751165028126538</v>
          </cell>
          <cell r="AG212">
            <v>0.41524226038925455</v>
          </cell>
          <cell r="AH212">
            <v>1.9886074892532044</v>
          </cell>
          <cell r="AI212">
            <v>0.2961320787465509</v>
          </cell>
          <cell r="AJ212">
            <v>0.41774096580191006</v>
          </cell>
          <cell r="AK212">
            <v>0.35418025836714101</v>
          </cell>
          <cell r="AL212">
            <v>0.39759926871011558</v>
          </cell>
          <cell r="AM212">
            <v>0.3394733884094352</v>
          </cell>
          <cell r="AN212">
            <v>0.38634682277248034</v>
          </cell>
          <cell r="AO212">
            <v>0.40207544578365928</v>
          </cell>
          <cell r="AP212">
            <v>0.51145773223084878</v>
          </cell>
          <cell r="AQ212">
            <v>0.45292631503230657</v>
          </cell>
          <cell r="AR212">
            <v>0.41403323686221438</v>
          </cell>
          <cell r="AS212">
            <v>0.41224680028060384</v>
          </cell>
          <cell r="AT212">
            <v>0.51861250602071385</v>
          </cell>
          <cell r="AU212">
            <v>0.46622432036644507</v>
          </cell>
          <cell r="AV212">
            <v>0.43999999999999995</v>
          </cell>
          <cell r="AW212">
            <v>0.43999999999999989</v>
          </cell>
          <cell r="AX212">
            <v>0.4168461138602863</v>
          </cell>
          <cell r="AY212">
            <v>0.43999999999999989</v>
          </cell>
          <cell r="AZ212">
            <v>0.43999999999999995</v>
          </cell>
          <cell r="BA212">
            <v>0.43999999999999995</v>
          </cell>
          <cell r="BB212">
            <v>0.44000000000000022</v>
          </cell>
          <cell r="BC212">
            <v>0.44000000000000011</v>
          </cell>
          <cell r="BD212">
            <v>0.44000000000000006</v>
          </cell>
          <cell r="BE212">
            <v>0.44000000000000006</v>
          </cell>
          <cell r="BF212">
            <v>0.44000000000000006</v>
          </cell>
          <cell r="BG212">
            <v>0.44</v>
          </cell>
          <cell r="BH212">
            <v>0.43999999999999995</v>
          </cell>
          <cell r="BI212">
            <v>0.44</v>
          </cell>
          <cell r="BJ212">
            <v>0.44000000000000006</v>
          </cell>
          <cell r="BK212">
            <v>0.44</v>
          </cell>
          <cell r="BL212">
            <v>0.43999999999999995</v>
          </cell>
          <cell r="BM212">
            <v>0.44</v>
          </cell>
          <cell r="BN212">
            <v>0.44</v>
          </cell>
        </row>
        <row r="213">
          <cell r="H213">
            <v>0</v>
          </cell>
          <cell r="I213">
            <v>0</v>
          </cell>
          <cell r="J213">
            <v>0</v>
          </cell>
          <cell r="K213">
            <v>4.0431524547803618E-2</v>
          </cell>
        </row>
        <row r="214">
          <cell r="A214" t="str">
            <v>Op profits</v>
          </cell>
          <cell r="H214">
            <v>494.07763048899938</v>
          </cell>
          <cell r="I214">
            <v>-5334.7241830970006</v>
          </cell>
          <cell r="J214">
            <v>-846.88328725400049</v>
          </cell>
          <cell r="K214">
            <v>1248.434125926</v>
          </cell>
          <cell r="L214">
            <v>1191.1822747795939</v>
          </cell>
          <cell r="M214">
            <v>1042.9221479387347</v>
          </cell>
          <cell r="N214">
            <v>1010.7024104387317</v>
          </cell>
          <cell r="O214">
            <v>1101.1237176914999</v>
          </cell>
          <cell r="P214">
            <v>1115.9198762559392</v>
          </cell>
          <cell r="Q214">
            <v>1203.4906123309793</v>
          </cell>
          <cell r="AE214">
            <v>-377.11446778500016</v>
          </cell>
          <cell r="AF214">
            <v>-370.57842555714257</v>
          </cell>
          <cell r="AG214">
            <v>-218.08609178885729</v>
          </cell>
          <cell r="AH214">
            <v>-4368.9451979660007</v>
          </cell>
          <cell r="AI214">
            <v>-616.06000861600023</v>
          </cell>
          <cell r="AJ214">
            <v>-418.13140510899973</v>
          </cell>
          <cell r="AK214">
            <v>-69.908895480929687</v>
          </cell>
          <cell r="AL214">
            <v>257.21702195192927</v>
          </cell>
          <cell r="AM214">
            <v>292.73861594499988</v>
          </cell>
          <cell r="AN214">
            <v>354.97117541700015</v>
          </cell>
          <cell r="AO214">
            <v>361.30802727766292</v>
          </cell>
          <cell r="AP214">
            <v>239.41630728633709</v>
          </cell>
          <cell r="AQ214">
            <v>342.14187301700014</v>
          </cell>
          <cell r="AR214">
            <v>286.2785765996868</v>
          </cell>
          <cell r="AS214">
            <v>287.31880690616299</v>
          </cell>
          <cell r="AT214">
            <v>275.44301825674393</v>
          </cell>
          <cell r="AU214">
            <v>301.87882936500012</v>
          </cell>
          <cell r="AV214">
            <v>259.68761483674496</v>
          </cell>
          <cell r="AW214">
            <v>261.77345913262241</v>
          </cell>
          <cell r="AX214">
            <v>219.58224460436736</v>
          </cell>
          <cell r="AY214">
            <v>249.64349537836688</v>
          </cell>
          <cell r="AZ214">
            <v>251.66490019924424</v>
          </cell>
          <cell r="BA214">
            <v>253.68630502012172</v>
          </cell>
          <cell r="BB214">
            <v>255.70770984099875</v>
          </cell>
          <cell r="BC214">
            <v>271.97755826980034</v>
          </cell>
          <cell r="BD214">
            <v>274.17980570518341</v>
          </cell>
          <cell r="BE214">
            <v>276.38205314056643</v>
          </cell>
          <cell r="BF214">
            <v>278.58430057594956</v>
          </cell>
          <cell r="BG214">
            <v>275.63220943521691</v>
          </cell>
          <cell r="BH214">
            <v>277.86404918772894</v>
          </cell>
          <cell r="BI214">
            <v>280.09588894024068</v>
          </cell>
          <cell r="BJ214">
            <v>282.32772869275254</v>
          </cell>
          <cell r="BK214">
            <v>275.63220943521691</v>
          </cell>
          <cell r="BL214">
            <v>277.86404918772894</v>
          </cell>
          <cell r="BM214">
            <v>280.09588894024068</v>
          </cell>
          <cell r="BN214">
            <v>369.89846476779258</v>
          </cell>
        </row>
        <row r="215">
          <cell r="A215" t="str">
            <v>Net non-op income</v>
          </cell>
          <cell r="H215">
            <v>6.9539340109999443</v>
          </cell>
          <cell r="I215">
            <v>-238.36101234099999</v>
          </cell>
          <cell r="J215">
            <v>53.344025035000001</v>
          </cell>
          <cell r="K215">
            <v>114.639048867</v>
          </cell>
          <cell r="L215">
            <v>-4.4052661692749025E-2</v>
          </cell>
          <cell r="M215">
            <v>127.15864395674907</v>
          </cell>
          <cell r="N215">
            <v>169.84752538423777</v>
          </cell>
          <cell r="O215">
            <v>112.47913377968803</v>
          </cell>
          <cell r="P215">
            <v>115.35299818894123</v>
          </cell>
          <cell r="Q215">
            <v>-1.4604686541645151</v>
          </cell>
          <cell r="AE215">
            <v>-23.53841091</v>
          </cell>
          <cell r="AF215">
            <v>8.2456145539999994</v>
          </cell>
          <cell r="AG215">
            <v>-51.863796805000007</v>
          </cell>
          <cell r="AH215">
            <v>-171.20441918</v>
          </cell>
          <cell r="AI215">
            <v>69.820089715999998</v>
          </cell>
          <cell r="AJ215">
            <v>-63.553354689323101</v>
          </cell>
          <cell r="AK215">
            <v>-21.493838811676895</v>
          </cell>
          <cell r="AL215">
            <v>68.571128819999998</v>
          </cell>
          <cell r="AM215">
            <v>-0.967728959</v>
          </cell>
          <cell r="AN215">
            <v>124.820539842</v>
          </cell>
          <cell r="AO215">
            <v>2.0853736480000009</v>
          </cell>
          <cell r="AP215">
            <v>-11.299135664000005</v>
          </cell>
          <cell r="AQ215">
            <v>11.43453465</v>
          </cell>
          <cell r="AR215">
            <v>0.70938428800000075</v>
          </cell>
          <cell r="AS215">
            <v>18.804677622</v>
          </cell>
          <cell r="AT215">
            <v>-30.992649221692748</v>
          </cell>
          <cell r="AU215">
            <v>43.540123170000001</v>
          </cell>
          <cell r="AV215">
            <v>31.662502345230518</v>
          </cell>
          <cell r="AW215">
            <v>31.916819633144019</v>
          </cell>
          <cell r="AX215">
            <v>20.039198808374536</v>
          </cell>
          <cell r="AY215">
            <v>41.952338769906731</v>
          </cell>
          <cell r="AZ215">
            <v>42.292033820675208</v>
          </cell>
          <cell r="BA215">
            <v>42.631728871443677</v>
          </cell>
          <cell r="BB215">
            <v>42.971423922212153</v>
          </cell>
          <cell r="BC215">
            <v>27.782346043582944</v>
          </cell>
          <cell r="BD215">
            <v>28.00730431114232</v>
          </cell>
          <cell r="BE215">
            <v>28.232262578701693</v>
          </cell>
          <cell r="BF215">
            <v>28.457220846261066</v>
          </cell>
          <cell r="BG215">
            <v>28.492190552668482</v>
          </cell>
          <cell r="BH215">
            <v>28.722896549046364</v>
          </cell>
          <cell r="BI215">
            <v>28.95360254542425</v>
          </cell>
          <cell r="BJ215">
            <v>29.184308541802139</v>
          </cell>
          <cell r="BK215">
            <v>28.492190552668482</v>
          </cell>
          <cell r="BL215">
            <v>28.722896549046364</v>
          </cell>
          <cell r="BM215">
            <v>28.95360254542425</v>
          </cell>
          <cell r="BN215">
            <v>-87.629158301303605</v>
          </cell>
        </row>
        <row r="216">
          <cell r="A216" t="str">
            <v>Pretax profits</v>
          </cell>
          <cell r="H216">
            <v>501.03156449999932</v>
          </cell>
          <cell r="I216">
            <v>-5573.0851954380005</v>
          </cell>
          <cell r="J216">
            <v>-793.53926221900053</v>
          </cell>
          <cell r="K216">
            <v>1363.0731747929999</v>
          </cell>
          <cell r="L216">
            <v>1191.138222117901</v>
          </cell>
          <cell r="M216">
            <v>1170.0807918954838</v>
          </cell>
          <cell r="N216">
            <v>1180.5499358229695</v>
          </cell>
          <cell r="O216">
            <v>1213.6028514711879</v>
          </cell>
          <cell r="P216">
            <v>1231.2728744448805</v>
          </cell>
          <cell r="Q216">
            <v>1202.0301436768148</v>
          </cell>
          <cell r="AE216">
            <v>-400.65287869500014</v>
          </cell>
          <cell r="AF216">
            <v>-362.33281100314258</v>
          </cell>
          <cell r="AG216">
            <v>-269.94988859385728</v>
          </cell>
          <cell r="AH216">
            <v>-4540.1496171460003</v>
          </cell>
          <cell r="AI216">
            <v>-546.23991890000025</v>
          </cell>
          <cell r="AJ216">
            <v>-481.68475979832283</v>
          </cell>
          <cell r="AK216">
            <v>-91.402734292606581</v>
          </cell>
          <cell r="AL216">
            <v>325.78815077192928</v>
          </cell>
          <cell r="AM216">
            <v>291.77088698599988</v>
          </cell>
          <cell r="AN216">
            <v>479.79171525900017</v>
          </cell>
          <cell r="AO216">
            <v>363.39340092566295</v>
          </cell>
          <cell r="AP216">
            <v>228.11717162233708</v>
          </cell>
          <cell r="AQ216">
            <v>353.57640766700013</v>
          </cell>
          <cell r="AR216">
            <v>286.98796088768682</v>
          </cell>
          <cell r="AS216">
            <v>306.12348452816298</v>
          </cell>
          <cell r="AT216">
            <v>244.45036903505118</v>
          </cell>
          <cell r="AU216">
            <v>345.41895253500013</v>
          </cell>
          <cell r="AV216">
            <v>291.35011718197546</v>
          </cell>
          <cell r="AW216">
            <v>293.69027876576644</v>
          </cell>
          <cell r="AX216">
            <v>239.62144341274188</v>
          </cell>
          <cell r="AY216">
            <v>291.59583414827364</v>
          </cell>
          <cell r="AZ216">
            <v>293.95693401991946</v>
          </cell>
          <cell r="BA216">
            <v>296.31803389156539</v>
          </cell>
          <cell r="BB216">
            <v>298.67913376321087</v>
          </cell>
          <cell r="BC216">
            <v>299.75990431338329</v>
          </cell>
          <cell r="BD216">
            <v>302.18711001632573</v>
          </cell>
          <cell r="BE216">
            <v>304.61431571926812</v>
          </cell>
          <cell r="BF216">
            <v>307.04152142221062</v>
          </cell>
          <cell r="BG216">
            <v>304.1243999878854</v>
          </cell>
          <cell r="BH216">
            <v>306.58694573677531</v>
          </cell>
          <cell r="BI216">
            <v>309.04949148566493</v>
          </cell>
          <cell r="BJ216">
            <v>311.51203723455467</v>
          </cell>
          <cell r="BK216">
            <v>304.1243999878854</v>
          </cell>
          <cell r="BL216">
            <v>306.58694573677531</v>
          </cell>
          <cell r="BM216">
            <v>309.04949148566493</v>
          </cell>
          <cell r="BN216">
            <v>282.26930646648896</v>
          </cell>
        </row>
        <row r="217">
          <cell r="A217" t="str">
            <v xml:space="preserve">   Income taxes</v>
          </cell>
          <cell r="H217">
            <v>150.63719141000001</v>
          </cell>
          <cell r="I217">
            <v>0</v>
          </cell>
          <cell r="J217">
            <v>0</v>
          </cell>
          <cell r="K217">
            <v>0</v>
          </cell>
          <cell r="L217">
            <v>-2.5410259009999998</v>
          </cell>
          <cell r="M217">
            <v>0</v>
          </cell>
          <cell r="N217">
            <v>0</v>
          </cell>
          <cell r="O217">
            <v>305.56319250068691</v>
          </cell>
          <cell r="P217">
            <v>338.60004047234219</v>
          </cell>
          <cell r="Q217">
            <v>330.55828951112409</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-2.5410259009999998</v>
          </cell>
          <cell r="AT217">
            <v>0</v>
          </cell>
          <cell r="AU217">
            <v>-519.98051612200004</v>
          </cell>
          <cell r="AV217">
            <v>0</v>
          </cell>
          <cell r="AW217">
            <v>0</v>
          </cell>
          <cell r="AX217">
            <v>519.98051612200004</v>
          </cell>
          <cell r="AY217">
            <v>0</v>
          </cell>
          <cell r="AZ217">
            <v>0</v>
          </cell>
          <cell r="BA217">
            <v>0</v>
          </cell>
          <cell r="BB217">
            <v>0</v>
          </cell>
          <cell r="BC217">
            <v>43.568330025642766</v>
          </cell>
          <cell r="BD217">
            <v>83.101455254489579</v>
          </cell>
          <cell r="BE217">
            <v>83.768936822798736</v>
          </cell>
          <cell r="BF217">
            <v>95.124470397755829</v>
          </cell>
          <cell r="BG217">
            <v>83.634209996668488</v>
          </cell>
          <cell r="BH217">
            <v>84.311410077613218</v>
          </cell>
          <cell r="BI217">
            <v>84.988610158557861</v>
          </cell>
          <cell r="BJ217">
            <v>85.665810239502633</v>
          </cell>
          <cell r="BK217">
            <v>83.634209996668488</v>
          </cell>
          <cell r="BL217">
            <v>84.311410077613218</v>
          </cell>
          <cell r="BM217">
            <v>84.988610158557861</v>
          </cell>
          <cell r="BN217">
            <v>77.624059278284534</v>
          </cell>
        </row>
        <row r="218">
          <cell r="A218" t="str">
            <v xml:space="preserve">   Effective tax rate</v>
          </cell>
          <cell r="M218">
            <v>0</v>
          </cell>
          <cell r="N218">
            <v>0</v>
          </cell>
          <cell r="O218">
            <v>0.27500000000000002</v>
          </cell>
          <cell r="P218">
            <v>0.27500000000000002</v>
          </cell>
          <cell r="Q218">
            <v>0.27500000000000002</v>
          </cell>
          <cell r="AV218">
            <v>0</v>
          </cell>
          <cell r="AW218">
            <v>0</v>
          </cell>
          <cell r="AX218">
            <v>0</v>
          </cell>
          <cell r="AY218">
            <v>0</v>
          </cell>
          <cell r="AZ218">
            <v>0</v>
          </cell>
          <cell r="BA218">
            <v>0</v>
          </cell>
          <cell r="BB218">
            <v>0</v>
          </cell>
          <cell r="BC218">
            <v>0.27500000000000002</v>
          </cell>
          <cell r="BD218">
            <v>0.27500000000000002</v>
          </cell>
          <cell r="BE218">
            <v>0.27500000000000002</v>
          </cell>
          <cell r="BF218">
            <v>0.27500000000000002</v>
          </cell>
          <cell r="BG218">
            <v>0.27500000000000002</v>
          </cell>
          <cell r="BH218">
            <v>0.27500000000000002</v>
          </cell>
          <cell r="BI218">
            <v>0.27500000000000002</v>
          </cell>
          <cell r="BJ218">
            <v>0.27500000000000002</v>
          </cell>
          <cell r="BK218">
            <v>0.27500000000000002</v>
          </cell>
          <cell r="BL218">
            <v>0.27500000000000002</v>
          </cell>
          <cell r="BM218">
            <v>0.27500000000000002</v>
          </cell>
          <cell r="BN218">
            <v>0.27500000000000002</v>
          </cell>
        </row>
        <row r="219">
          <cell r="A219" t="str">
            <v>Net profits</v>
          </cell>
          <cell r="H219">
            <v>350.39437308999931</v>
          </cell>
          <cell r="I219">
            <v>-5573.0851954380005</v>
          </cell>
          <cell r="J219">
            <v>-793.53926221900053</v>
          </cell>
          <cell r="K219">
            <v>1363.0731747929999</v>
          </cell>
          <cell r="L219">
            <v>1193.679248018901</v>
          </cell>
          <cell r="M219">
            <v>1170.0807918954838</v>
          </cell>
          <cell r="N219">
            <v>1180.5499358229695</v>
          </cell>
          <cell r="O219">
            <v>908.03965897050091</v>
          </cell>
          <cell r="P219">
            <v>892.67283397253834</v>
          </cell>
          <cell r="Q219">
            <v>871.47185416569062</v>
          </cell>
          <cell r="AE219">
            <v>-400.65287869500014</v>
          </cell>
          <cell r="AF219">
            <v>-362.33281100314258</v>
          </cell>
          <cell r="AG219">
            <v>-269.94988859385728</v>
          </cell>
          <cell r="AH219">
            <v>-4540.1496171460003</v>
          </cell>
          <cell r="AI219">
            <v>-546.23991890000025</v>
          </cell>
          <cell r="AJ219">
            <v>-481.68475979832283</v>
          </cell>
          <cell r="AK219">
            <v>-91.402734292606581</v>
          </cell>
          <cell r="AL219">
            <v>325.78815077192928</v>
          </cell>
          <cell r="AM219">
            <v>291.77088698599988</v>
          </cell>
          <cell r="AN219">
            <v>479.79171525900017</v>
          </cell>
          <cell r="AO219">
            <v>363.39340092566295</v>
          </cell>
          <cell r="AP219">
            <v>228.11717162233708</v>
          </cell>
          <cell r="AQ219">
            <v>353.57640766700013</v>
          </cell>
          <cell r="AR219">
            <v>286.98796088768682</v>
          </cell>
          <cell r="AS219">
            <v>308.66451042916299</v>
          </cell>
          <cell r="AT219">
            <v>244.45036903505118</v>
          </cell>
          <cell r="AU219">
            <v>865.39946865700017</v>
          </cell>
          <cell r="AV219">
            <v>291.35011718197546</v>
          </cell>
          <cell r="AW219">
            <v>293.69027876576644</v>
          </cell>
          <cell r="AX219">
            <v>-280.35907270925816</v>
          </cell>
          <cell r="AY219">
            <v>291.59583414827364</v>
          </cell>
          <cell r="AZ219">
            <v>293.95693401991946</v>
          </cell>
          <cell r="BA219">
            <v>296.31803389156539</v>
          </cell>
          <cell r="BB219">
            <v>298.67913376321087</v>
          </cell>
          <cell r="BC219">
            <v>256.19157428774054</v>
          </cell>
          <cell r="BD219">
            <v>219.08565476183617</v>
          </cell>
          <cell r="BE219">
            <v>220.84537889646938</v>
          </cell>
          <cell r="BF219">
            <v>211.91705102445479</v>
          </cell>
          <cell r="BG219">
            <v>220.49018999121691</v>
          </cell>
          <cell r="BH219">
            <v>222.27553565916207</v>
          </cell>
          <cell r="BI219">
            <v>224.06088132710707</v>
          </cell>
          <cell r="BJ219">
            <v>225.84622699505204</v>
          </cell>
          <cell r="BK219">
            <v>220.49018999121691</v>
          </cell>
          <cell r="BL219">
            <v>222.27553565916207</v>
          </cell>
          <cell r="BM219">
            <v>224.06088132710707</v>
          </cell>
          <cell r="BN219">
            <v>204.64524718820442</v>
          </cell>
        </row>
        <row r="220">
          <cell r="A220" t="str">
            <v xml:space="preserve">   Return on avg IEA</v>
          </cell>
          <cell r="H220">
            <v>1.0966513065233989E-2</v>
          </cell>
          <cell r="I220">
            <v>-0.20387342912455114</v>
          </cell>
          <cell r="J220">
            <v>-4.7630341679873761E-2</v>
          </cell>
          <cell r="K220">
            <v>0.11631379523955851</v>
          </cell>
          <cell r="L220">
            <v>0.1030133334579892</v>
          </cell>
          <cell r="M220">
            <v>9.5000000000000001E-2</v>
          </cell>
          <cell r="N220">
            <v>0.09</v>
          </cell>
          <cell r="O220">
            <v>6.5000000000000002E-2</v>
          </cell>
          <cell r="P220">
            <v>0.06</v>
          </cell>
          <cell r="Q220">
            <v>5.5E-2</v>
          </cell>
          <cell r="AE220">
            <v>-4.7778057324581971E-2</v>
          </cell>
          <cell r="AF220">
            <v>-4.8204379697598221E-2</v>
          </cell>
          <cell r="AG220">
            <v>-4.0977463684475995E-2</v>
          </cell>
          <cell r="AH220">
            <v>-0.78972748442479423</v>
          </cell>
          <cell r="AI220">
            <v>-0.11317813135142758</v>
          </cell>
          <cell r="AJ220">
            <v>-0.11723006504607579</v>
          </cell>
          <cell r="AK220">
            <v>-2.5026457507477264E-2</v>
          </cell>
          <cell r="AL220">
            <v>0.10016444963129691</v>
          </cell>
          <cell r="AM220">
            <v>0.10063697398005529</v>
          </cell>
          <cell r="AN220">
            <v>0.17676609771692223</v>
          </cell>
          <cell r="AO220">
            <v>0.13580278294776227</v>
          </cell>
          <cell r="AP220">
            <v>8.317256294565864E-2</v>
          </cell>
          <cell r="AQ220">
            <v>0.12369635720994972</v>
          </cell>
          <cell r="AR220">
            <v>9.7739984156148665E-2</v>
          </cell>
          <cell r="AS220">
            <v>0.10332480416425618</v>
          </cell>
          <cell r="AT220">
            <v>8.1623901036077889E-2</v>
          </cell>
          <cell r="AU220">
            <v>0.29308556699626231</v>
          </cell>
          <cell r="AV220">
            <v>9.7283179109183049E-2</v>
          </cell>
          <cell r="AW220">
            <v>9.4925009929779702E-2</v>
          </cell>
          <cell r="AX220">
            <v>-8.9039775269824012E-2</v>
          </cell>
          <cell r="AY220">
            <v>9.1069956602603891E-2</v>
          </cell>
          <cell r="AZ220">
            <v>9.1073357933579346E-2</v>
          </cell>
          <cell r="BA220">
            <v>9.0716937101185058E-2</v>
          </cell>
          <cell r="BB220">
            <v>8.9322742653606277E-2</v>
          </cell>
          <cell r="BC220">
            <v>7.5129249255122585E-2</v>
          </cell>
          <cell r="BD220">
            <v>6.3734117200515861E-2</v>
          </cell>
          <cell r="BE220">
            <v>6.348469006155949E-2</v>
          </cell>
          <cell r="BF220">
            <v>5.9507740508846781E-2</v>
          </cell>
          <cell r="BG220">
            <v>6.0713304401735869E-2</v>
          </cell>
          <cell r="BH220">
            <v>6.0715571955719562E-2</v>
          </cell>
          <cell r="BI220">
            <v>6.0477958067456677E-2</v>
          </cell>
          <cell r="BJ220">
            <v>5.9548495102404231E-2</v>
          </cell>
          <cell r="BK220">
            <v>5.7007797560315369E-2</v>
          </cell>
          <cell r="BL220">
            <v>5.7009926718985499E-2</v>
          </cell>
          <cell r="BM220">
            <v>5.678681508681379E-2</v>
          </cell>
          <cell r="BN220">
            <v>5.0665228533564102E-2</v>
          </cell>
        </row>
        <row r="221">
          <cell r="A221" t="str">
            <v xml:space="preserve">   ROA</v>
          </cell>
          <cell r="I221">
            <v>-0.21738963725224661</v>
          </cell>
          <cell r="J221">
            <v>-5.3148160463513242E-2</v>
          </cell>
          <cell r="K221">
            <v>0.11213718271136465</v>
          </cell>
          <cell r="L221">
            <v>9.8347097231655689E-2</v>
          </cell>
          <cell r="M221">
            <v>9.1821977140904301E-2</v>
          </cell>
          <cell r="N221">
            <v>8.7031452330085135E-2</v>
          </cell>
          <cell r="O221">
            <v>6.2962477942303044E-2</v>
          </cell>
          <cell r="P221">
            <v>5.8216395143661087E-2</v>
          </cell>
          <cell r="Q221">
            <v>5.3453152305940041E-2</v>
          </cell>
          <cell r="AE221">
            <v>-4.7226840566949126E-2</v>
          </cell>
          <cell r="AF221">
            <v>-4.5292844621458224E-2</v>
          </cell>
          <cell r="AG221">
            <v>-3.8586488498596583E-2</v>
          </cell>
          <cell r="AH221">
            <v>-0.83414712664504065</v>
          </cell>
          <cell r="AI221">
            <v>-0.12588736389427277</v>
          </cell>
          <cell r="AJ221">
            <v>-0.11778218641163776</v>
          </cell>
          <cell r="AK221">
            <v>-2.5148667859886831E-2</v>
          </cell>
          <cell r="AL221">
            <v>0.10041317936026228</v>
          </cell>
          <cell r="AM221">
            <v>9.6354640273089695E-2</v>
          </cell>
          <cell r="AN221">
            <v>0.16487032163884291</v>
          </cell>
          <cell r="AO221">
            <v>0.12697268947846604</v>
          </cell>
          <cell r="AP221">
            <v>7.7971478483725584E-2</v>
          </cell>
          <cell r="AQ221">
            <v>0.11697237852347832</v>
          </cell>
          <cell r="AR221">
            <v>9.4187658914400604E-2</v>
          </cell>
          <cell r="AS221">
            <v>9.9613945549102398E-2</v>
          </cell>
          <cell r="AT221">
            <v>7.8244846164423773E-2</v>
          </cell>
          <cell r="AU221">
            <v>0.27837181954018958</v>
          </cell>
          <cell r="AV221">
            <v>9.2951335106426489E-2</v>
          </cell>
          <cell r="AW221">
            <v>9.25469590450749E-2</v>
          </cell>
          <cell r="AX221">
            <v>-8.6281867048057556E-2</v>
          </cell>
          <cell r="AY221">
            <v>8.8008620501532533E-2</v>
          </cell>
          <cell r="AZ221">
            <v>8.8031371985962587E-2</v>
          </cell>
          <cell r="BA221">
            <v>8.771537978967521E-2</v>
          </cell>
          <cell r="BB221">
            <v>8.6421586710481724E-2</v>
          </cell>
          <cell r="BC221">
            <v>7.2727286999504703E-2</v>
          </cell>
          <cell r="BD221">
            <v>6.1709944781123453E-2</v>
          </cell>
          <cell r="BE221">
            <v>6.1488186204898765E-2</v>
          </cell>
          <cell r="BF221">
            <v>5.7672073771657735E-2</v>
          </cell>
          <cell r="BG221">
            <v>5.8870984038655691E-2</v>
          </cell>
          <cell r="BH221">
            <v>5.888588160739535E-2</v>
          </cell>
          <cell r="BI221">
            <v>5.8674037172960172E-2</v>
          </cell>
          <cell r="BJ221">
            <v>5.7807703974548832E-2</v>
          </cell>
          <cell r="BK221">
            <v>5.5369640715037298E-2</v>
          </cell>
          <cell r="BL221">
            <v>5.5383503540726083E-2</v>
          </cell>
          <cell r="BM221">
            <v>5.5184041067929297E-2</v>
          </cell>
          <cell r="BN221">
            <v>4.9265030608961459E-2</v>
          </cell>
        </row>
        <row r="223">
          <cell r="A223" t="str">
            <v>VALUE ADDITION TO PRICE TARGET</v>
          </cell>
          <cell r="Q223">
            <v>0.14300000000000013</v>
          </cell>
        </row>
        <row r="224">
          <cell r="A224" t="str">
            <v>Tax carried forward</v>
          </cell>
          <cell r="H224">
            <v>0.4</v>
          </cell>
          <cell r="I224">
            <v>0.3</v>
          </cell>
          <cell r="J224">
            <v>0.2</v>
          </cell>
          <cell r="K224">
            <v>0.1</v>
          </cell>
          <cell r="Q224">
            <v>115.92695400000011</v>
          </cell>
        </row>
        <row r="225">
          <cell r="H225">
            <v>2006</v>
          </cell>
          <cell r="I225">
            <v>2007</v>
          </cell>
          <cell r="J225">
            <v>2008</v>
          </cell>
          <cell r="K225">
            <v>2009</v>
          </cell>
        </row>
        <row r="226">
          <cell r="H226">
            <v>321.77221777125806</v>
          </cell>
          <cell r="I226">
            <v>324.65123235131665</v>
          </cell>
          <cell r="J226">
            <v>249.71090621688776</v>
          </cell>
          <cell r="K226">
            <v>38.865643660537643</v>
          </cell>
          <cell r="M226">
            <v>3400</v>
          </cell>
          <cell r="N226">
            <v>935.00000000000011</v>
          </cell>
          <cell r="Q226">
            <v>46392</v>
          </cell>
          <cell r="Y226">
            <v>46392</v>
          </cell>
        </row>
        <row r="227">
          <cell r="H227">
            <v>321.77221777125806</v>
          </cell>
          <cell r="I227">
            <v>289.86717174224697</v>
          </cell>
          <cell r="J227">
            <v>199.06800559381995</v>
          </cell>
          <cell r="K227">
            <v>27.663797476125204</v>
          </cell>
          <cell r="L227">
            <v>838.37119258345012</v>
          </cell>
          <cell r="Q227">
            <v>17.892081999999998</v>
          </cell>
          <cell r="Y227">
            <v>0</v>
          </cell>
        </row>
        <row r="228">
          <cell r="H228">
            <v>0.12</v>
          </cell>
          <cell r="P228">
            <v>5.5E-2</v>
          </cell>
          <cell r="Q228">
            <v>830.04946814399989</v>
          </cell>
          <cell r="Y228">
            <v>0</v>
          </cell>
        </row>
        <row r="229">
          <cell r="A229" t="str">
            <v>Written off assets</v>
          </cell>
          <cell r="H229">
            <v>9000</v>
          </cell>
          <cell r="Q229">
            <v>45.652720747919993</v>
          </cell>
          <cell r="Y229">
            <v>0</v>
          </cell>
        </row>
        <row r="230">
          <cell r="A230" t="str">
            <v xml:space="preserve">   Recovery ratio</v>
          </cell>
          <cell r="H230">
            <v>0.08</v>
          </cell>
        </row>
        <row r="231">
          <cell r="A231" t="str">
            <v xml:space="preserve">   Value of written off assets</v>
          </cell>
          <cell r="H231">
            <v>720</v>
          </cell>
          <cell r="L231">
            <v>1021.7894363041793</v>
          </cell>
          <cell r="Q231">
            <v>70.274233252080109</v>
          </cell>
          <cell r="Y231">
            <v>115.92695400000011</v>
          </cell>
          <cell r="Z231">
            <v>0.64963669662761747</v>
          </cell>
        </row>
        <row r="232">
          <cell r="L232">
            <v>-285.71428571428572</v>
          </cell>
          <cell r="Q232">
            <v>171.01657954187655</v>
          </cell>
          <cell r="Y232">
            <v>282.11522534401547</v>
          </cell>
          <cell r="Z232">
            <v>410.92058700000001</v>
          </cell>
          <cell r="AE232">
            <v>0</v>
          </cell>
        </row>
        <row r="233">
          <cell r="A233" t="str">
            <v>Value of excess capital</v>
          </cell>
          <cell r="H233">
            <v>1552.0468673972084</v>
          </cell>
          <cell r="L233">
            <v>-150</v>
          </cell>
          <cell r="Q233">
            <v>6480.0981195939867</v>
          </cell>
          <cell r="Y233">
            <v>6480.0981195939867</v>
          </cell>
        </row>
        <row r="234">
          <cell r="L234">
            <v>586.07515058989361</v>
          </cell>
          <cell r="Q234">
            <v>2.6391047849224799E-2</v>
          </cell>
          <cell r="Y234">
            <v>4.3535640994536592E-2</v>
          </cell>
        </row>
        <row r="235">
          <cell r="A235" t="str">
            <v>Value to SFG</v>
          </cell>
          <cell r="H235">
            <v>2048.5882774034239</v>
          </cell>
          <cell r="L235">
            <v>146.5187876474734</v>
          </cell>
        </row>
        <row r="236">
          <cell r="A236" t="str">
            <v xml:space="preserve">   # of shares</v>
          </cell>
          <cell r="H236">
            <v>410.92058700000001</v>
          </cell>
          <cell r="L236">
            <v>596.51878764747335</v>
          </cell>
        </row>
        <row r="237">
          <cell r="A237" t="str">
            <v xml:space="preserve">  Per share value</v>
          </cell>
          <cell r="H237">
            <v>4985.3629684497264</v>
          </cell>
        </row>
        <row r="239">
          <cell r="A239" t="str">
            <v>Goodwill creation</v>
          </cell>
          <cell r="H239">
            <v>3914.3974554892129</v>
          </cell>
        </row>
        <row r="240">
          <cell r="A240" t="str">
            <v xml:space="preserve">   Amortization</v>
          </cell>
          <cell r="M240">
            <v>293.57980916169095</v>
          </cell>
          <cell r="N240">
            <v>391.43974554892128</v>
          </cell>
          <cell r="O240">
            <v>391.43974554892128</v>
          </cell>
          <cell r="P240">
            <v>391.43974554892128</v>
          </cell>
          <cell r="Q240">
            <v>391.43974554892128</v>
          </cell>
          <cell r="AV240">
            <v>97.85993638723032</v>
          </cell>
          <cell r="AW240">
            <v>97.85993638723032</v>
          </cell>
          <cell r="AX240">
            <v>97.85993638723032</v>
          </cell>
          <cell r="AY240">
            <v>97.85993638723032</v>
          </cell>
          <cell r="AZ240">
            <v>97.85993638723032</v>
          </cell>
          <cell r="BA240">
            <v>97.85993638723032</v>
          </cell>
          <cell r="BB240">
            <v>97.85993638723032</v>
          </cell>
          <cell r="BC240">
            <v>97.85993638723032</v>
          </cell>
          <cell r="BD240">
            <v>97.85993638723032</v>
          </cell>
          <cell r="BE240">
            <v>97.85993638723032</v>
          </cell>
          <cell r="BF240">
            <v>97.85993638723032</v>
          </cell>
          <cell r="BG240">
            <v>97.85993638723032</v>
          </cell>
          <cell r="BH240">
            <v>97.85993638723032</v>
          </cell>
          <cell r="BI240">
            <v>97.85993638723032</v>
          </cell>
          <cell r="BJ240">
            <v>97.85993638723032</v>
          </cell>
          <cell r="BK240">
            <v>97.85993638723032</v>
          </cell>
          <cell r="BL240">
            <v>97.85993638723032</v>
          </cell>
          <cell r="BM240">
            <v>97.85993638723032</v>
          </cell>
          <cell r="BN240">
            <v>97.85993638723032</v>
          </cell>
        </row>
        <row r="241">
          <cell r="AU241">
            <v>3914.3974554892129</v>
          </cell>
          <cell r="AV241">
            <v>3816.5375191019825</v>
          </cell>
          <cell r="AW241">
            <v>3718.6775827147521</v>
          </cell>
          <cell r="AX241">
            <v>3620.8176463275217</v>
          </cell>
          <cell r="AY241">
            <v>3522.9577099402914</v>
          </cell>
          <cell r="AZ241">
            <v>3425.097773553061</v>
          </cell>
          <cell r="BA241">
            <v>3327.2378371658306</v>
          </cell>
          <cell r="BB241">
            <v>3229.3779007786002</v>
          </cell>
          <cell r="BC241">
            <v>3131.5179643913698</v>
          </cell>
          <cell r="BD241">
            <v>3033.6580280041394</v>
          </cell>
          <cell r="BE241">
            <v>2935.798091616909</v>
          </cell>
          <cell r="BF241">
            <v>2837.9381552296786</v>
          </cell>
          <cell r="BG241">
            <v>2740.0782188424482</v>
          </cell>
          <cell r="BH241">
            <v>2642.2182824552178</v>
          </cell>
          <cell r="BI241">
            <v>2544.3583460679874</v>
          </cell>
          <cell r="BJ241">
            <v>2446.498409680757</v>
          </cell>
          <cell r="BK241">
            <v>2348.6384732935267</v>
          </cell>
          <cell r="BL241">
            <v>2250.7785369062963</v>
          </cell>
          <cell r="BM241">
            <v>2152.9186005190659</v>
          </cell>
          <cell r="BN241">
            <v>2055.0586641318355</v>
          </cell>
        </row>
        <row r="243">
          <cell r="A243" t="str">
            <v>Funding cost</v>
          </cell>
        </row>
        <row r="244">
          <cell r="A244" t="str">
            <v xml:space="preserve">   CRPS</v>
          </cell>
          <cell r="M244">
            <v>20.742201821250003</v>
          </cell>
          <cell r="N244">
            <v>27.656269095000003</v>
          </cell>
          <cell r="O244">
            <v>27.656269095000003</v>
          </cell>
          <cell r="P244">
            <v>27.656269095000003</v>
          </cell>
          <cell r="Q244">
            <v>27.656269095000003</v>
          </cell>
          <cell r="AV244">
            <v>6.9140672737500006</v>
          </cell>
          <cell r="AW244">
            <v>6.9140672737500006</v>
          </cell>
          <cell r="AX244">
            <v>6.9140672737500006</v>
          </cell>
          <cell r="AY244">
            <v>6.9140672737500006</v>
          </cell>
          <cell r="AZ244">
            <v>6.9140672737500006</v>
          </cell>
          <cell r="BA244">
            <v>6.9140672737500006</v>
          </cell>
          <cell r="BB244">
            <v>6.9140672737500006</v>
          </cell>
          <cell r="BC244">
            <v>6.9140672737500006</v>
          </cell>
          <cell r="BD244">
            <v>6.9140672737500006</v>
          </cell>
          <cell r="BE244">
            <v>6.9140672737500006</v>
          </cell>
          <cell r="BF244">
            <v>6.9140672737500006</v>
          </cell>
          <cell r="BG244">
            <v>6.9140672737500006</v>
          </cell>
          <cell r="BH244">
            <v>6.9140672737500006</v>
          </cell>
          <cell r="BI244">
            <v>6.9140672737500006</v>
          </cell>
          <cell r="BJ244">
            <v>6.9140672737500006</v>
          </cell>
          <cell r="BK244">
            <v>6.9140672737500006</v>
          </cell>
          <cell r="BL244">
            <v>6.9140672737500006</v>
          </cell>
          <cell r="BM244">
            <v>6.9140672737500006</v>
          </cell>
          <cell r="BN244">
            <v>6.9140672737500006</v>
          </cell>
        </row>
        <row r="245">
          <cell r="A245" t="str">
            <v xml:space="preserve">   RPS</v>
          </cell>
          <cell r="M245">
            <v>152.19749999999999</v>
          </cell>
          <cell r="N245">
            <v>202.93</v>
          </cell>
          <cell r="O245">
            <v>202.93</v>
          </cell>
          <cell r="P245">
            <v>202.93</v>
          </cell>
          <cell r="Q245">
            <v>202.93</v>
          </cell>
          <cell r="AV245">
            <v>50.732499999999995</v>
          </cell>
          <cell r="AW245">
            <v>50.732499999999995</v>
          </cell>
          <cell r="AX245">
            <v>50.732499999999995</v>
          </cell>
          <cell r="AY245">
            <v>50.732500000000002</v>
          </cell>
          <cell r="AZ245">
            <v>50.732500000000002</v>
          </cell>
          <cell r="BA245">
            <v>50.732500000000002</v>
          </cell>
          <cell r="BB245">
            <v>50.732500000000002</v>
          </cell>
          <cell r="BC245">
            <v>50.732500000000002</v>
          </cell>
          <cell r="BD245">
            <v>50.732500000000002</v>
          </cell>
          <cell r="BE245">
            <v>50.732500000000002</v>
          </cell>
          <cell r="BF245">
            <v>50.732500000000002</v>
          </cell>
          <cell r="BG245">
            <v>50.732500000000002</v>
          </cell>
          <cell r="BH245">
            <v>50.732500000000002</v>
          </cell>
          <cell r="BI245">
            <v>50.732500000000002</v>
          </cell>
          <cell r="BJ245">
            <v>50.732500000000002</v>
          </cell>
          <cell r="BK245">
            <v>50.732500000000002</v>
          </cell>
          <cell r="BL245">
            <v>50.732500000000002</v>
          </cell>
          <cell r="BM245">
            <v>50.732500000000002</v>
          </cell>
          <cell r="BN245">
            <v>50.732500000000002</v>
          </cell>
        </row>
        <row r="255">
          <cell r="A255" t="str">
            <v>Tender Offer</v>
          </cell>
        </row>
        <row r="256">
          <cell r="A256" t="str">
            <v xml:space="preserve">   Price (Won)</v>
          </cell>
          <cell r="H256">
            <v>46392</v>
          </cell>
        </row>
        <row r="257">
          <cell r="A257" t="str">
            <v xml:space="preserve">   Period</v>
          </cell>
        </row>
      </sheetData>
      <sheetData sheetId="6" refreshError="1"/>
      <sheetData sheetId="7" refreshError="1"/>
      <sheetData sheetId="8" refreshError="1"/>
      <sheetData sheetId="9" refreshError="1">
        <row r="2">
          <cell r="B2" t="str">
            <v>SHINHAN FINANCIAL GROUP (055550.KS)</v>
          </cell>
          <cell r="O2" t="str">
            <v>Foreign exchange rate</v>
          </cell>
          <cell r="W2">
            <v>965.2</v>
          </cell>
        </row>
        <row r="3">
          <cell r="O3" t="str">
            <v>Current share price</v>
          </cell>
          <cell r="W3">
            <v>58900</v>
          </cell>
          <cell r="X3">
            <v>61.023622047244089</v>
          </cell>
        </row>
        <row r="5">
          <cell r="B5" t="str">
            <v>Profit and Loss Statements</v>
          </cell>
          <cell r="O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t="str">
            <v>2008E</v>
          </cell>
          <cell r="L6" t="str">
            <v>2009E</v>
          </cell>
          <cell r="M6" t="str">
            <v>2010E</v>
          </cell>
          <cell r="O6" t="str">
            <v>Won billions, Year ending Dec 31</v>
          </cell>
          <cell r="P6">
            <v>2000</v>
          </cell>
          <cell r="Q6">
            <v>2001</v>
          </cell>
          <cell r="R6">
            <v>2002</v>
          </cell>
          <cell r="S6">
            <v>2003</v>
          </cell>
          <cell r="T6">
            <v>2004</v>
          </cell>
          <cell r="U6">
            <v>2005</v>
          </cell>
          <cell r="V6">
            <v>2006</v>
          </cell>
          <cell r="W6">
            <v>2007</v>
          </cell>
          <cell r="X6" t="str">
            <v>2008E</v>
          </cell>
          <cell r="Y6" t="str">
            <v>2009E</v>
          </cell>
          <cell r="Z6" t="str">
            <v>2010E</v>
          </cell>
        </row>
        <row r="7">
          <cell r="B7" t="str">
            <v>Avg Earning Assets</v>
          </cell>
          <cell r="C7">
            <v>0</v>
          </cell>
          <cell r="D7">
            <v>0</v>
          </cell>
          <cell r="E7">
            <v>49724.987999999998</v>
          </cell>
          <cell r="F7">
            <v>57957.267000000007</v>
          </cell>
          <cell r="G7">
            <v>112895.58162500002</v>
          </cell>
          <cell r="H7">
            <v>114974.23262499998</v>
          </cell>
          <cell r="I7">
            <v>120580.75200000001</v>
          </cell>
          <cell r="J7">
            <v>138812.614</v>
          </cell>
          <cell r="K7">
            <v>156516.76335599885</v>
          </cell>
          <cell r="L7">
            <v>168104.09170572687</v>
          </cell>
          <cell r="M7">
            <v>183115.62515496527</v>
          </cell>
          <cell r="O7" t="str">
            <v>Book Value Per Share (Won)</v>
          </cell>
          <cell r="P7" t="e">
            <v>#DIV/0!</v>
          </cell>
          <cell r="Q7">
            <v>0</v>
          </cell>
          <cell r="R7">
            <v>12451.998142403514</v>
          </cell>
          <cell r="S7">
            <v>12234.947540557414</v>
          </cell>
          <cell r="T7">
            <v>17506.335706253656</v>
          </cell>
          <cell r="U7">
            <v>22965.11908125148</v>
          </cell>
          <cell r="V7">
            <v>27798.766366076343</v>
          </cell>
          <cell r="W7">
            <v>35090.084731713381</v>
          </cell>
          <cell r="X7">
            <v>38673.070574065168</v>
          </cell>
          <cell r="Y7">
            <v>43296.866391284449</v>
          </cell>
          <cell r="Z7">
            <v>48332.025647816103</v>
          </cell>
        </row>
        <row r="8">
          <cell r="B8" t="str">
            <v>Net Interest Margin (%)</v>
          </cell>
          <cell r="C8" t="e">
            <v>#DIV/0!</v>
          </cell>
          <cell r="D8" t="e">
            <v>#DIV/0!</v>
          </cell>
          <cell r="E8">
            <v>2.5436245454699762</v>
          </cell>
          <cell r="F8">
            <v>2.0384052960951382</v>
          </cell>
          <cell r="G8">
            <v>3.1026550642394182</v>
          </cell>
          <cell r="H8">
            <v>2.9873692758946273</v>
          </cell>
          <cell r="I8">
            <v>2.5144859654814553</v>
          </cell>
          <cell r="J8">
            <v>2.3191199324291967</v>
          </cell>
          <cell r="K8">
            <v>2.1933726161836997</v>
          </cell>
          <cell r="L8">
            <v>2.1218156277862024</v>
          </cell>
          <cell r="M8">
            <v>2.0908781077618204</v>
          </cell>
          <cell r="O8" t="str">
            <v>Price/Book (x)</v>
          </cell>
          <cell r="P8" t="e">
            <v>#DIV/0!</v>
          </cell>
          <cell r="Q8" t="e">
            <v>#DIV/0!</v>
          </cell>
          <cell r="R8">
            <v>4.7301645347524106</v>
          </cell>
          <cell r="S8">
            <v>4.814078671343168</v>
          </cell>
          <cell r="T8">
            <v>3.3644962023068938</v>
          </cell>
          <cell r="U8">
            <v>2.5647591807214027</v>
          </cell>
          <cell r="V8">
            <v>2.1187990583595613</v>
          </cell>
          <cell r="W8">
            <v>1.6785368416841673</v>
          </cell>
          <cell r="X8">
            <v>1.5230236214938506</v>
          </cell>
          <cell r="Y8">
            <v>1.3603755862538915</v>
          </cell>
          <cell r="Z8">
            <v>1.2186536610153731</v>
          </cell>
        </row>
        <row r="9">
          <cell r="B9" t="str">
            <v xml:space="preserve">  Interest Income</v>
          </cell>
          <cell r="C9">
            <v>0</v>
          </cell>
          <cell r="D9">
            <v>0</v>
          </cell>
          <cell r="E9">
            <v>4093.9695122271314</v>
          </cell>
          <cell r="F9">
            <v>5645.5872263039464</v>
          </cell>
          <cell r="G9">
            <v>7980.9449999999997</v>
          </cell>
          <cell r="H9">
            <v>7884.7379999999994</v>
          </cell>
          <cell r="I9">
            <v>9262.9760000000006</v>
          </cell>
          <cell r="J9">
            <v>13320.949000000001</v>
          </cell>
          <cell r="K9">
            <v>15333.669285486485</v>
          </cell>
          <cell r="L9">
            <v>16380.001282212468</v>
          </cell>
          <cell r="M9">
            <v>17964.533621263272</v>
          </cell>
          <cell r="O9" t="str">
            <v>ROAA (%)</v>
          </cell>
          <cell r="P9" t="e">
            <v>#DIV/0!</v>
          </cell>
          <cell r="Q9" t="e">
            <v>#DIV/0!</v>
          </cell>
          <cell r="R9">
            <v>1.8406863534163227</v>
          </cell>
          <cell r="S9">
            <v>0.39444653993212997</v>
          </cell>
          <cell r="T9">
            <v>0.74210067252642919</v>
          </cell>
          <cell r="U9">
            <v>1.1322192125998027</v>
          </cell>
          <cell r="V9">
            <v>1.1205480808626735</v>
          </cell>
          <cell r="W9">
            <v>1.1246407990881466</v>
          </cell>
          <cell r="X9">
            <v>1.1471067263024362</v>
          </cell>
          <cell r="Y9">
            <v>1.1251049747283821</v>
          </cell>
          <cell r="Z9">
            <v>1.1350010193471678</v>
          </cell>
        </row>
        <row r="10">
          <cell r="B10" t="str">
            <v xml:space="preserve">  Interest Expense</v>
          </cell>
          <cell r="C10">
            <v>0</v>
          </cell>
          <cell r="D10">
            <v>0</v>
          </cell>
          <cell r="E10">
            <v>2352.14</v>
          </cell>
          <cell r="F10">
            <v>2996.8960000000002</v>
          </cell>
          <cell r="G10">
            <v>3985.7900000000004</v>
          </cell>
          <cell r="H10">
            <v>3841.9270000000001</v>
          </cell>
          <cell r="I10">
            <v>4782.1670000000004</v>
          </cell>
          <cell r="J10">
            <v>6867.6059999999998</v>
          </cell>
          <cell r="K10">
            <v>8503.8665613400481</v>
          </cell>
          <cell r="L10">
            <v>9051.3068073174618</v>
          </cell>
          <cell r="M10">
            <v>9932.789299601649</v>
          </cell>
          <cell r="O10" t="str">
            <v>ROAE (Reported, %)</v>
          </cell>
          <cell r="S10">
            <v>9.319788443136142</v>
          </cell>
          <cell r="T10">
            <v>18.493212606186336</v>
          </cell>
          <cell r="U10">
            <v>21.581550838516041</v>
          </cell>
          <cell r="V10">
            <v>17.903234941104078</v>
          </cell>
          <cell r="W10">
            <v>17.454531018625993</v>
          </cell>
          <cell r="X10">
            <v>14.580874080497095</v>
          </cell>
          <cell r="Y10">
            <v>14.129812046500506</v>
          </cell>
          <cell r="Z10">
            <v>13.97476780686093</v>
          </cell>
        </row>
        <row r="11">
          <cell r="B11" t="str">
            <v>Net Interest Income (NII)</v>
          </cell>
          <cell r="C11">
            <v>0</v>
          </cell>
          <cell r="D11">
            <v>0</v>
          </cell>
          <cell r="E11">
            <v>1741.8295122271315</v>
          </cell>
          <cell r="F11">
            <v>2648.6912263039462</v>
          </cell>
          <cell r="G11">
            <v>3995.1549999999993</v>
          </cell>
          <cell r="H11">
            <v>4042.8109999999992</v>
          </cell>
          <cell r="I11">
            <v>4480.8090000000002</v>
          </cell>
          <cell r="J11">
            <v>6453.3430000000008</v>
          </cell>
          <cell r="K11">
            <v>6829.802724146437</v>
          </cell>
          <cell r="L11">
            <v>7328.6944748950064</v>
          </cell>
          <cell r="M11">
            <v>8031.744321661623</v>
          </cell>
          <cell r="O11" t="str">
            <v>ROAE (ModelWare, %)</v>
          </cell>
          <cell r="T11">
            <v>20.174543848069664</v>
          </cell>
          <cell r="U11">
            <v>22.968598483969629</v>
          </cell>
          <cell r="V11">
            <v>19.550041310098013</v>
          </cell>
          <cell r="W11">
            <v>17.91244842551021</v>
          </cell>
          <cell r="X11">
            <v>17.570013356211028</v>
          </cell>
          <cell r="Y11">
            <v>16.819680463970368</v>
          </cell>
          <cell r="Z11">
            <v>16.381086815182027</v>
          </cell>
        </row>
        <row r="12">
          <cell r="B12" t="str">
            <v>Loan Loss Prov Exp (LLPE)</v>
          </cell>
          <cell r="C12">
            <v>0</v>
          </cell>
          <cell r="D12">
            <v>0</v>
          </cell>
          <cell r="E12">
            <v>210.54599999999999</v>
          </cell>
          <cell r="F12">
            <v>1096.3929999999998</v>
          </cell>
          <cell r="G12">
            <v>1384.81</v>
          </cell>
          <cell r="H12">
            <v>902.69299999999998</v>
          </cell>
          <cell r="I12">
            <v>584.55900000000008</v>
          </cell>
          <cell r="J12">
            <v>866.42300000000012</v>
          </cell>
          <cell r="K12">
            <v>640.41421074056257</v>
          </cell>
          <cell r="L12">
            <v>779.5551711577657</v>
          </cell>
          <cell r="M12">
            <v>974.64059532565352</v>
          </cell>
        </row>
        <row r="13">
          <cell r="B13" t="str">
            <v>NII After LLPE</v>
          </cell>
          <cell r="C13">
            <v>0</v>
          </cell>
          <cell r="D13">
            <v>0</v>
          </cell>
          <cell r="E13">
            <v>1531.2835122271315</v>
          </cell>
          <cell r="F13">
            <v>1552.2982263039464</v>
          </cell>
          <cell r="G13">
            <v>2610.3449999999993</v>
          </cell>
          <cell r="H13">
            <v>3140.1179999999995</v>
          </cell>
          <cell r="I13">
            <v>3896.25</v>
          </cell>
          <cell r="J13">
            <v>5586.920000000001</v>
          </cell>
          <cell r="K13">
            <v>6189.3885134058746</v>
          </cell>
          <cell r="L13">
            <v>6549.1393037372409</v>
          </cell>
          <cell r="M13">
            <v>7057.1037263359694</v>
          </cell>
          <cell r="O13" t="str">
            <v>MW EPS Growth (%)</v>
          </cell>
          <cell r="S13">
            <v>-43.00337837184518</v>
          </cell>
          <cell r="T13">
            <v>143.37954558801238</v>
          </cell>
          <cell r="U13">
            <v>56.245570769616073</v>
          </cell>
          <cell r="V13">
            <v>8.927047444434443</v>
          </cell>
          <cell r="W13">
            <v>9.9238632538054983</v>
          </cell>
          <cell r="X13">
            <v>18.800169290303479</v>
          </cell>
          <cell r="Y13">
            <v>6.3801906980504919</v>
          </cell>
          <cell r="Z13">
            <v>8.8686418581237056</v>
          </cell>
        </row>
        <row r="14">
          <cell r="O14" t="str">
            <v>Current P/MW EPS</v>
          </cell>
          <cell r="P14" t="e">
            <v>#DIV/0!</v>
          </cell>
          <cell r="Q14" t="e">
            <v>#DIV/0!</v>
          </cell>
          <cell r="R14">
            <v>28.023307521997893</v>
          </cell>
          <cell r="S14">
            <v>49.166611496417396</v>
          </cell>
          <cell r="T14">
            <v>20.201620221464939</v>
          </cell>
          <cell r="U14">
            <v>12.929403452499916</v>
          </cell>
          <cell r="V14">
            <v>11.869782350518062</v>
          </cell>
          <cell r="W14">
            <v>10.798185215808578</v>
          </cell>
          <cell r="X14">
            <v>9.0893685424149719</v>
          </cell>
          <cell r="Y14">
            <v>8.5442303522600689</v>
          </cell>
          <cell r="Z14">
            <v>7.8482014714529154</v>
          </cell>
        </row>
        <row r="15">
          <cell r="B15" t="str">
            <v>Non-interest Income</v>
          </cell>
        </row>
        <row r="16">
          <cell r="B16" t="str">
            <v>Fees and Commissions</v>
          </cell>
          <cell r="C16">
            <v>0</v>
          </cell>
          <cell r="D16">
            <v>0</v>
          </cell>
          <cell r="E16">
            <v>284.00548777286809</v>
          </cell>
          <cell r="F16">
            <v>560.02877369605358</v>
          </cell>
          <cell r="G16">
            <v>718.28499999999985</v>
          </cell>
          <cell r="H16">
            <v>943.00099999999998</v>
          </cell>
          <cell r="I16">
            <v>786.91399999999999</v>
          </cell>
          <cell r="J16">
            <v>590.197</v>
          </cell>
          <cell r="K16">
            <v>681.11272646689088</v>
          </cell>
          <cell r="L16">
            <v>767.98008956179763</v>
          </cell>
          <cell r="M16">
            <v>819.50997851175975</v>
          </cell>
          <cell r="O16" t="str">
            <v>Gross Dividends</v>
          </cell>
          <cell r="P16">
            <v>0</v>
          </cell>
          <cell r="Q16">
            <v>150.812285352</v>
          </cell>
          <cell r="R16">
            <v>157.49299999999999</v>
          </cell>
          <cell r="S16">
            <v>185.54912639999998</v>
          </cell>
          <cell r="T16">
            <v>266.29053524999995</v>
          </cell>
          <cell r="U16">
            <v>295.9627792</v>
          </cell>
          <cell r="V16">
            <v>335.32384230000002</v>
          </cell>
          <cell r="W16">
            <v>356.57962830000002</v>
          </cell>
          <cell r="X16">
            <v>452.01264570000001</v>
          </cell>
          <cell r="Y16">
            <v>534.1967631</v>
          </cell>
          <cell r="Z16">
            <v>616.38088049999999</v>
          </cell>
        </row>
        <row r="17">
          <cell r="B17" t="str">
            <v>Dividend Income</v>
          </cell>
          <cell r="C17">
            <v>0</v>
          </cell>
          <cell r="D17">
            <v>0</v>
          </cell>
          <cell r="E17">
            <v>16.09</v>
          </cell>
          <cell r="F17">
            <v>8.4960000000000004</v>
          </cell>
          <cell r="G17">
            <v>78.173000000000002</v>
          </cell>
          <cell r="H17">
            <v>90.212000000000003</v>
          </cell>
          <cell r="I17">
            <v>97.061000000000007</v>
          </cell>
          <cell r="J17">
            <v>106.523</v>
          </cell>
          <cell r="K17">
            <v>110.55519089680313</v>
          </cell>
          <cell r="L17">
            <v>117.63362409418171</v>
          </cell>
          <cell r="M17">
            <v>123.65242509085931</v>
          </cell>
          <cell r="O17" t="str">
            <v>Gross DPS (Won)</v>
          </cell>
          <cell r="P17">
            <v>0</v>
          </cell>
          <cell r="Q17">
            <v>574.58669542322627</v>
          </cell>
          <cell r="R17">
            <v>600.00201685832212</v>
          </cell>
          <cell r="S17">
            <v>600</v>
          </cell>
          <cell r="T17">
            <v>750</v>
          </cell>
          <cell r="U17">
            <v>800</v>
          </cell>
          <cell r="V17">
            <v>900</v>
          </cell>
          <cell r="W17">
            <v>900</v>
          </cell>
          <cell r="X17">
            <v>1100</v>
          </cell>
          <cell r="Y17">
            <v>1300</v>
          </cell>
          <cell r="Z17">
            <v>1500</v>
          </cell>
        </row>
        <row r="18">
          <cell r="B18" t="str">
            <v>Forex Income</v>
          </cell>
          <cell r="C18">
            <v>0</v>
          </cell>
          <cell r="D18">
            <v>0</v>
          </cell>
          <cell r="E18">
            <v>85.564000000000021</v>
          </cell>
          <cell r="F18">
            <v>120.42400000000001</v>
          </cell>
          <cell r="G18">
            <v>149.31499999999994</v>
          </cell>
          <cell r="H18">
            <v>53.08199999999988</v>
          </cell>
          <cell r="I18">
            <v>124.31200000000013</v>
          </cell>
          <cell r="J18">
            <v>158.28400000000011</v>
          </cell>
          <cell r="K18">
            <v>-24.557502560363901</v>
          </cell>
          <cell r="L18">
            <v>0</v>
          </cell>
          <cell r="M18">
            <v>0</v>
          </cell>
          <cell r="O18" t="str">
            <v>Dividend Yield (Current Price, %)</v>
          </cell>
          <cell r="P18">
            <v>0</v>
          </cell>
          <cell r="Q18">
            <v>0.97552919426693763</v>
          </cell>
          <cell r="R18">
            <v>1.0186791457696469</v>
          </cell>
          <cell r="S18">
            <v>1.0186757215619695</v>
          </cell>
          <cell r="T18">
            <v>1.2733446519524618</v>
          </cell>
          <cell r="U18">
            <v>1.3582342954159592</v>
          </cell>
          <cell r="V18">
            <v>1.5280135823429541</v>
          </cell>
          <cell r="W18">
            <v>1.5280135823429541</v>
          </cell>
          <cell r="X18">
            <v>1.8675721561969438</v>
          </cell>
          <cell r="Y18">
            <v>2.2071307300509337</v>
          </cell>
          <cell r="Z18">
            <v>2.5466893039049237</v>
          </cell>
        </row>
        <row r="19">
          <cell r="B19" t="str">
            <v>Other trading income</v>
          </cell>
          <cell r="C19">
            <v>0</v>
          </cell>
          <cell r="D19">
            <v>0</v>
          </cell>
          <cell r="E19">
            <v>70.039000000000172</v>
          </cell>
          <cell r="F19">
            <v>54.36600000000012</v>
          </cell>
          <cell r="G19">
            <v>258.37800000000004</v>
          </cell>
          <cell r="H19">
            <v>152.58600000000035</v>
          </cell>
          <cell r="I19">
            <v>266.34400000000062</v>
          </cell>
          <cell r="J19">
            <v>156.21800000000036</v>
          </cell>
          <cell r="K19">
            <v>251.36587948925239</v>
          </cell>
          <cell r="L19">
            <v>308.92084917054422</v>
          </cell>
          <cell r="M19">
            <v>330.7706676874318</v>
          </cell>
          <cell r="O19" t="str">
            <v>Dividend Payout Ratio (%)</v>
          </cell>
          <cell r="P19" t="e">
            <v>#DIV/0!</v>
          </cell>
          <cell r="Q19" t="e">
            <v>#DIV/0!</v>
          </cell>
          <cell r="R19">
            <v>26.154546194302881</v>
          </cell>
          <cell r="S19">
            <v>51.117151641376694</v>
          </cell>
          <cell r="T19">
            <v>27.369656976640123</v>
          </cell>
          <cell r="U19">
            <v>18.120936123595342</v>
          </cell>
          <cell r="V19">
            <v>19.339113261303069</v>
          </cell>
          <cell r="W19">
            <v>16.326040681605729</v>
          </cell>
          <cell r="X19">
            <v>20.455007142560472</v>
          </cell>
          <cell r="Y19">
            <v>22.448243362362387</v>
          </cell>
          <cell r="Z19">
            <v>23.194200838310451</v>
          </cell>
        </row>
        <row r="20">
          <cell r="B20" t="str">
            <v>Other Income</v>
          </cell>
          <cell r="C20">
            <v>0</v>
          </cell>
          <cell r="D20">
            <v>0</v>
          </cell>
          <cell r="E20">
            <v>-106.20799999999986</v>
          </cell>
          <cell r="F20">
            <v>-161.6880000000005</v>
          </cell>
          <cell r="G20">
            <v>-156.81999999999826</v>
          </cell>
          <cell r="H20">
            <v>-174.83300000000094</v>
          </cell>
          <cell r="I20">
            <v>226.38765746088018</v>
          </cell>
          <cell r="J20">
            <v>1059.8640000000009</v>
          </cell>
          <cell r="K20">
            <v>293.53675247954277</v>
          </cell>
          <cell r="L20">
            <v>242.73044249755469</v>
          </cell>
          <cell r="M20">
            <v>265.92746223075414</v>
          </cell>
        </row>
        <row r="21">
          <cell r="B21" t="str">
            <v>Total Non-interest Income</v>
          </cell>
          <cell r="C21">
            <v>0</v>
          </cell>
          <cell r="D21">
            <v>0</v>
          </cell>
          <cell r="E21">
            <v>349.49048777286839</v>
          </cell>
          <cell r="F21">
            <v>581.62677369605308</v>
          </cell>
          <cell r="G21">
            <v>1047.3310000000015</v>
          </cell>
          <cell r="H21">
            <v>1064.0479999999993</v>
          </cell>
          <cell r="I21">
            <v>1501.0186574608811</v>
          </cell>
          <cell r="J21">
            <v>2071.0860000000011</v>
          </cell>
          <cell r="K21">
            <v>1312.0130467721251</v>
          </cell>
          <cell r="L21">
            <v>1437.2650053240782</v>
          </cell>
          <cell r="M21">
            <v>1539.8605335208051</v>
          </cell>
          <cell r="O21" t="str">
            <v>Issued Shares (m)</v>
          </cell>
          <cell r="P21">
            <v>0</v>
          </cell>
          <cell r="Q21">
            <v>292.34419200000002</v>
          </cell>
          <cell r="R21">
            <v>292.36112500000002</v>
          </cell>
          <cell r="S21">
            <v>339.12190299999997</v>
          </cell>
          <cell r="T21">
            <v>364.03961399999997</v>
          </cell>
          <cell r="U21">
            <v>381.56761399999999</v>
          </cell>
          <cell r="V21">
            <v>381.56761399999999</v>
          </cell>
          <cell r="W21">
            <v>410.92058700000001</v>
          </cell>
          <cell r="X21">
            <v>410.92058700000001</v>
          </cell>
          <cell r="Y21">
            <v>410.92058700000001</v>
          </cell>
          <cell r="Z21">
            <v>410.92058700000001</v>
          </cell>
        </row>
        <row r="22">
          <cell r="O22" t="str">
            <v>Market Cap (Wonbn)</v>
          </cell>
          <cell r="P22">
            <v>0</v>
          </cell>
          <cell r="Q22">
            <v>17219.072908800001</v>
          </cell>
          <cell r="R22">
            <v>17220.070262499998</v>
          </cell>
          <cell r="S22">
            <v>19974.280086700001</v>
          </cell>
          <cell r="T22">
            <v>21441.933264599997</v>
          </cell>
          <cell r="U22">
            <v>22474.3324646</v>
          </cell>
          <cell r="V22">
            <v>22474.3324646</v>
          </cell>
          <cell r="W22">
            <v>24203.222574300002</v>
          </cell>
          <cell r="X22">
            <v>24203.222574300002</v>
          </cell>
          <cell r="Y22">
            <v>24203.222574300002</v>
          </cell>
          <cell r="Z22">
            <v>24203.222574300002</v>
          </cell>
        </row>
        <row r="23">
          <cell r="B23" t="str">
            <v>Non-interest Expense</v>
          </cell>
          <cell r="O23" t="str">
            <v>Market Cap (US$mn)</v>
          </cell>
          <cell r="P23">
            <v>0</v>
          </cell>
          <cell r="Q23">
            <v>17839.901480314962</v>
          </cell>
          <cell r="R23">
            <v>17840.934793307086</v>
          </cell>
          <cell r="S23">
            <v>20694.446836614174</v>
          </cell>
          <cell r="T23">
            <v>22215.015814960625</v>
          </cell>
          <cell r="U23">
            <v>23284.637862204723</v>
          </cell>
          <cell r="V23">
            <v>23284.637862204723</v>
          </cell>
          <cell r="W23">
            <v>25075.862592519687</v>
          </cell>
          <cell r="X23">
            <v>25075.862592519687</v>
          </cell>
          <cell r="Y23">
            <v>25075.862592519687</v>
          </cell>
          <cell r="Z23">
            <v>25075.862592519687</v>
          </cell>
        </row>
        <row r="24">
          <cell r="B24" t="str">
            <v>Salaries &amp; Benefits</v>
          </cell>
          <cell r="C24">
            <v>0</v>
          </cell>
          <cell r="D24">
            <v>0</v>
          </cell>
          <cell r="E24">
            <v>563.56799999999998</v>
          </cell>
          <cell r="F24">
            <v>739.86200000000008</v>
          </cell>
          <cell r="G24">
            <v>1249.345</v>
          </cell>
          <cell r="H24">
            <v>1458.665</v>
          </cell>
          <cell r="I24">
            <v>1705.1170000000002</v>
          </cell>
          <cell r="J24">
            <v>2079.808</v>
          </cell>
          <cell r="K24">
            <v>2208.3588068099407</v>
          </cell>
          <cell r="L24">
            <v>2412.8204672103607</v>
          </cell>
          <cell r="M24">
            <v>2571.928177527634</v>
          </cell>
        </row>
        <row r="25">
          <cell r="B25" t="str">
            <v>Net Occupancy &amp; Equipment</v>
          </cell>
          <cell r="C25">
            <v>0</v>
          </cell>
          <cell r="D25">
            <v>0</v>
          </cell>
          <cell r="E25">
            <v>30.073</v>
          </cell>
          <cell r="F25">
            <v>47.597999999999999</v>
          </cell>
          <cell r="G25">
            <v>77.260999999999996</v>
          </cell>
          <cell r="H25">
            <v>88.057999999999993</v>
          </cell>
          <cell r="I25">
            <v>117.727</v>
          </cell>
          <cell r="J25">
            <v>163.23599999999999</v>
          </cell>
          <cell r="K25">
            <v>184.0946179960942</v>
          </cell>
          <cell r="L25">
            <v>194.38932776474522</v>
          </cell>
          <cell r="M25">
            <v>204.65487740003638</v>
          </cell>
          <cell r="O25" t="str">
            <v>PERFORMANCE RATIOS</v>
          </cell>
        </row>
        <row r="26">
          <cell r="B26" t="str">
            <v>Other Expenses</v>
          </cell>
          <cell r="C26">
            <v>0</v>
          </cell>
          <cell r="D26">
            <v>0</v>
          </cell>
          <cell r="E26">
            <v>348.11599999999999</v>
          </cell>
          <cell r="F26">
            <v>560.67899999999997</v>
          </cell>
          <cell r="G26">
            <v>861.28100000000018</v>
          </cell>
          <cell r="H26">
            <v>881.26499999999976</v>
          </cell>
          <cell r="I26">
            <v>1150.1221496401095</v>
          </cell>
          <cell r="J26">
            <v>1723.6419999999998</v>
          </cell>
          <cell r="K26">
            <v>1645.2775116999671</v>
          </cell>
          <cell r="L26">
            <v>1708.8365000409808</v>
          </cell>
          <cell r="M26">
            <v>1812.9344399135971</v>
          </cell>
          <cell r="O26" t="str">
            <v>Won billions, Year ending Dec 31</v>
          </cell>
          <cell r="P26">
            <v>2000</v>
          </cell>
          <cell r="Q26">
            <v>2001</v>
          </cell>
          <cell r="R26">
            <v>2002</v>
          </cell>
          <cell r="S26">
            <v>2003</v>
          </cell>
          <cell r="T26">
            <v>2004</v>
          </cell>
          <cell r="U26">
            <v>2005</v>
          </cell>
          <cell r="V26">
            <v>2006</v>
          </cell>
          <cell r="W26">
            <v>2007</v>
          </cell>
          <cell r="X26" t="str">
            <v>2008E</v>
          </cell>
          <cell r="Y26" t="str">
            <v>2009E</v>
          </cell>
          <cell r="Z26" t="str">
            <v>2010E</v>
          </cell>
        </row>
        <row r="27">
          <cell r="B27" t="str">
            <v>Total Non-interest Expense</v>
          </cell>
          <cell r="C27">
            <v>0</v>
          </cell>
          <cell r="D27">
            <v>0</v>
          </cell>
          <cell r="E27">
            <v>941.75699999999995</v>
          </cell>
          <cell r="F27">
            <v>1348.1390000000001</v>
          </cell>
          <cell r="G27">
            <v>2187.8870000000002</v>
          </cell>
          <cell r="H27">
            <v>2427.9879999999998</v>
          </cell>
          <cell r="I27">
            <v>2972.9661496401095</v>
          </cell>
          <cell r="J27">
            <v>3966.6859999999997</v>
          </cell>
          <cell r="K27">
            <v>4037.7309365060019</v>
          </cell>
          <cell r="L27">
            <v>4316.0462950160872</v>
          </cell>
          <cell r="M27">
            <v>4589.5174948412678</v>
          </cell>
          <cell r="O27" t="str">
            <v>Growth (%)</v>
          </cell>
        </row>
        <row r="28">
          <cell r="O28" t="str">
            <v>Net Interest Income</v>
          </cell>
          <cell r="P28" t="e">
            <v>#DIV/0!</v>
          </cell>
          <cell r="Q28" t="e">
            <v>#DIV/0!</v>
          </cell>
          <cell r="R28" t="e">
            <v>#DIV/0!</v>
          </cell>
          <cell r="S28">
            <v>52.06374721009788</v>
          </cell>
          <cell r="T28">
            <v>50.83505998450957</v>
          </cell>
          <cell r="U28">
            <v>1.1928448333043296</v>
          </cell>
          <cell r="V28">
            <v>10.833996444553096</v>
          </cell>
          <cell r="W28">
            <v>44.02182730841686</v>
          </cell>
          <cell r="X28">
            <v>5.8335613672857001</v>
          </cell>
          <cell r="Y28">
            <v>7.3046290046528295</v>
          </cell>
          <cell r="Z28">
            <v>9.5931116950633832</v>
          </cell>
        </row>
        <row r="29">
          <cell r="B29" t="str">
            <v>Pre-tax Operating Profit</v>
          </cell>
          <cell r="C29">
            <v>0</v>
          </cell>
          <cell r="D29">
            <v>0</v>
          </cell>
          <cell r="E29">
            <v>939.01699999999994</v>
          </cell>
          <cell r="F29">
            <v>785.78599999999915</v>
          </cell>
          <cell r="G29">
            <v>1469.7890000000007</v>
          </cell>
          <cell r="H29">
            <v>1776.1779999999994</v>
          </cell>
          <cell r="I29">
            <v>2424.302507820772</v>
          </cell>
          <cell r="J29">
            <v>3691.3200000000024</v>
          </cell>
          <cell r="K29">
            <v>3463.6706236719974</v>
          </cell>
          <cell r="L29">
            <v>3670.3580140452323</v>
          </cell>
          <cell r="M29">
            <v>4007.4467650155075</v>
          </cell>
          <cell r="O29" t="str">
            <v>Non-interest Income</v>
          </cell>
          <cell r="P29" t="e">
            <v>#DIV/0!</v>
          </cell>
          <cell r="Q29" t="e">
            <v>#DIV/0!</v>
          </cell>
          <cell r="R29" t="e">
            <v>#DIV/0!</v>
          </cell>
          <cell r="S29">
            <v>66.421345943483459</v>
          </cell>
          <cell r="T29">
            <v>80.069255296578973</v>
          </cell>
          <cell r="U29">
            <v>1.5961525057501147</v>
          </cell>
          <cell r="V29">
            <v>41.066818175578732</v>
          </cell>
          <cell r="W29">
            <v>37.978697979906826</v>
          </cell>
          <cell r="X29">
            <v>-36.650962501213158</v>
          </cell>
          <cell r="Y29">
            <v>9.5465482496613685</v>
          </cell>
          <cell r="Z29">
            <v>7.1382471441718165</v>
          </cell>
        </row>
        <row r="30">
          <cell r="B30" t="str">
            <v>Associate Profit/Loss</v>
          </cell>
          <cell r="C30">
            <v>0</v>
          </cell>
          <cell r="D30">
            <v>0</v>
          </cell>
          <cell r="E30">
            <v>-86.700999999999993</v>
          </cell>
          <cell r="F30">
            <v>-154.80699999999999</v>
          </cell>
          <cell r="G30">
            <v>-136.00800000000001</v>
          </cell>
          <cell r="H30">
            <v>235.04500000000002</v>
          </cell>
          <cell r="I30">
            <v>89.374492179227758</v>
          </cell>
          <cell r="J30">
            <v>195.19999999999996</v>
          </cell>
          <cell r="K30">
            <v>115.26840718750049</v>
          </cell>
          <cell r="L30">
            <v>94.894787908159159</v>
          </cell>
          <cell r="M30">
            <v>94.929184250876901</v>
          </cell>
          <cell r="O30" t="str">
            <v>Non-interest Expense</v>
          </cell>
          <cell r="P30" t="e">
            <v>#DIV/0!</v>
          </cell>
          <cell r="Q30" t="e">
            <v>#DIV/0!</v>
          </cell>
          <cell r="R30" t="e">
            <v>#DIV/0!</v>
          </cell>
          <cell r="S30">
            <v>43.151471133211672</v>
          </cell>
          <cell r="T30">
            <v>62.289422678225307</v>
          </cell>
          <cell r="U30">
            <v>10.974104238473004</v>
          </cell>
          <cell r="V30">
            <v>22.445668991778778</v>
          </cell>
          <cell r="W30">
            <v>33.425198954255976</v>
          </cell>
          <cell r="X30">
            <v>1.7910400900399415</v>
          </cell>
          <cell r="Y30">
            <v>6.8928653961009667</v>
          </cell>
          <cell r="Z30">
            <v>6.3361507530854899</v>
          </cell>
        </row>
        <row r="31">
          <cell r="O31" t="str">
            <v>Recurrent Net Profit After Tax (FD)</v>
          </cell>
          <cell r="P31" t="e">
            <v>#DIV/0!</v>
          </cell>
          <cell r="Q31" t="e">
            <v>#DIV/0!</v>
          </cell>
          <cell r="R31" t="e">
            <v>#DIV/0!</v>
          </cell>
          <cell r="S31">
            <v>-28.701637719056571</v>
          </cell>
          <cell r="T31">
            <v>163.12278635744221</v>
          </cell>
          <cell r="U31">
            <v>24.921595152984001</v>
          </cell>
          <cell r="V31">
            <v>15.139496538870944</v>
          </cell>
          <cell r="W31">
            <v>79.030705112855856</v>
          </cell>
          <cell r="X31">
            <v>-24.880338826641513</v>
          </cell>
          <cell r="Y31">
            <v>6.2652160099088583</v>
          </cell>
          <cell r="Z31">
            <v>9.6678432295888239</v>
          </cell>
        </row>
        <row r="32">
          <cell r="B32" t="str">
            <v>Profit Before Tax</v>
          </cell>
          <cell r="C32">
            <v>0</v>
          </cell>
          <cell r="D32">
            <v>0</v>
          </cell>
          <cell r="E32">
            <v>852.31599999999992</v>
          </cell>
          <cell r="F32">
            <v>630.97899999999913</v>
          </cell>
          <cell r="G32">
            <v>1333.7810000000006</v>
          </cell>
          <cell r="H32">
            <v>2011.2229999999995</v>
          </cell>
          <cell r="I32">
            <v>2513.6769999999997</v>
          </cell>
          <cell r="J32">
            <v>3886.5200000000023</v>
          </cell>
          <cell r="K32">
            <v>3578.939030859498</v>
          </cell>
          <cell r="L32">
            <v>3765.2528019533916</v>
          </cell>
          <cell r="M32">
            <v>4102.3759492663839</v>
          </cell>
          <cell r="O32" t="str">
            <v>Net Profit</v>
          </cell>
          <cell r="P32" t="e">
            <v>#DIV/0!</v>
          </cell>
          <cell r="Q32" t="e">
            <v>#DIV/0!</v>
          </cell>
          <cell r="R32" t="e">
            <v>#DIV/0!</v>
          </cell>
          <cell r="S32">
            <v>-39.719311880670304</v>
          </cell>
          <cell r="T32">
            <v>168.03660485497454</v>
          </cell>
          <cell r="U32">
            <v>67.868840700506965</v>
          </cell>
          <cell r="V32">
            <v>6.1625666129573764</v>
          </cell>
          <cell r="W32">
            <v>25.96438673189747</v>
          </cell>
          <cell r="X32">
            <v>1.1754852330420285</v>
          </cell>
          <cell r="Y32">
            <v>7.688156084542408</v>
          </cell>
          <cell r="Z32">
            <v>10.556950206565352</v>
          </cell>
        </row>
        <row r="33">
          <cell r="B33" t="str">
            <v>Effective Tax</v>
          </cell>
          <cell r="C33" t="e">
            <v>#DIV/0!</v>
          </cell>
          <cell r="D33" t="e">
            <v>#DIV/0!</v>
          </cell>
          <cell r="E33">
            <v>254.57200000000012</v>
          </cell>
          <cell r="F33">
            <v>253.94699999999997</v>
          </cell>
          <cell r="G33">
            <v>212.6519999999999</v>
          </cell>
          <cell r="H33">
            <v>263.64200000000017</v>
          </cell>
          <cell r="I33">
            <v>671.16400000000021</v>
          </cell>
          <cell r="J33">
            <v>536.90699999999993</v>
          </cell>
          <cell r="K33">
            <v>1109.5656834863616</v>
          </cell>
          <cell r="L33">
            <v>1160.0239205371827</v>
          </cell>
          <cell r="M33">
            <v>1252.7327860482567</v>
          </cell>
        </row>
        <row r="34">
          <cell r="B34" t="str">
            <v xml:space="preserve">Minority Interests </v>
          </cell>
          <cell r="C34">
            <v>0</v>
          </cell>
          <cell r="D34">
            <v>0</v>
          </cell>
          <cell r="E34">
            <v>0</v>
          </cell>
          <cell r="F34">
            <v>0</v>
          </cell>
          <cell r="G34">
            <v>70.834000000000003</v>
          </cell>
          <cell r="H34">
            <v>15.513999999999999</v>
          </cell>
          <cell r="I34">
            <v>9.7949999999999999</v>
          </cell>
          <cell r="J34">
            <v>953.23599999999999</v>
          </cell>
          <cell r="K34">
            <v>8.2159999999999993</v>
          </cell>
          <cell r="L34">
            <v>8.2159999999999993</v>
          </cell>
          <cell r="M34">
            <v>8.2159999999999993</v>
          </cell>
          <cell r="O34" t="str">
            <v>Gross Customer Loans</v>
          </cell>
          <cell r="P34" t="e">
            <v>#DIV/0!</v>
          </cell>
          <cell r="Q34" t="e">
            <v>#DIV/0!</v>
          </cell>
          <cell r="R34" t="e">
            <v>#DIV/0!</v>
          </cell>
          <cell r="S34">
            <v>112.0591625455357</v>
          </cell>
          <cell r="T34">
            <v>1.4278304222505422</v>
          </cell>
          <cell r="U34">
            <v>9.3789743971032458</v>
          </cell>
          <cell r="V34">
            <v>14.628122186557135</v>
          </cell>
          <cell r="W34">
            <v>21.502643353002448</v>
          </cell>
          <cell r="X34">
            <v>11.999994187491092</v>
          </cell>
          <cell r="Y34">
            <v>10.744482349571459</v>
          </cell>
          <cell r="Z34">
            <v>9.6392354917727694</v>
          </cell>
        </row>
        <row r="35">
          <cell r="B35" t="str">
            <v>Preference Dividend</v>
          </cell>
          <cell r="C35">
            <v>0</v>
          </cell>
          <cell r="D35">
            <v>0</v>
          </cell>
          <cell r="E35">
            <v>0</v>
          </cell>
          <cell r="F35">
            <v>0</v>
          </cell>
          <cell r="G35">
            <v>77.354288769028159</v>
          </cell>
          <cell r="H35">
            <v>98.802707353298402</v>
          </cell>
          <cell r="I35">
            <v>98.802707353298402</v>
          </cell>
          <cell r="J35">
            <v>212.261235167</v>
          </cell>
          <cell r="K35">
            <v>251.36762425197904</v>
          </cell>
          <cell r="L35">
            <v>217.33107524131938</v>
          </cell>
          <cell r="M35">
            <v>210.52353369065969</v>
          </cell>
          <cell r="O35" t="str">
            <v>Total Deposits</v>
          </cell>
          <cell r="P35" t="e">
            <v>#DIV/0!</v>
          </cell>
          <cell r="Q35" t="e">
            <v>#DIV/0!</v>
          </cell>
          <cell r="R35" t="e">
            <v>#DIV/0!</v>
          </cell>
          <cell r="S35">
            <v>126.20694401396553</v>
          </cell>
          <cell r="T35">
            <v>-7.3687727405757908E-2</v>
          </cell>
          <cell r="U35">
            <v>4.5818232461681596</v>
          </cell>
          <cell r="V35">
            <v>8.9810159646481083</v>
          </cell>
          <cell r="W35">
            <v>11.087676311363271</v>
          </cell>
          <cell r="X35">
            <v>10.285917801372136</v>
          </cell>
          <cell r="Y35">
            <v>8.1412280812280144</v>
          </cell>
          <cell r="Z35">
            <v>8.198434245722396</v>
          </cell>
        </row>
        <row r="36">
          <cell r="B36" t="str">
            <v>Net Profit</v>
          </cell>
          <cell r="C36" t="e">
            <v>#DIV/0!</v>
          </cell>
          <cell r="D36" t="e">
            <v>#DIV/0!</v>
          </cell>
          <cell r="E36">
            <v>602.16299999999978</v>
          </cell>
          <cell r="F36">
            <v>362.98799999999915</v>
          </cell>
          <cell r="G36">
            <v>972.94071123097262</v>
          </cell>
          <cell r="H36">
            <v>1633.2642926467008</v>
          </cell>
          <cell r="I36">
            <v>1733.9152926467009</v>
          </cell>
          <cell r="J36">
            <v>2184.1157648330022</v>
          </cell>
          <cell r="K36">
            <v>2209.7897231211573</v>
          </cell>
          <cell r="L36">
            <v>2379.6818061748895</v>
          </cell>
          <cell r="M36">
            <v>2630.9036295274677</v>
          </cell>
          <cell r="O36" t="str">
            <v>Avg Earning Assets</v>
          </cell>
          <cell r="P36" t="e">
            <v>#DIV/0!</v>
          </cell>
          <cell r="Q36" t="e">
            <v>#DIV/0!</v>
          </cell>
          <cell r="R36" t="e">
            <v>#DIV/0!</v>
          </cell>
          <cell r="S36">
            <v>16.555617871642347</v>
          </cell>
          <cell r="T36">
            <v>94.791071885774073</v>
          </cell>
          <cell r="U36">
            <v>1.8412155463306989</v>
          </cell>
          <cell r="V36">
            <v>4.8763268490656264</v>
          </cell>
          <cell r="W36">
            <v>15.120043371432935</v>
          </cell>
          <cell r="X36">
            <v>12.753991763312555</v>
          </cell>
          <cell r="Y36">
            <v>7.4032506814446064</v>
          </cell>
          <cell r="Z36">
            <v>8.9299036667808807</v>
          </cell>
        </row>
        <row r="37">
          <cell r="B37" t="str">
            <v>EPS - Reported (Won)</v>
          </cell>
          <cell r="C37" t="e">
            <v>#DIV/0!</v>
          </cell>
          <cell r="D37" t="e">
            <v>#DIV/0!</v>
          </cell>
          <cell r="E37">
            <v>2059.6548190187723</v>
          </cell>
          <cell r="F37">
            <v>1070.37615910052</v>
          </cell>
          <cell r="G37">
            <v>2672.6231811436123</v>
          </cell>
          <cell r="H37">
            <v>4280.4059692725941</v>
          </cell>
          <cell r="I37">
            <v>4544.1888384340209</v>
          </cell>
          <cell r="J37">
            <v>5315.1772725200599</v>
          </cell>
          <cell r="K37">
            <v>5377.6563964685402</v>
          </cell>
          <cell r="L37">
            <v>5791.09901391942</v>
          </cell>
          <cell r="M37">
            <v>6402.4624532317912</v>
          </cell>
          <cell r="O37" t="str">
            <v>Total Interest-bearing Liab</v>
          </cell>
          <cell r="P37" t="e">
            <v>#DIV/0!</v>
          </cell>
          <cell r="Q37" t="e">
            <v>#DIV/0!</v>
          </cell>
          <cell r="R37" t="e">
            <v>#DIV/0!</v>
          </cell>
          <cell r="S37">
            <v>18.42290985145063</v>
          </cell>
          <cell r="T37">
            <v>87.310985986774554</v>
          </cell>
          <cell r="U37">
            <v>1.0543712250567827</v>
          </cell>
          <cell r="V37">
            <v>3.4256103458454756</v>
          </cell>
          <cell r="W37">
            <v>14.48919305119205</v>
          </cell>
          <cell r="X37">
            <v>13.378534846101765</v>
          </cell>
          <cell r="Y37">
            <v>7.8362534515066251</v>
          </cell>
          <cell r="Z37">
            <v>8.3293874291353589</v>
          </cell>
        </row>
        <row r="38">
          <cell r="B38" t="str">
            <v>EPS - ModelWare (Won)</v>
          </cell>
          <cell r="E38">
            <v>2101.8218478944482</v>
          </cell>
          <cell r="F38">
            <v>1197.9674459422904</v>
          </cell>
          <cell r="G38">
            <v>2915.6077262266645</v>
          </cell>
          <cell r="H38">
            <v>4555.5079332458772</v>
          </cell>
          <cell r="I38">
            <v>4962.1802877817117</v>
          </cell>
          <cell r="J38">
            <v>5454.6202739484606</v>
          </cell>
          <cell r="K38">
            <v>6480.0981195939867</v>
          </cell>
          <cell r="L38">
            <v>6893.5407370448675</v>
          </cell>
          <cell r="M38">
            <v>7504.9041763572377</v>
          </cell>
          <cell r="O38" t="str">
            <v>Risk-weighted Assets</v>
          </cell>
          <cell r="P38" t="e">
            <v>#DIV/0!</v>
          </cell>
          <cell r="Q38" t="e">
            <v>#DIV/0!</v>
          </cell>
          <cell r="R38" t="e">
            <v>#DIV/0!</v>
          </cell>
          <cell r="S38">
            <v>116.37673691113801</v>
          </cell>
          <cell r="T38">
            <v>2.0997881346845659</v>
          </cell>
          <cell r="U38">
            <v>11.323326356639729</v>
          </cell>
          <cell r="V38">
            <v>14.409505820219358</v>
          </cell>
          <cell r="W38">
            <v>19.319302295931418</v>
          </cell>
          <cell r="X38">
            <v>-1.2046334551493287</v>
          </cell>
          <cell r="Y38">
            <v>6.8887306472265042</v>
          </cell>
          <cell r="Z38">
            <v>8.8836818361297532</v>
          </cell>
        </row>
        <row r="40">
          <cell r="B40" t="str">
            <v>Selective Balance Sheet Data</v>
          </cell>
          <cell r="O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t="str">
            <v>2008E</v>
          </cell>
          <cell r="L41" t="str">
            <v>2009E</v>
          </cell>
          <cell r="M41" t="str">
            <v>2010E</v>
          </cell>
          <cell r="O41" t="str">
            <v>NII/Operating Income</v>
          </cell>
          <cell r="P41" t="e">
            <v>#DIV/0!</v>
          </cell>
          <cell r="Q41" t="e">
            <v>#DIV/0!</v>
          </cell>
          <cell r="R41">
            <v>83.288521710074576</v>
          </cell>
          <cell r="S41">
            <v>81.994751795456267</v>
          </cell>
          <cell r="T41">
            <v>79.229867965919951</v>
          </cell>
          <cell r="U41">
            <v>79.164335651326979</v>
          </cell>
          <cell r="V41">
            <v>74.907022679118413</v>
          </cell>
          <cell r="W41">
            <v>75.704108744409737</v>
          </cell>
          <cell r="X41">
            <v>83.885498226839601</v>
          </cell>
          <cell r="Y41">
            <v>83.60401951928533</v>
          </cell>
          <cell r="Z41">
            <v>83.912201174006199</v>
          </cell>
        </row>
        <row r="42">
          <cell r="B42" t="str">
            <v>Total Assets</v>
          </cell>
          <cell r="C42">
            <v>0</v>
          </cell>
          <cell r="D42">
            <v>0</v>
          </cell>
          <cell r="E42">
            <v>66767.594474691636</v>
          </cell>
          <cell r="F42">
            <v>139220.77600000001</v>
          </cell>
          <cell r="G42">
            <v>146831.17100000003</v>
          </cell>
          <cell r="H42">
            <v>160217.90100000001</v>
          </cell>
          <cell r="I42">
            <v>177725.16899999999</v>
          </cell>
          <cell r="J42">
            <v>220876.014</v>
          </cell>
          <cell r="K42">
            <v>243388.67246111063</v>
          </cell>
          <cell r="L42">
            <v>260155.0625328169</v>
          </cell>
          <cell r="M42">
            <v>283266.41056881676</v>
          </cell>
          <cell r="O42" t="str">
            <v>Non-interest Inc/Opg Income</v>
          </cell>
          <cell r="P42" t="e">
            <v>#DIV/0!</v>
          </cell>
          <cell r="Q42" t="e">
            <v>#DIV/0!</v>
          </cell>
          <cell r="R42">
            <v>16.711478289925427</v>
          </cell>
          <cell r="S42">
            <v>18.00524820454374</v>
          </cell>
          <cell r="T42">
            <v>20.770132034080042</v>
          </cell>
          <cell r="U42">
            <v>20.835664348673021</v>
          </cell>
          <cell r="V42">
            <v>25.092977320881587</v>
          </cell>
          <cell r="W42">
            <v>24.295891255590266</v>
          </cell>
          <cell r="X42">
            <v>16.114501773160406</v>
          </cell>
          <cell r="Y42">
            <v>16.39598048071467</v>
          </cell>
          <cell r="Z42">
            <v>16.087798825993811</v>
          </cell>
        </row>
        <row r="43">
          <cell r="B43" t="str">
            <v>RWA</v>
          </cell>
          <cell r="C43">
            <v>0</v>
          </cell>
          <cell r="D43">
            <v>0</v>
          </cell>
          <cell r="E43">
            <v>40358.226834557849</v>
          </cell>
          <cell r="F43">
            <v>87325.814299811536</v>
          </cell>
          <cell r="G43">
            <v>89159.471386995661</v>
          </cell>
          <cell r="H43">
            <v>99255.289309999993</v>
          </cell>
          <cell r="I43">
            <v>113557.486</v>
          </cell>
          <cell r="J43">
            <v>135496</v>
          </cell>
          <cell r="K43">
            <v>133863.76985361087</v>
          </cell>
          <cell r="L43">
            <v>143085.28439304931</v>
          </cell>
          <cell r="M43">
            <v>155796.52581284923</v>
          </cell>
          <cell r="O43" t="str">
            <v>Forex Income/Operating Income</v>
          </cell>
          <cell r="P43" t="e">
            <v>#DIV/0!</v>
          </cell>
          <cell r="Q43" t="e">
            <v>#DIV/0!</v>
          </cell>
          <cell r="R43">
            <v>4.0913872578084671</v>
          </cell>
          <cell r="S43">
            <v>3.7279301913929226</v>
          </cell>
          <cell r="T43">
            <v>2.9611386129778032</v>
          </cell>
          <cell r="U43">
            <v>1.0394256038790164</v>
          </cell>
          <cell r="V43">
            <v>2.0781608417780308</v>
          </cell>
          <cell r="W43">
            <v>1.8568281816881818</v>
          </cell>
          <cell r="X43">
            <v>-0.30162193853710006</v>
          </cell>
          <cell r="Y43">
            <v>0</v>
          </cell>
          <cell r="Z43">
            <v>0</v>
          </cell>
        </row>
        <row r="44">
          <cell r="B44" t="str">
            <v>Total Liquid Assets</v>
          </cell>
          <cell r="C44">
            <v>0</v>
          </cell>
          <cell r="D44">
            <v>0</v>
          </cell>
          <cell r="E44">
            <v>21689.015449180937</v>
          </cell>
          <cell r="F44">
            <v>40708.053</v>
          </cell>
          <cell r="G44">
            <v>40374.689000000006</v>
          </cell>
          <cell r="H44">
            <v>44036.509999999995</v>
          </cell>
          <cell r="I44">
            <v>46064.578000000001</v>
          </cell>
          <cell r="J44">
            <v>64514.883999999991</v>
          </cell>
          <cell r="K44">
            <v>71361.631428163935</v>
          </cell>
          <cell r="L44">
            <v>72253.458598232988</v>
          </cell>
          <cell r="M44">
            <v>79340.875471888838</v>
          </cell>
        </row>
        <row r="45">
          <cell r="B45" t="str">
            <v>Gross Customer Loans</v>
          </cell>
          <cell r="C45">
            <v>0</v>
          </cell>
          <cell r="D45">
            <v>0</v>
          </cell>
          <cell r="E45">
            <v>46048.02727117802</v>
          </cell>
          <cell r="F45">
            <v>97649.061000000002</v>
          </cell>
          <cell r="G45">
            <v>99043.323999999993</v>
          </cell>
          <cell r="H45">
            <v>108332.572</v>
          </cell>
          <cell r="I45">
            <v>124179.59299999999</v>
          </cell>
          <cell r="J45">
            <v>150881.48799999998</v>
          </cell>
          <cell r="K45">
            <v>168987.25779000006</v>
          </cell>
          <cell r="L45">
            <v>187144.06387627145</v>
          </cell>
          <cell r="M45">
            <v>205183.32090217891</v>
          </cell>
          <cell r="O45" t="str">
            <v>Efficiency (%)</v>
          </cell>
        </row>
        <row r="46">
          <cell r="B46" t="str">
            <v>Total Customer Deposits</v>
          </cell>
          <cell r="C46">
            <v>0</v>
          </cell>
          <cell r="D46">
            <v>0</v>
          </cell>
          <cell r="E46">
            <v>33851.352686086015</v>
          </cell>
          <cell r="F46">
            <v>75496.45</v>
          </cell>
          <cell r="G46">
            <v>74764.328999999998</v>
          </cell>
          <cell r="H46">
            <v>77204.725000000006</v>
          </cell>
          <cell r="I46">
            <v>82270.615999999995</v>
          </cell>
          <cell r="J46">
            <v>90349.616999999984</v>
          </cell>
          <cell r="K46">
            <v>99384.578699999984</v>
          </cell>
          <cell r="L46">
            <v>106341.49920899999</v>
          </cell>
          <cell r="M46">
            <v>113785.40415362999</v>
          </cell>
          <cell r="O46" t="str">
            <v>Cost/Income</v>
          </cell>
          <cell r="P46" t="e">
            <v>#DIV/0!</v>
          </cell>
          <cell r="Q46" t="e">
            <v>#DIV/0!</v>
          </cell>
          <cell r="R46">
            <v>45.031702465428538</v>
          </cell>
          <cell r="S46">
            <v>37.9</v>
          </cell>
          <cell r="T46">
            <v>43.389054525882663</v>
          </cell>
          <cell r="U46">
            <v>47.543666273143636</v>
          </cell>
          <cell r="V46">
            <v>49.699963286840173</v>
          </cell>
          <cell r="W46">
            <v>46.533157822066421</v>
          </cell>
          <cell r="X46">
            <v>49.592511672005863</v>
          </cell>
          <cell r="Y46">
            <v>49.236439031637161</v>
          </cell>
          <cell r="Z46">
            <v>47.949299665837437</v>
          </cell>
        </row>
        <row r="47">
          <cell r="B47" t="str">
            <v>Certificates of Deposits</v>
          </cell>
          <cell r="C47">
            <v>0</v>
          </cell>
          <cell r="D47">
            <v>0</v>
          </cell>
          <cell r="E47">
            <v>2776.6493348669974</v>
          </cell>
          <cell r="F47">
            <v>7163.7519999999931</v>
          </cell>
          <cell r="G47">
            <v>8061.3179999999993</v>
          </cell>
          <cell r="H47">
            <v>10686.451000000001</v>
          </cell>
          <cell r="I47">
            <v>13238.382000000012</v>
          </cell>
          <cell r="J47">
            <v>15842.782000000007</v>
          </cell>
          <cell r="K47">
            <v>17743.915840000009</v>
          </cell>
          <cell r="L47">
            <v>20228.064057600011</v>
          </cell>
          <cell r="M47">
            <v>23059.993025664015</v>
          </cell>
          <cell r="O47" t="str">
            <v>Expenses/Avg Assets</v>
          </cell>
          <cell r="P47" t="e">
            <v>#DIV/0!</v>
          </cell>
          <cell r="Q47" t="e">
            <v>#DIV/0!</v>
          </cell>
          <cell r="R47">
            <v>2.8210002394409295</v>
          </cell>
          <cell r="S47">
            <v>1.3089467108199069</v>
          </cell>
          <cell r="T47">
            <v>1.5297130629214</v>
          </cell>
          <cell r="U47">
            <v>1.5814983475996303</v>
          </cell>
          <cell r="V47">
            <v>1.7594479150823299</v>
          </cell>
          <cell r="W47">
            <v>1.9903031747901261</v>
          </cell>
          <cell r="X47">
            <v>1.7394090286228241</v>
          </cell>
          <cell r="Y47">
            <v>1.7142686901141315</v>
          </cell>
          <cell r="Z47">
            <v>1.689118933282532</v>
          </cell>
        </row>
        <row r="48">
          <cell r="B48" t="str">
            <v>Other Interest Bearing Liability</v>
          </cell>
          <cell r="C48">
            <v>0</v>
          </cell>
          <cell r="D48">
            <v>0</v>
          </cell>
          <cell r="E48">
            <v>19747.217395110012</v>
          </cell>
          <cell r="F48">
            <v>34957.455000000002</v>
          </cell>
          <cell r="G48">
            <v>35009.203999999998</v>
          </cell>
          <cell r="H48">
            <v>38756.544999999998</v>
          </cell>
          <cell r="I48">
            <v>46376.911000000007</v>
          </cell>
          <cell r="J48">
            <v>66791.438999999984</v>
          </cell>
          <cell r="K48">
            <v>75266.209151861054</v>
          </cell>
          <cell r="L48">
            <v>79599.477080950572</v>
          </cell>
          <cell r="M48">
            <v>88750.24193201735</v>
          </cell>
        </row>
        <row r="49">
          <cell r="B49" t="str">
            <v>EOP Shareholders' Equity</v>
          </cell>
          <cell r="C49">
            <v>0</v>
          </cell>
          <cell r="D49">
            <v>0</v>
          </cell>
          <cell r="E49">
            <v>3961.3668422400751</v>
          </cell>
          <cell r="F49">
            <v>6119.0149999999994</v>
          </cell>
          <cell r="G49">
            <v>7834.8869999999988</v>
          </cell>
          <cell r="H49">
            <v>10210.873</v>
          </cell>
          <cell r="I49">
            <v>11512.105</v>
          </cell>
          <cell r="J49">
            <v>18174.415000000001</v>
          </cell>
          <cell r="K49">
            <v>19242.199384163687</v>
          </cell>
          <cell r="L49">
            <v>20952.503752767178</v>
          </cell>
          <cell r="M49">
            <v>23011.554350099646</v>
          </cell>
          <cell r="O49" t="str">
            <v>Rev Per Employee</v>
          </cell>
          <cell r="P49">
            <v>0</v>
          </cell>
          <cell r="Q49">
            <v>0</v>
          </cell>
          <cell r="R49">
            <v>0.17988302081541371</v>
          </cell>
          <cell r="S49">
            <v>0.40897866683547501</v>
          </cell>
          <cell r="T49">
            <v>0.44308123544659733</v>
          </cell>
          <cell r="U49">
            <v>0.44566358320970406</v>
          </cell>
          <cell r="V49">
            <v>0.53764404614963879</v>
          </cell>
          <cell r="W49">
            <v>0.79589458942159585</v>
          </cell>
          <cell r="X49">
            <v>0.75067451326927548</v>
          </cell>
          <cell r="Y49">
            <v>0.77410451079292508</v>
          </cell>
          <cell r="Z49">
            <v>0.8269919522362561</v>
          </cell>
        </row>
        <row r="50">
          <cell r="O50" t="str">
            <v>Exp Per Employee</v>
          </cell>
          <cell r="P50">
            <v>0</v>
          </cell>
          <cell r="Q50">
            <v>0</v>
          </cell>
          <cell r="R50">
            <v>8.1004386719421978E-2</v>
          </cell>
          <cell r="S50">
            <v>0.17068291447743245</v>
          </cell>
          <cell r="T50">
            <v>0.19224875884187867</v>
          </cell>
          <cell r="U50">
            <v>0.21188480670215551</v>
          </cell>
          <cell r="V50">
            <v>0.26720889355025251</v>
          </cell>
          <cell r="W50">
            <v>0.37035488539283878</v>
          </cell>
          <cell r="X50">
            <v>0.37227834561183865</v>
          </cell>
          <cell r="Y50">
            <v>0.3811414954977117</v>
          </cell>
          <cell r="Z50">
            <v>0.39653684939012163</v>
          </cell>
        </row>
        <row r="51">
          <cell r="B51" t="str">
            <v>Avg Loans</v>
          </cell>
          <cell r="C51">
            <v>0</v>
          </cell>
          <cell r="D51">
            <v>0</v>
          </cell>
          <cell r="E51">
            <v>23024.01363558901</v>
          </cell>
          <cell r="F51">
            <v>71848.544135589007</v>
          </cell>
          <cell r="G51">
            <v>98346.192500000005</v>
          </cell>
          <cell r="H51">
            <v>103687.948</v>
          </cell>
          <cell r="I51">
            <v>116256.08249999999</v>
          </cell>
          <cell r="J51">
            <v>137530.5405</v>
          </cell>
          <cell r="K51">
            <v>159934.37289500004</v>
          </cell>
          <cell r="L51">
            <v>178065.66083313577</v>
          </cell>
          <cell r="M51">
            <v>196163.69238922518</v>
          </cell>
          <cell r="O51" t="str">
            <v>Rev Per Branch</v>
          </cell>
          <cell r="P51">
            <v>0</v>
          </cell>
          <cell r="Q51">
            <v>0</v>
          </cell>
          <cell r="R51">
            <v>2.8905597788527984</v>
          </cell>
          <cell r="S51">
            <v>5.7123218390804587</v>
          </cell>
          <cell r="T51">
            <v>6.1795171568627465</v>
          </cell>
          <cell r="U51">
            <v>6.1086830143540656</v>
          </cell>
          <cell r="V51">
            <v>6.7476905329507959</v>
          </cell>
          <cell r="W51">
            <v>9.316315846994538</v>
          </cell>
          <cell r="X51">
            <v>8.9274295733756155</v>
          </cell>
          <cell r="Y51">
            <v>9.6117976756788206</v>
          </cell>
          <cell r="Z51">
            <v>10.495180762261434</v>
          </cell>
        </row>
        <row r="52">
          <cell r="B52" t="str">
            <v>Avg Total Assets</v>
          </cell>
          <cell r="C52">
            <v>0</v>
          </cell>
          <cell r="D52">
            <v>0</v>
          </cell>
          <cell r="E52">
            <v>33383.797237345818</v>
          </cell>
          <cell r="F52">
            <v>102994.18523734582</v>
          </cell>
          <cell r="G52">
            <v>143025.97350000002</v>
          </cell>
          <cell r="H52">
            <v>153524.53600000002</v>
          </cell>
          <cell r="I52">
            <v>168971.535</v>
          </cell>
          <cell r="J52">
            <v>199300.59149999998</v>
          </cell>
          <cell r="K52">
            <v>232132.3432305553</v>
          </cell>
          <cell r="L52">
            <v>251771.86749696377</v>
          </cell>
          <cell r="M52">
            <v>271710.7365508168</v>
          </cell>
          <cell r="O52" t="str">
            <v>Exp Per Branch</v>
          </cell>
          <cell r="P52">
            <v>0</v>
          </cell>
          <cell r="Q52">
            <v>0</v>
          </cell>
          <cell r="R52">
            <v>1.3016682791983414</v>
          </cell>
          <cell r="S52">
            <v>2.3839770114942529</v>
          </cell>
          <cell r="T52">
            <v>2.6812340686274512</v>
          </cell>
          <cell r="U52">
            <v>2.904291866028708</v>
          </cell>
          <cell r="V52">
            <v>3.3535997175861358</v>
          </cell>
          <cell r="W52">
            <v>4.3351759562841528</v>
          </cell>
          <cell r="X52">
            <v>4.4273365531864055</v>
          </cell>
          <cell r="Y52">
            <v>4.73250690242992</v>
          </cell>
          <cell r="Z52">
            <v>5.0323656741680569</v>
          </cell>
        </row>
        <row r="53">
          <cell r="B53" t="str">
            <v>Avg Total Deposits</v>
          </cell>
          <cell r="C53">
            <v>0</v>
          </cell>
          <cell r="D53">
            <v>0</v>
          </cell>
          <cell r="E53">
            <v>0</v>
          </cell>
          <cell r="F53">
            <v>63157.468750182001</v>
          </cell>
          <cell r="G53">
            <v>87560.33249999999</v>
          </cell>
          <cell r="H53">
            <v>89533.250499999995</v>
          </cell>
          <cell r="I53">
            <v>95648.982000000004</v>
          </cell>
          <cell r="J53">
            <v>105290.0295</v>
          </cell>
          <cell r="K53">
            <v>116519.99062</v>
          </cell>
          <cell r="L53">
            <v>127194.52713829999</v>
          </cell>
          <cell r="M53">
            <v>137587.52828144701</v>
          </cell>
          <cell r="O53" t="str">
            <v>Net Profit Per Branch</v>
          </cell>
          <cell r="P53" t="e">
            <v>#DIV/0!</v>
          </cell>
          <cell r="Q53" t="e">
            <v>#DIV/0!</v>
          </cell>
          <cell r="R53">
            <v>0.83229163787145788</v>
          </cell>
          <cell r="S53">
            <v>0.64188859416445476</v>
          </cell>
          <cell r="T53">
            <v>1.1923293029791331</v>
          </cell>
          <cell r="U53">
            <v>1.9536654218261971</v>
          </cell>
          <cell r="V53">
            <v>1.955911215619516</v>
          </cell>
          <cell r="W53">
            <v>2.3870117648448113</v>
          </cell>
          <cell r="X53">
            <v>2.4230150472819707</v>
          </cell>
          <cell r="Y53">
            <v>2.609300226068958</v>
          </cell>
          <cell r="Z53">
            <v>2.8847627516748551</v>
          </cell>
        </row>
        <row r="54">
          <cell r="B54" t="str">
            <v>Avg Shareholders' Equity</v>
          </cell>
          <cell r="F54">
            <v>5040.1909211200373</v>
          </cell>
          <cell r="G54">
            <v>6976.9509999999991</v>
          </cell>
          <cell r="H54">
            <v>9022.8799999999992</v>
          </cell>
          <cell r="I54">
            <v>10861.489</v>
          </cell>
          <cell r="J54">
            <v>14843.26</v>
          </cell>
          <cell r="K54">
            <v>18708.307192081844</v>
          </cell>
          <cell r="L54">
            <v>20097.351568465434</v>
          </cell>
          <cell r="M54">
            <v>21982.029051433412</v>
          </cell>
        </row>
        <row r="55">
          <cell r="B55" t="str">
            <v>Avg Equity/Avg Assets (%)</v>
          </cell>
          <cell r="C55" t="e">
            <v>#DIV/0!</v>
          </cell>
          <cell r="D55" t="e">
            <v>#DIV/0!</v>
          </cell>
          <cell r="E55">
            <v>5.4524656969496359</v>
          </cell>
          <cell r="F55">
            <v>4.4487415305500964</v>
          </cell>
          <cell r="G55">
            <v>4.6392556104503626</v>
          </cell>
          <cell r="H55">
            <v>5.8245699566875739</v>
          </cell>
          <cell r="I55">
            <v>6.3615871750232946</v>
          </cell>
          <cell r="J55">
            <v>7.3605719830490317</v>
          </cell>
          <cell r="K55">
            <v>7.9627142581003385</v>
          </cell>
          <cell r="L55">
            <v>7.8823030411468666</v>
          </cell>
          <cell r="M55">
            <v>7.9975121069127617</v>
          </cell>
          <cell r="O55" t="str">
            <v>Net Interest Margin Analysis (%)</v>
          </cell>
        </row>
        <row r="56">
          <cell r="B56" t="str">
            <v>Avg EA/Avg Assets (%)</v>
          </cell>
          <cell r="C56" t="e">
            <v>#DIV/0!</v>
          </cell>
          <cell r="D56" t="e">
            <v>#DIV/0!</v>
          </cell>
          <cell r="E56">
            <v>148.94946685206202</v>
          </cell>
          <cell r="F56">
            <v>56.272368062759945</v>
          </cell>
          <cell r="G56">
            <v>78.933622238201366</v>
          </cell>
          <cell r="H56">
            <v>74.889809551354034</v>
          </cell>
          <cell r="I56">
            <v>71.361576966203216</v>
          </cell>
          <cell r="J56">
            <v>69.64987557500551</v>
          </cell>
          <cell r="K56">
            <v>67.425659508612895</v>
          </cell>
          <cell r="L56">
            <v>66.768417526932041</v>
          </cell>
          <cell r="M56">
            <v>67.393591979284182</v>
          </cell>
          <cell r="O56" t="str">
            <v>Int Income/Avg EA</v>
          </cell>
          <cell r="P56" t="e">
            <v>#DIV/0!</v>
          </cell>
          <cell r="Q56" t="e">
            <v>#DIV/0!</v>
          </cell>
          <cell r="R56">
            <v>6.8304571536548186</v>
          </cell>
          <cell r="S56">
            <v>5.812725779495433</v>
          </cell>
          <cell r="T56">
            <v>6.4593240724097365</v>
          </cell>
          <cell r="U56">
            <v>6.1475321376469747</v>
          </cell>
          <cell r="V56">
            <v>6.1167174392145096</v>
          </cell>
          <cell r="W56">
            <v>6.3407976741940768</v>
          </cell>
          <cell r="X56">
            <v>6.5572836374824899</v>
          </cell>
          <cell r="Y56">
            <v>6.4528461878514509</v>
          </cell>
          <cell r="Z56">
            <v>6.4544183387152829</v>
          </cell>
        </row>
        <row r="57">
          <cell r="B57" t="str">
            <v>Avg Loans/Avg EA (%)</v>
          </cell>
          <cell r="C57" t="e">
            <v>#DIV/0!</v>
          </cell>
          <cell r="D57" t="e">
            <v>#DIV/0!</v>
          </cell>
          <cell r="E57">
            <v>46.302703251711215</v>
          </cell>
          <cell r="F57">
            <v>123.96813696475542</v>
          </cell>
          <cell r="G57">
            <v>87.112525649295975</v>
          </cell>
          <cell r="H57">
            <v>90.183639962345879</v>
          </cell>
          <cell r="I57">
            <v>96.413466139272359</v>
          </cell>
          <cell r="J57">
            <v>99.076399858012905</v>
          </cell>
          <cell r="K57">
            <v>102.18354217511374</v>
          </cell>
          <cell r="L57">
            <v>105.92583382494165</v>
          </cell>
          <cell r="M57">
            <v>107.12558921349159</v>
          </cell>
          <cell r="O57" t="str">
            <v>Int Exp/Avg Int Bearing Liab.</v>
          </cell>
          <cell r="P57" t="e">
            <v>#DIV/0!</v>
          </cell>
          <cell r="Q57" t="e">
            <v>#DIV/0!</v>
          </cell>
          <cell r="R57">
            <v>4.313763861049023</v>
          </cell>
          <cell r="S57">
            <v>3.7381446179738971</v>
          </cell>
          <cell r="T57">
            <v>3.4572568134634758</v>
          </cell>
          <cell r="U57">
            <v>3.2802055377221655</v>
          </cell>
          <cell r="V57">
            <v>3.7915133097783258</v>
          </cell>
          <cell r="W57">
            <v>4.2563240606711652</v>
          </cell>
          <cell r="X57">
            <v>4.593084030785155</v>
          </cell>
          <cell r="Y57">
            <v>4.540172851023037</v>
          </cell>
          <cell r="Z57">
            <v>4.599609432165896</v>
          </cell>
        </row>
        <row r="58">
          <cell r="O58" t="str">
            <v xml:space="preserve">Net Interest Spread </v>
          </cell>
          <cell r="P58">
            <v>0</v>
          </cell>
          <cell r="Q58">
            <v>0</v>
          </cell>
          <cell r="R58">
            <v>2.5166932926057961</v>
          </cell>
          <cell r="S58">
            <v>2.0745811615215359</v>
          </cell>
          <cell r="T58">
            <v>3.0020672589462603</v>
          </cell>
          <cell r="U58">
            <v>2.8673265999248092</v>
          </cell>
          <cell r="V58">
            <v>2.3252041294361843</v>
          </cell>
          <cell r="W58">
            <v>2.0844736135229116</v>
          </cell>
          <cell r="X58">
            <v>1.9641996066973353</v>
          </cell>
          <cell r="Y58">
            <v>1.9126733368284139</v>
          </cell>
          <cell r="Z58">
            <v>1.8548089065493871</v>
          </cell>
        </row>
        <row r="59">
          <cell r="B59" t="str">
            <v>Asset Quality</v>
          </cell>
          <cell r="O59" t="str">
            <v>Contribution From Free Funds</v>
          </cell>
          <cell r="P59" t="e">
            <v>#DIV/0!</v>
          </cell>
          <cell r="Q59" t="e">
            <v>#DIV/0!</v>
          </cell>
          <cell r="R59">
            <v>2.6931252864180077E-2</v>
          </cell>
          <cell r="S59">
            <v>-3.6175865426397724E-2</v>
          </cell>
          <cell r="T59">
            <v>0.10058780529315792</v>
          </cell>
          <cell r="U59">
            <v>0.1200426759698181</v>
          </cell>
          <cell r="V59">
            <v>0.18928183604527105</v>
          </cell>
          <cell r="W59">
            <v>0.23464631890628507</v>
          </cell>
          <cell r="X59">
            <v>0.22917300948636443</v>
          </cell>
          <cell r="Y59">
            <v>0.20914229095778847</v>
          </cell>
          <cell r="Z59">
            <v>0.23606920121243324</v>
          </cell>
        </row>
        <row r="60">
          <cell r="B60" t="str">
            <v>Won billions, Year ending Dec 31</v>
          </cell>
          <cell r="C60">
            <v>2000</v>
          </cell>
          <cell r="D60">
            <v>2001</v>
          </cell>
          <cell r="E60">
            <v>2002</v>
          </cell>
          <cell r="F60">
            <v>2003</v>
          </cell>
          <cell r="G60">
            <v>2004</v>
          </cell>
          <cell r="H60">
            <v>2005</v>
          </cell>
          <cell r="I60">
            <v>2006</v>
          </cell>
          <cell r="J60">
            <v>2007</v>
          </cell>
          <cell r="K60" t="str">
            <v>2008E</v>
          </cell>
          <cell r="L60" t="str">
            <v>2009E</v>
          </cell>
          <cell r="M60" t="str">
            <v>2010E</v>
          </cell>
          <cell r="O60" t="str">
            <v>Net Interest Margin</v>
          </cell>
          <cell r="P60" t="e">
            <v>#DIV/0!</v>
          </cell>
          <cell r="Q60" t="e">
            <v>#DIV/0!</v>
          </cell>
          <cell r="R60">
            <v>2.5436245454699762</v>
          </cell>
          <cell r="S60">
            <v>2.0384052960951382</v>
          </cell>
          <cell r="T60">
            <v>3.1026550642394182</v>
          </cell>
          <cell r="U60">
            <v>2.9873692758946273</v>
          </cell>
          <cell r="V60">
            <v>2.5144859654814553</v>
          </cell>
          <cell r="W60">
            <v>2.3191199324291967</v>
          </cell>
          <cell r="X60">
            <v>2.1933726161836997</v>
          </cell>
          <cell r="Y60">
            <v>2.1218156277862024</v>
          </cell>
          <cell r="Z60">
            <v>2.0908781077618204</v>
          </cell>
        </row>
        <row r="61">
          <cell r="B61" t="str">
            <v>Non-performing Loans (NPL)</v>
          </cell>
          <cell r="C61">
            <v>0</v>
          </cell>
          <cell r="D61">
            <v>1015.9639100000001</v>
          </cell>
          <cell r="E61">
            <v>702.2805179363703</v>
          </cell>
          <cell r="F61">
            <v>3444.8</v>
          </cell>
          <cell r="G61">
            <v>1702.1000000000001</v>
          </cell>
          <cell r="H61">
            <v>1210.4462781789998</v>
          </cell>
          <cell r="I61">
            <v>1078.5999999999999</v>
          </cell>
          <cell r="J61">
            <v>1590.1569686790003</v>
          </cell>
          <cell r="K61">
            <v>2030.8519399963293</v>
          </cell>
          <cell r="L61">
            <v>2646.0640784072971</v>
          </cell>
          <cell r="M61">
            <v>3363.1542232852744</v>
          </cell>
        </row>
        <row r="62">
          <cell r="B62" t="str">
            <v>Gross NPL Ratio (%)</v>
          </cell>
          <cell r="C62">
            <v>0</v>
          </cell>
          <cell r="D62">
            <v>2.7610022100621237</v>
          </cell>
          <cell r="E62">
            <v>1.5289946470795288</v>
          </cell>
          <cell r="F62">
            <v>3.4854367065618042</v>
          </cell>
          <cell r="G62">
            <v>1.7078126332582488</v>
          </cell>
          <cell r="H62">
            <v>1.110445535649885</v>
          </cell>
          <cell r="I62">
            <v>0.84865317812196339</v>
          </cell>
          <cell r="J62">
            <v>0.99705310837549344</v>
          </cell>
          <cell r="K62">
            <v>1.1523761970019661</v>
          </cell>
          <cell r="L62">
            <v>1.3466089810653352</v>
          </cell>
          <cell r="M62">
            <v>1.5419310496906753</v>
          </cell>
          <cell r="O62" t="str">
            <v>Liquidity (%)</v>
          </cell>
        </row>
        <row r="63">
          <cell r="B63" t="str">
            <v>Loan Loss Reserve (LLR)</v>
          </cell>
          <cell r="C63">
            <v>0</v>
          </cell>
          <cell r="D63">
            <v>557</v>
          </cell>
          <cell r="E63">
            <v>2886.0508423473698</v>
          </cell>
          <cell r="F63">
            <v>2823.1096119999997</v>
          </cell>
          <cell r="G63">
            <v>1941.75</v>
          </cell>
          <cell r="H63">
            <v>1772.4233314994103</v>
          </cell>
          <cell r="I63">
            <v>1942.2000000000003</v>
          </cell>
          <cell r="J63">
            <v>3050.4851436695494</v>
          </cell>
          <cell r="K63">
            <v>3600.913511971065</v>
          </cell>
          <cell r="L63">
            <v>4691.8666988627001</v>
          </cell>
          <cell r="M63">
            <v>5959.2513421799431</v>
          </cell>
          <cell r="O63" t="str">
            <v>Avg Loans/Avg EA</v>
          </cell>
          <cell r="P63" t="e">
            <v>#DIV/0!</v>
          </cell>
          <cell r="Q63" t="e">
            <v>#DIV/0!</v>
          </cell>
          <cell r="R63">
            <v>46.302703251711215</v>
          </cell>
          <cell r="S63">
            <v>123.96813696475542</v>
          </cell>
          <cell r="T63">
            <v>87.112525649295975</v>
          </cell>
          <cell r="U63">
            <v>90.183639962345879</v>
          </cell>
          <cell r="V63">
            <v>96.413466139272359</v>
          </cell>
          <cell r="W63">
            <v>99.076399858012905</v>
          </cell>
          <cell r="X63">
            <v>102.18354217511374</v>
          </cell>
          <cell r="Y63">
            <v>105.92583382494165</v>
          </cell>
          <cell r="Z63">
            <v>107.12558921349159</v>
          </cell>
        </row>
        <row r="64">
          <cell r="B64" t="str">
            <v>LLR/NPL (%)</v>
          </cell>
          <cell r="C64" t="str">
            <v>na</v>
          </cell>
          <cell r="D64">
            <v>54.824782112585083</v>
          </cell>
          <cell r="E64">
            <v>410.95413707729517</v>
          </cell>
          <cell r="F64">
            <v>81.952787157454694</v>
          </cell>
          <cell r="G64">
            <v>114.07966629457729</v>
          </cell>
          <cell r="H64">
            <v>146.42726104010589</v>
          </cell>
          <cell r="I64">
            <v>180.06675319859079</v>
          </cell>
          <cell r="J64">
            <v>191.83547308563479</v>
          </cell>
          <cell r="K64">
            <v>177.31048931009582</v>
          </cell>
          <cell r="L64">
            <v>177.31493115188655</v>
          </cell>
          <cell r="M64">
            <v>177.19233037010977</v>
          </cell>
          <cell r="O64" t="str">
            <v>Avg Liquid Assets/AEA</v>
          </cell>
          <cell r="P64" t="e">
            <v>#DIV/0!</v>
          </cell>
          <cell r="Q64" t="e">
            <v>#DIV/0!</v>
          </cell>
          <cell r="R64">
            <v>21.808970018435136</v>
          </cell>
          <cell r="S64">
            <v>53.830237068615503</v>
          </cell>
          <cell r="T64">
            <v>35.910502799537696</v>
          </cell>
          <cell r="U64">
            <v>36.708746417693263</v>
          </cell>
          <cell r="V64">
            <v>37.361306222406036</v>
          </cell>
          <cell r="W64">
            <v>39.830480391356943</v>
          </cell>
          <cell r="X64">
            <v>43.406377858425145</v>
          </cell>
          <cell r="Y64">
            <v>42.716119687854189</v>
          </cell>
          <cell r="Z64">
            <v>41.393063519793046</v>
          </cell>
        </row>
        <row r="65">
          <cell r="B65" t="str">
            <v>LLR/Total Credit (%)</v>
          </cell>
          <cell r="C65" t="e">
            <v>#DIV/0!</v>
          </cell>
          <cell r="D65">
            <v>1.5137134457902177</v>
          </cell>
          <cell r="E65">
            <v>6.283466757863712</v>
          </cell>
          <cell r="F65">
            <v>2.8564125256363941</v>
          </cell>
          <cell r="G65">
            <v>1.9482669529576433</v>
          </cell>
          <cell r="H65">
            <v>1.6259949831942591</v>
          </cell>
          <cell r="I65">
            <v>1.5281422237608731</v>
          </cell>
          <cell r="J65">
            <v>1.9127015473671547</v>
          </cell>
          <cell r="K65">
            <v>2.0432838735972596</v>
          </cell>
          <cell r="L65">
            <v>2.3877387876611205</v>
          </cell>
          <cell r="M65">
            <v>2.7321835596472033</v>
          </cell>
          <cell r="O65" t="str">
            <v>Avg Loans/Avg Deposits</v>
          </cell>
          <cell r="P65" t="e">
            <v>#DIV/0!</v>
          </cell>
          <cell r="Q65" t="e">
            <v>#DIV/0!</v>
          </cell>
          <cell r="R65" t="e">
            <v>#DIV/0!</v>
          </cell>
          <cell r="S65">
            <v>113.7609621750111</v>
          </cell>
          <cell r="T65">
            <v>112.3182035655244</v>
          </cell>
          <cell r="U65">
            <v>115.80943104483849</v>
          </cell>
          <cell r="V65">
            <v>121.54450582652305</v>
          </cell>
          <cell r="W65">
            <v>130.62066859806512</v>
          </cell>
          <cell r="X65">
            <v>137.25917076030748</v>
          </cell>
          <cell r="Y65">
            <v>139.99475043413074</v>
          </cell>
          <cell r="Z65">
            <v>142.57374548364271</v>
          </cell>
        </row>
        <row r="66">
          <cell r="O66" t="str">
            <v>Avg Loans/Avg Depo &amp; Equity</v>
          </cell>
          <cell r="P66" t="e">
            <v>#DIV/0!</v>
          </cell>
          <cell r="Q66" t="e">
            <v>#DIV/0!</v>
          </cell>
          <cell r="R66">
            <v>122.82148869330368</v>
          </cell>
          <cell r="S66">
            <v>121.25140126636254</v>
          </cell>
          <cell r="T66">
            <v>120.2780095034925</v>
          </cell>
          <cell r="U66">
            <v>122.09114849209148</v>
          </cell>
          <cell r="V66">
            <v>128.47829745423377</v>
          </cell>
          <cell r="W66">
            <v>136.19611817336107</v>
          </cell>
          <cell r="X66">
            <v>141.09640424646136</v>
          </cell>
          <cell r="Y66">
            <v>145.11278201539329</v>
          </cell>
          <cell r="Z66">
            <v>148.84164763646658</v>
          </cell>
        </row>
        <row r="67">
          <cell r="B67" t="str">
            <v>Specific Reserve</v>
          </cell>
          <cell r="C67">
            <v>0</v>
          </cell>
          <cell r="D67">
            <v>173.31301500000001</v>
          </cell>
          <cell r="E67">
            <v>222.35739149480787</v>
          </cell>
          <cell r="F67">
            <v>462.04250000000002</v>
          </cell>
          <cell r="G67">
            <v>477.67849999999999</v>
          </cell>
          <cell r="H67">
            <v>528.22919854546501</v>
          </cell>
          <cell r="I67">
            <v>622.12099999999998</v>
          </cell>
          <cell r="J67">
            <v>780.54542193505972</v>
          </cell>
          <cell r="K67">
            <v>860.2492158058709</v>
          </cell>
          <cell r="L67">
            <v>957.20285274076321</v>
          </cell>
          <cell r="M67">
            <v>1060.269556984882</v>
          </cell>
          <cell r="O67" t="str">
            <v>Period-End Loans/Deposits</v>
          </cell>
          <cell r="P67" t="e">
            <v>#DIV/0!</v>
          </cell>
          <cell r="Q67" t="e">
            <v>#DIV/0!</v>
          </cell>
          <cell r="R67">
            <v>118.9185265911994</v>
          </cell>
          <cell r="S67">
            <v>111.48094179868266</v>
          </cell>
          <cell r="T67">
            <v>113.15608274649296</v>
          </cell>
          <cell r="U67">
            <v>118.34653378027269</v>
          </cell>
          <cell r="V67">
            <v>124.47893621143315</v>
          </cell>
          <cell r="W67">
            <v>136.1493938271513</v>
          </cell>
          <cell r="X67">
            <v>138.26544332463874</v>
          </cell>
          <cell r="Y67">
            <v>141.59386960465937</v>
          </cell>
          <cell r="Z67">
            <v>143.47937400388361</v>
          </cell>
        </row>
        <row r="68">
          <cell r="B68" t="str">
            <v>Specific Reserve/NPLs (%)</v>
          </cell>
          <cell r="C68" t="str">
            <v>na</v>
          </cell>
          <cell r="D68">
            <v>17.058973581059586</v>
          </cell>
          <cell r="E68">
            <v>31.662189939171064</v>
          </cell>
          <cell r="F68">
            <v>13.412752554575011</v>
          </cell>
          <cell r="G68">
            <v>28.064067916103635</v>
          </cell>
          <cell r="H68">
            <v>43.639210435686174</v>
          </cell>
          <cell r="I68">
            <v>57.678564806230305</v>
          </cell>
          <cell r="J68">
            <v>49.086061144233227</v>
          </cell>
          <cell r="K68">
            <v>42.35903163907782</v>
          </cell>
          <cell r="L68">
            <v>36.174590802688236</v>
          </cell>
          <cell r="M68">
            <v>31.526046282503362</v>
          </cell>
        </row>
        <row r="69">
          <cell r="B69" t="str">
            <v>General Reserve</v>
          </cell>
          <cell r="C69">
            <v>0</v>
          </cell>
          <cell r="D69">
            <v>383.68698499999999</v>
          </cell>
          <cell r="E69">
            <v>2663.6934508525619</v>
          </cell>
          <cell r="F69">
            <v>2361.0671119999997</v>
          </cell>
          <cell r="G69">
            <v>1464.0715</v>
          </cell>
          <cell r="H69">
            <v>1244.1941329539454</v>
          </cell>
          <cell r="I69">
            <v>1320.0790000000002</v>
          </cell>
          <cell r="J69">
            <v>2269.9397217344895</v>
          </cell>
          <cell r="K69">
            <v>2740.6642961651942</v>
          </cell>
          <cell r="L69">
            <v>3734.6638461219368</v>
          </cell>
          <cell r="M69">
            <v>4898.9817851950611</v>
          </cell>
          <cell r="O69" t="str">
            <v>Capital Information</v>
          </cell>
        </row>
        <row r="70">
          <cell r="B70" t="str">
            <v>General Reserve/NPLs (%)</v>
          </cell>
          <cell r="C70" t="e">
            <v>#DIV/0!</v>
          </cell>
          <cell r="D70">
            <v>37.765808531525494</v>
          </cell>
          <cell r="E70">
            <v>379.2919471381241</v>
          </cell>
          <cell r="F70">
            <v>68.5400346028797</v>
          </cell>
          <cell r="G70">
            <v>86.015598378473641</v>
          </cell>
          <cell r="H70">
            <v>102.78805060441971</v>
          </cell>
          <cell r="I70">
            <v>122.38818839236049</v>
          </cell>
          <cell r="J70">
            <v>142.74941194140155</v>
          </cell>
          <cell r="K70">
            <v>134.95145767101801</v>
          </cell>
          <cell r="L70">
            <v>141.14034034919831</v>
          </cell>
          <cell r="M70">
            <v>145.66628408760641</v>
          </cell>
          <cell r="O70" t="str">
            <v>Tier 1 Ratio (%)</v>
          </cell>
          <cell r="P70" t="e">
            <v>#DIV/0!</v>
          </cell>
          <cell r="Q70" t="e">
            <v>#DIV/0!</v>
          </cell>
          <cell r="R70">
            <v>6.8123756062686791</v>
          </cell>
          <cell r="S70">
            <v>5.4802843554934402</v>
          </cell>
          <cell r="T70">
            <v>6.3272080024969855</v>
          </cell>
          <cell r="U70">
            <v>7.4047330888788494</v>
          </cell>
          <cell r="V70">
            <v>7.8106308200588392</v>
          </cell>
          <cell r="W70">
            <v>7.6363877900454629</v>
          </cell>
          <cell r="X70">
            <v>8.376806047056176</v>
          </cell>
          <cell r="Y70">
            <v>8.3370969111653732</v>
          </cell>
          <cell r="Z70">
            <v>8.2206549611334463</v>
          </cell>
        </row>
        <row r="71">
          <cell r="B71" t="str">
            <v>Net Charge-offs (NCO)</v>
          </cell>
          <cell r="C71">
            <v>1255.2463950000001</v>
          </cell>
          <cell r="D71">
            <v>1785.11</v>
          </cell>
          <cell r="E71">
            <v>188.6</v>
          </cell>
          <cell r="F71">
            <v>565.9</v>
          </cell>
          <cell r="G71">
            <v>1817.79</v>
          </cell>
          <cell r="H71">
            <v>797.197</v>
          </cell>
          <cell r="I71">
            <v>371.4</v>
          </cell>
          <cell r="J71">
            <v>801.97596778499997</v>
          </cell>
          <cell r="K71">
            <v>415.98584243904645</v>
          </cell>
          <cell r="L71">
            <v>-7.3980157338691868</v>
          </cell>
          <cell r="M71">
            <v>11.25595200841002</v>
          </cell>
          <cell r="O71" t="str">
            <v>Tier 2 Ratio (%)</v>
          </cell>
          <cell r="P71" t="e">
            <v>#DIV/0!</v>
          </cell>
          <cell r="Q71" t="e">
            <v>#DIV/0!</v>
          </cell>
          <cell r="R71">
            <v>4.2299674289411904</v>
          </cell>
          <cell r="S71">
            <v>4.5561204744126327</v>
          </cell>
          <cell r="T71">
            <v>4.7180386173666893</v>
          </cell>
          <cell r="U71">
            <v>4.493840702100111</v>
          </cell>
          <cell r="V71">
            <v>4.3088458298557262</v>
          </cell>
          <cell r="W71">
            <v>4.5160004723386669</v>
          </cell>
          <cell r="X71">
            <v>4.7273270300430204</v>
          </cell>
          <cell r="Y71">
            <v>4.8051417324854695</v>
          </cell>
          <cell r="Z71">
            <v>4.8193828470378302</v>
          </cell>
        </row>
        <row r="72">
          <cell r="B72" t="str">
            <v>NCO/Avg Total Credit (%)</v>
          </cell>
          <cell r="C72" t="e">
            <v>#DIV/0!</v>
          </cell>
          <cell r="D72">
            <v>4.8512477723780529</v>
          </cell>
          <cell r="E72">
            <v>0.4559531752059679</v>
          </cell>
          <cell r="F72">
            <v>0.7818189808982986</v>
          </cell>
          <cell r="G72">
            <v>1.8315301391035548</v>
          </cell>
          <cell r="H72">
            <v>0.76407085603612723</v>
          </cell>
          <cell r="I72">
            <v>0.31461117143916567</v>
          </cell>
          <cell r="J72">
            <v>0.55968501273387472</v>
          </cell>
          <cell r="K72">
            <v>0.24781908015903414</v>
          </cell>
          <cell r="L72">
            <v>-3.9696378831054358E-3</v>
          </cell>
          <cell r="M72">
            <v>5.4296385876669157E-3</v>
          </cell>
          <cell r="O72" t="str">
            <v>Total CAR (%)</v>
          </cell>
          <cell r="P72" t="e">
            <v>#DIV/0!</v>
          </cell>
          <cell r="Q72" t="e">
            <v>#DIV/0!</v>
          </cell>
          <cell r="R72">
            <v>11.042343035209869</v>
          </cell>
          <cell r="S72">
            <v>10.036404829906072</v>
          </cell>
          <cell r="T72">
            <v>11.045246619863676</v>
          </cell>
          <cell r="U72">
            <v>11.898573790978961</v>
          </cell>
          <cell r="V72">
            <v>12.119476649914565</v>
          </cell>
          <cell r="W72">
            <v>12.152388262384129</v>
          </cell>
          <cell r="X72">
            <v>13.104133077099196</v>
          </cell>
          <cell r="Y72">
            <v>13.142238643650842</v>
          </cell>
          <cell r="Z72">
            <v>13.040037808171277</v>
          </cell>
        </row>
        <row r="73">
          <cell r="B73" t="str">
            <v>LLPE/Avg Loans (%)</v>
          </cell>
          <cell r="C73" t="e">
            <v>#DIV/0!</v>
          </cell>
          <cell r="D73" t="e">
            <v>#DIV/0!</v>
          </cell>
          <cell r="E73">
            <v>0.9144626272916716</v>
          </cell>
          <cell r="F73">
            <v>1.5259780322492567</v>
          </cell>
          <cell r="G73">
            <v>1.4080972173884616</v>
          </cell>
          <cell r="H73">
            <v>0.87058623245201072</v>
          </cell>
          <cell r="I73">
            <v>0.50282014276543352</v>
          </cell>
          <cell r="J73">
            <v>0.6299858902975809</v>
          </cell>
          <cell r="K73">
            <v>0.40042312302747241</v>
          </cell>
          <cell r="L73">
            <v>0.43779085058307904</v>
          </cell>
          <cell r="M73">
            <v>0.49685065745590967</v>
          </cell>
        </row>
        <row r="152">
          <cell r="O152">
            <v>3810988.7930000001</v>
          </cell>
          <cell r="P152">
            <v>0</v>
          </cell>
        </row>
        <row r="167">
          <cell r="C167">
            <v>2891795.6310000001</v>
          </cell>
          <cell r="D167">
            <v>3078048.412</v>
          </cell>
          <cell r="E167">
            <v>4094917.1359999999</v>
          </cell>
          <cell r="F167">
            <v>4859382.1409999998</v>
          </cell>
        </row>
        <row r="171">
          <cell r="A171" t="str">
            <v>Contra Account of Guarantee Issued</v>
          </cell>
        </row>
        <row r="188">
          <cell r="O188">
            <v>2791587</v>
          </cell>
          <cell r="P188">
            <v>0</v>
          </cell>
        </row>
        <row r="192">
          <cell r="O192">
            <v>2348914.6860000002</v>
          </cell>
        </row>
        <row r="203">
          <cell r="C203">
            <v>331599</v>
          </cell>
          <cell r="D203">
            <v>316714</v>
          </cell>
          <cell r="E203">
            <v>620630</v>
          </cell>
          <cell r="F203">
            <v>1055526</v>
          </cell>
        </row>
        <row r="207">
          <cell r="A207" t="str">
            <v xml:space="preserve">    Guarantee Payment</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ersons/person.xml><?xml version="1.0" encoding="utf-8"?>
<personList xmlns="http://schemas.microsoft.com/office/spreadsheetml/2018/threadedcomments" xmlns:x="http://schemas.openxmlformats.org/spreadsheetml/2006/main">
  <person displayName="Julian Maldonado" id="{EC8AA18C-D23D-4C95-9049-1901EA37F7C1}" userId="Julian Maldonado" providerId="None"/>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0-07-08T00:18:23.24" personId="{EC8AA18C-D23D-4C95-9049-1901EA37F7C1}" id="{A8970CBF-E183-4ECB-A193-00659DA7B0E9}">
    <text>could be oas, z-spread, price, etc.</text>
  </threadedComment>
  <threadedComment ref="N4" dT="2020-07-08T00:18:23.24" personId="{EC8AA18C-D23D-4C95-9049-1901EA37F7C1}" id="{768FBF38-019D-40BA-BDE1-BF592D8062A4}">
    <text>could be oas, z-spread, price, etc.</text>
  </threadedComment>
</ThreadedComments>
</file>

<file path=xl/threadedComments/threadedComment2.xml><?xml version="1.0" encoding="utf-8"?>
<ThreadedComments xmlns="http://schemas.microsoft.com/office/spreadsheetml/2018/threadedcomments" xmlns:x="http://schemas.openxmlformats.org/spreadsheetml/2006/main">
  <threadedComment ref="O4" dT="2020-07-08T00:18:23.24" personId="{EC8AA18C-D23D-4C95-9049-1901EA37F7C1}" id="{12DFF6AA-B1CF-4F8F-8C25-4114130EF7A2}">
    <text>could be oas, z-spread, price, etc.</text>
  </threadedComment>
</ThreadedComment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in.investing.com/commodities/silver-contracts" TargetMode="External"/><Relationship Id="rId1" Type="http://schemas.openxmlformats.org/officeDocument/2006/relationships/hyperlink" Target="https://in.investing.com/commodities/gold-contracts"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5" Type="http://schemas.microsoft.com/office/2017/10/relationships/threadedComment" Target="../threadedComments/threadedComment2.xm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D2466-D1B4-4485-A46C-BD80AEE0DA31}">
  <sheetPr>
    <tabColor rgb="FF0070C0"/>
  </sheetPr>
  <dimension ref="A1"/>
  <sheetViews>
    <sheetView workbookViewId="0"/>
  </sheetViews>
  <sheetFormatPr defaultRowHeight="14.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33B5F-E2A5-4465-A08E-BA7A61D7207A}">
  <sheetPr codeName="Sheet8"/>
  <dimension ref="A1:AG47"/>
  <sheetViews>
    <sheetView showGridLines="0" workbookViewId="0"/>
  </sheetViews>
  <sheetFormatPr defaultColWidth="8.73046875" defaultRowHeight="10.5"/>
  <cols>
    <col min="1" max="2" width="1.53125" style="281" customWidth="1"/>
    <col min="3" max="4" width="8.73046875" style="281"/>
    <col min="5" max="5" width="1.53125" style="281" customWidth="1"/>
    <col min="6" max="16384" width="8.73046875" style="281"/>
  </cols>
  <sheetData>
    <row r="1" spans="1:15">
      <c r="A1" s="194" t="str">
        <f ca="1">+'One Pager - 1'!$D$2</f>
        <v>Hecla Mining Co</v>
      </c>
    </row>
    <row r="3" spans="1:15" ht="10.9" thickBot="1"/>
    <row r="4" spans="1:15" ht="10.9" thickBot="1">
      <c r="B4" s="587"/>
      <c r="C4" s="812" t="s">
        <v>701</v>
      </c>
      <c r="D4" s="814"/>
      <c r="F4" s="812" t="s">
        <v>700</v>
      </c>
      <c r="G4" s="814"/>
    </row>
    <row r="5" spans="1:15" ht="13.15" thickBot="1">
      <c r="C5" s="817" t="s">
        <v>699</v>
      </c>
      <c r="D5" s="818" t="s">
        <v>698</v>
      </c>
      <c r="F5" s="819" t="s">
        <v>699</v>
      </c>
      <c r="G5" s="818" t="s">
        <v>698</v>
      </c>
      <c r="I5" s="586"/>
      <c r="J5" s="811">
        <f>YEAR(J6)</f>
        <v>2022</v>
      </c>
      <c r="K5" s="811">
        <f>YEAR(K6)</f>
        <v>2022</v>
      </c>
      <c r="L5" s="585">
        <v>2022</v>
      </c>
      <c r="M5" s="584">
        <v>2022</v>
      </c>
      <c r="N5" s="583">
        <v>2023</v>
      </c>
      <c r="O5" s="582">
        <v>2024</v>
      </c>
    </row>
    <row r="6" spans="1:15" ht="12.75">
      <c r="C6" s="836">
        <v>44682</v>
      </c>
      <c r="D6" s="837">
        <v>1824.9</v>
      </c>
      <c r="F6" s="836">
        <v>44682</v>
      </c>
      <c r="G6" s="837">
        <v>21.655000000000001</v>
      </c>
      <c r="I6" s="581"/>
      <c r="J6" s="294">
        <f>C7</f>
        <v>44742</v>
      </c>
      <c r="K6" s="294">
        <f>+EOMONTH(J6,3)</f>
        <v>44834</v>
      </c>
      <c r="L6" s="294">
        <f t="shared" ref="L6:M6" si="0">+EOMONTH(K6,3)</f>
        <v>44926</v>
      </c>
      <c r="M6" s="294">
        <f t="shared" si="0"/>
        <v>45016</v>
      </c>
      <c r="N6" s="785">
        <v>45291</v>
      </c>
      <c r="O6" s="786">
        <v>45657</v>
      </c>
    </row>
    <row r="7" spans="1:15" ht="12.75">
      <c r="C7" s="581">
        <f>+EOMONTH(C6,1)</f>
        <v>44742</v>
      </c>
      <c r="D7" s="815">
        <v>1826.1</v>
      </c>
      <c r="F7" s="581">
        <f>+EOMONTH(F6,1)</f>
        <v>44742</v>
      </c>
      <c r="G7" s="815">
        <v>21.774999999999999</v>
      </c>
      <c r="I7" s="787" t="s">
        <v>697</v>
      </c>
      <c r="J7" s="782">
        <f>+AVERAGE(G6:G7)</f>
        <v>21.715</v>
      </c>
      <c r="K7" s="782">
        <f>+AVERAGE(G8:G9)</f>
        <v>21.855</v>
      </c>
      <c r="L7" s="782">
        <f>+AVERAGE(G10)</f>
        <v>22.094999999999999</v>
      </c>
      <c r="M7" s="782">
        <f>+AVERAGE(G11:G12)</f>
        <v>21.9925</v>
      </c>
      <c r="N7" s="782">
        <f>+AVERAGE(G11:G16)</f>
        <v>22.312666666666669</v>
      </c>
      <c r="O7" s="788">
        <f>+AVERAGE(G17:G20)</f>
        <v>22.83775</v>
      </c>
    </row>
    <row r="8" spans="1:15" ht="13.15" thickBot="1">
      <c r="C8" s="581">
        <f t="shared" ref="C8:C9" si="1">+EOMONTH(C7,1)</f>
        <v>44773</v>
      </c>
      <c r="D8" s="815">
        <v>1826.8</v>
      </c>
      <c r="F8" s="581">
        <f t="shared" ref="F8" si="2">+EOMONTH(F7,1)</f>
        <v>44773</v>
      </c>
      <c r="G8" s="815">
        <v>21.795000000000002</v>
      </c>
      <c r="I8" s="580" t="s">
        <v>696</v>
      </c>
      <c r="J8" s="783">
        <f>+AVERAGE(D6:D7)</f>
        <v>1825.5</v>
      </c>
      <c r="K8" s="783">
        <f>+AVERAGE(D8:D10)</f>
        <v>1833.3999999999999</v>
      </c>
      <c r="L8" s="820">
        <f>+AVERAGE(D10:D11)</f>
        <v>1844.65</v>
      </c>
      <c r="M8" s="783">
        <f>+AVERAGE(D12:D13)</f>
        <v>1861.85</v>
      </c>
      <c r="N8" s="783">
        <f>+AVERAGE(D12:D17)</f>
        <v>1873.8500000000001</v>
      </c>
      <c r="O8" s="784">
        <f>+AVERAGE(D18:D20)</f>
        <v>1920.2</v>
      </c>
    </row>
    <row r="9" spans="1:15" ht="12.75">
      <c r="C9" s="581">
        <f t="shared" si="1"/>
        <v>44804</v>
      </c>
      <c r="D9" s="815">
        <v>1832.6</v>
      </c>
      <c r="F9" s="581">
        <f>+EOMONTH(F8,2)</f>
        <v>44834</v>
      </c>
      <c r="G9" s="815">
        <v>21.914999999999999</v>
      </c>
    </row>
    <row r="10" spans="1:15" ht="12.75">
      <c r="C10" s="581">
        <f t="shared" ref="C10:C18" si="3">+EOMONTH(C9,2)</f>
        <v>44865</v>
      </c>
      <c r="D10" s="815">
        <v>1840.8</v>
      </c>
      <c r="F10" s="581">
        <f>+EOMONTH(F9,3)</f>
        <v>44926</v>
      </c>
      <c r="G10" s="815">
        <v>22.094999999999999</v>
      </c>
    </row>
    <row r="11" spans="1:15" ht="12.75">
      <c r="C11" s="581">
        <f t="shared" si="3"/>
        <v>44926</v>
      </c>
      <c r="D11" s="815">
        <v>1848.5</v>
      </c>
      <c r="F11" s="581">
        <f>+EOMONTH(F10,1)</f>
        <v>44957</v>
      </c>
      <c r="G11" s="815">
        <v>21.93</v>
      </c>
    </row>
    <row r="12" spans="1:15" ht="12.75">
      <c r="C12" s="581">
        <f t="shared" si="3"/>
        <v>44985</v>
      </c>
      <c r="D12" s="815">
        <v>1857.6</v>
      </c>
      <c r="F12" s="581">
        <f>+EOMONTH(F11,2)</f>
        <v>45016</v>
      </c>
      <c r="G12" s="815">
        <v>22.055</v>
      </c>
    </row>
    <row r="13" spans="1:15" ht="12.75">
      <c r="C13" s="581">
        <f t="shared" si="3"/>
        <v>45046</v>
      </c>
      <c r="D13" s="815">
        <v>1866.1</v>
      </c>
      <c r="F13" s="581">
        <f>+EOMONTH(F12,2)</f>
        <v>45077</v>
      </c>
      <c r="G13" s="815">
        <v>22.167999999999999</v>
      </c>
    </row>
    <row r="14" spans="1:15" ht="12.75">
      <c r="C14" s="581">
        <f t="shared" si="3"/>
        <v>45107</v>
      </c>
      <c r="D14" s="815">
        <v>1865.3</v>
      </c>
      <c r="F14" s="581">
        <f>+EOMONTH(F13,2)</f>
        <v>45138</v>
      </c>
      <c r="G14" s="815">
        <v>22.318999999999999</v>
      </c>
    </row>
    <row r="15" spans="1:15" ht="12.75">
      <c r="C15" s="581">
        <f t="shared" si="3"/>
        <v>45169</v>
      </c>
      <c r="D15" s="815">
        <v>1874.5</v>
      </c>
      <c r="F15" s="581">
        <f>+EOMONTH(F14,2)</f>
        <v>45199</v>
      </c>
      <c r="G15" s="815">
        <v>22.734999999999999</v>
      </c>
    </row>
    <row r="16" spans="1:15" ht="12.75">
      <c r="C16" s="581">
        <f t="shared" si="3"/>
        <v>45230</v>
      </c>
      <c r="D16" s="815">
        <v>1884.2</v>
      </c>
      <c r="F16" s="581">
        <f>+EOMONTH(F15,3)</f>
        <v>45291</v>
      </c>
      <c r="G16" s="815">
        <v>22.669</v>
      </c>
    </row>
    <row r="17" spans="3:7" ht="12.75">
      <c r="C17" s="581">
        <f t="shared" si="3"/>
        <v>45291</v>
      </c>
      <c r="D17" s="815">
        <v>1895.4</v>
      </c>
      <c r="F17" s="581">
        <f>+EOMONTH(F16,1)</f>
        <v>45322</v>
      </c>
      <c r="G17" s="815">
        <v>22.696999999999999</v>
      </c>
    </row>
    <row r="18" spans="3:7" ht="12.75">
      <c r="C18" s="581">
        <f t="shared" si="3"/>
        <v>45351</v>
      </c>
      <c r="D18" s="815">
        <v>1899</v>
      </c>
      <c r="F18" s="581">
        <f>+EOMONTH(F17,2)</f>
        <v>45382</v>
      </c>
      <c r="G18" s="815">
        <v>22.725999999999999</v>
      </c>
    </row>
    <row r="19" spans="3:7" ht="12.75">
      <c r="C19" s="581">
        <f>+EOMONTH(C18,4)</f>
        <v>45473</v>
      </c>
      <c r="D19" s="815">
        <v>1916.9</v>
      </c>
      <c r="F19" s="581">
        <f>+EOMONTH(F18,4)</f>
        <v>45504</v>
      </c>
      <c r="G19" s="815">
        <v>22.867999999999999</v>
      </c>
    </row>
    <row r="20" spans="3:7" ht="12.75">
      <c r="C20" s="581">
        <f>+EOMONTH(C19,6)</f>
        <v>45657</v>
      </c>
      <c r="D20" s="815">
        <v>1944.7</v>
      </c>
      <c r="F20" s="581">
        <f>+EOMONTH(F19,5)</f>
        <v>45657</v>
      </c>
      <c r="G20" s="815">
        <v>23.06</v>
      </c>
    </row>
    <row r="21" spans="3:7" ht="12.75">
      <c r="C21" s="581">
        <f>+EOMONTH(C20,6)</f>
        <v>45838</v>
      </c>
      <c r="D21" s="815">
        <v>1965.9</v>
      </c>
      <c r="F21" s="581">
        <f>+EOMONTH(F20,7)</f>
        <v>45869</v>
      </c>
      <c r="G21" s="815">
        <v>23.222999999999999</v>
      </c>
    </row>
    <row r="22" spans="3:7" ht="13.15" thickBot="1">
      <c r="C22" s="813">
        <f t="shared" ref="C22" si="4">+EOMONTH(C21,6)</f>
        <v>46022</v>
      </c>
      <c r="D22" s="816">
        <v>1987.4</v>
      </c>
      <c r="F22" s="813">
        <f>+EOMONTH(F21,5)</f>
        <v>46022</v>
      </c>
      <c r="G22" s="816">
        <v>23.335000000000001</v>
      </c>
    </row>
    <row r="23" spans="3:7" ht="12.75">
      <c r="C23" s="291"/>
      <c r="D23" s="835"/>
      <c r="E23" s="835"/>
      <c r="F23" s="835"/>
      <c r="G23" s="835"/>
    </row>
    <row r="24" spans="3:7" ht="12.75">
      <c r="C24" s="291"/>
      <c r="D24" s="835"/>
      <c r="E24" s="835"/>
      <c r="F24" s="835"/>
      <c r="G24" s="835"/>
    </row>
    <row r="25" spans="3:7" ht="12.75">
      <c r="C25" s="291"/>
      <c r="D25" s="835"/>
      <c r="E25" s="835"/>
      <c r="F25" s="835"/>
      <c r="G25" s="835"/>
    </row>
    <row r="26" spans="3:7" ht="12.75">
      <c r="C26" s="291"/>
      <c r="D26" s="835"/>
      <c r="E26" s="835"/>
      <c r="F26" s="835"/>
      <c r="G26" s="835"/>
    </row>
    <row r="27" spans="3:7" ht="12.75">
      <c r="C27" s="291"/>
      <c r="D27" s="835"/>
    </row>
    <row r="28" spans="3:7" ht="12.75">
      <c r="C28" s="291"/>
      <c r="D28" s="835"/>
    </row>
    <row r="39" spans="33:33" ht="14.2" customHeight="1"/>
    <row r="41" spans="33:33" ht="14.2" customHeight="1"/>
    <row r="47" spans="33:33">
      <c r="AG47" s="281">
        <f>AF47</f>
        <v>0</v>
      </c>
    </row>
  </sheetData>
  <hyperlinks>
    <hyperlink ref="C4" r:id="rId1" xr:uid="{26CED7FC-3596-4B11-A9A3-EFC4F06ACA61}"/>
    <hyperlink ref="F4" r:id="rId2" xr:uid="{E954ABDF-A721-4186-AE4D-DEFCF508698C}"/>
  </hyperlinks>
  <pageMargins left="0.7" right="0.7" top="0.75" bottom="0.75" header="0.3" footer="0.3"/>
  <pageSetup orientation="portrait" horizontalDpi="90" verticalDpi="90" r:id="rId3"/>
  <ignoredErrors>
    <ignoredError sqref="J7:O7 J8:M8 O8" formulaRange="1"/>
  </ignoredErrors>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autoPageBreaks="0"/>
  </sheetPr>
  <dimension ref="A1:AL60"/>
  <sheetViews>
    <sheetView showGridLines="0" zoomScaleNormal="100" workbookViewId="0">
      <pane xSplit="4" ySplit="6" topLeftCell="U7" activePane="bottomRight" state="frozen"/>
      <selection pane="topRight" activeCell="E1" sqref="E1"/>
      <selection pane="bottomLeft" activeCell="A7" sqref="A7"/>
      <selection pane="bottomRight" activeCell="U11" sqref="U11"/>
    </sheetView>
  </sheetViews>
  <sheetFormatPr defaultColWidth="9.19921875" defaultRowHeight="10.5" outlineLevelCol="1"/>
  <cols>
    <col min="1" max="2" width="1.73046875" style="283" customWidth="1"/>
    <col min="3" max="3" width="35.73046875" style="283" customWidth="1"/>
    <col min="4" max="4" width="8.73046875" style="283" customWidth="1"/>
    <col min="5" max="9" width="9.73046875" style="283" hidden="1" customWidth="1" outlineLevel="1"/>
    <col min="10" max="11" width="9.73046875" style="283" hidden="1" customWidth="1" outlineLevel="1" collapsed="1"/>
    <col min="12" max="12" width="9.73046875" style="283" hidden="1" customWidth="1" outlineLevel="1"/>
    <col min="13" max="13" width="9.73046875" style="283" hidden="1" customWidth="1" outlineLevel="1" collapsed="1"/>
    <col min="14" max="14" width="9.73046875" style="283" hidden="1" customWidth="1" outlineLevel="1"/>
    <col min="15" max="15" width="9.73046875" style="283" hidden="1" customWidth="1" outlineLevel="1" collapsed="1"/>
    <col min="16" max="16" width="9.73046875" style="283" hidden="1" customWidth="1" outlineLevel="1"/>
    <col min="17" max="17" width="9.73046875" style="283" hidden="1" customWidth="1" outlineLevel="1" collapsed="1"/>
    <col min="18" max="18" width="9.19921875" style="283" hidden="1" customWidth="1" outlineLevel="1"/>
    <col min="19" max="20" width="9.73046875" style="283" hidden="1" customWidth="1" outlineLevel="1"/>
    <col min="21" max="21" width="9.73046875" style="283" customWidth="1" collapsed="1"/>
    <col min="22" max="25" width="9.73046875" style="283" customWidth="1"/>
    <col min="26" max="28" width="9.73046875" style="283" hidden="1" customWidth="1" outlineLevel="1"/>
    <col min="29" max="29" width="9.73046875" style="283" hidden="1" customWidth="1" outlineLevel="1" collapsed="1"/>
    <col min="30" max="30" width="9.73046875" style="283" hidden="1" customWidth="1" outlineLevel="1"/>
    <col min="31" max="31" width="9.73046875" style="283" hidden="1" customWidth="1" outlineLevel="1" collapsed="1"/>
    <col min="32" max="32" width="9.73046875" style="283" customWidth="1" collapsed="1"/>
    <col min="33" max="37" width="9.73046875" style="283" customWidth="1"/>
    <col min="38" max="38" width="8.73046875" style="283" customWidth="1"/>
    <col min="39" max="16384" width="9.19921875" style="283"/>
  </cols>
  <sheetData>
    <row r="1" spans="1:38" s="307" customFormat="1">
      <c r="A1" s="194" t="str">
        <f ca="1">+'One Pager - 1'!$D$2</f>
        <v>Hecla Mining Co</v>
      </c>
      <c r="D1" s="305"/>
    </row>
    <row r="2" spans="1:38" s="281" customFormat="1">
      <c r="A2" s="306" t="str">
        <f>+Financials!$A$2</f>
        <v>(All Values in US$ millions)</v>
      </c>
      <c r="U2" s="307" t="s">
        <v>399</v>
      </c>
      <c r="V2" s="482">
        <v>0</v>
      </c>
      <c r="W2" s="293">
        <v>0</v>
      </c>
      <c r="X2" s="293"/>
      <c r="Y2" s="293" t="s">
        <v>400</v>
      </c>
      <c r="AF2" s="281" t="s">
        <v>758</v>
      </c>
      <c r="AG2" s="790">
        <v>9.6200000000000001E-3</v>
      </c>
      <c r="AH2" s="307"/>
    </row>
    <row r="3" spans="1:38" s="281" customFormat="1">
      <c r="A3" s="306"/>
      <c r="G3" s="305"/>
      <c r="W3" s="293">
        <v>1</v>
      </c>
      <c r="X3" s="293"/>
      <c r="Y3" s="293" t="s">
        <v>401</v>
      </c>
    </row>
    <row r="4" spans="1:38" s="281" customFormat="1"/>
    <row r="5" spans="1:38" s="281" customFormat="1" ht="12.75" customHeight="1">
      <c r="B5" s="304"/>
      <c r="C5" s="304" t="s">
        <v>57</v>
      </c>
      <c r="D5" s="303"/>
      <c r="E5" s="303">
        <f>YEAR(H6)</f>
        <v>2018</v>
      </c>
      <c r="F5" s="302">
        <f>YEAR(H6)</f>
        <v>2018</v>
      </c>
      <c r="G5" s="301">
        <f>YEAR(H6)</f>
        <v>2018</v>
      </c>
      <c r="H5" s="300">
        <f>YEAR(H6)</f>
        <v>2018</v>
      </c>
      <c r="I5" s="303">
        <f>YEAR(L6)</f>
        <v>2019</v>
      </c>
      <c r="J5" s="302">
        <f>YEAR(L6)</f>
        <v>2019</v>
      </c>
      <c r="K5" s="301">
        <f>YEAR(L6)</f>
        <v>2019</v>
      </c>
      <c r="L5" s="300">
        <f>YEAR(L6)</f>
        <v>2019</v>
      </c>
      <c r="M5" s="303">
        <f>YEAR(P6)</f>
        <v>2020</v>
      </c>
      <c r="N5" s="302">
        <f>YEAR(P6)</f>
        <v>2020</v>
      </c>
      <c r="O5" s="301">
        <f>YEAR(P6)</f>
        <v>2020</v>
      </c>
      <c r="P5" s="300">
        <f>YEAR(P6)</f>
        <v>2020</v>
      </c>
      <c r="Q5" s="303">
        <f>YEAR(T6)</f>
        <v>2021</v>
      </c>
      <c r="R5" s="302">
        <f>YEAR(T6)</f>
        <v>2021</v>
      </c>
      <c r="S5" s="301">
        <f>YEAR(T6)</f>
        <v>2021</v>
      </c>
      <c r="T5" s="300">
        <f>YEAR(T6)</f>
        <v>2021</v>
      </c>
      <c r="U5" s="303">
        <f>YEAR(X6)</f>
        <v>2022</v>
      </c>
      <c r="V5" s="302">
        <f>YEAR(X6)</f>
        <v>2022</v>
      </c>
      <c r="W5" s="301">
        <f>YEAR(X6)</f>
        <v>2022</v>
      </c>
      <c r="X5" s="300">
        <f>YEAR(X6)</f>
        <v>2022</v>
      </c>
      <c r="Y5" s="324"/>
      <c r="Z5" s="299">
        <f t="shared" ref="Z5:AH5" si="0">YEAR(Z6)</f>
        <v>2016</v>
      </c>
      <c r="AA5" s="299">
        <f t="shared" si="0"/>
        <v>2017</v>
      </c>
      <c r="AB5" s="299">
        <f t="shared" si="0"/>
        <v>2018</v>
      </c>
      <c r="AC5" s="299">
        <f t="shared" si="0"/>
        <v>2019</v>
      </c>
      <c r="AD5" s="299">
        <f t="shared" si="0"/>
        <v>2020</v>
      </c>
      <c r="AE5" s="298">
        <f t="shared" si="0"/>
        <v>2021</v>
      </c>
      <c r="AF5" s="298">
        <f t="shared" si="0"/>
        <v>2022</v>
      </c>
      <c r="AG5" s="298">
        <f t="shared" si="0"/>
        <v>2023</v>
      </c>
      <c r="AH5" s="298">
        <f t="shared" si="0"/>
        <v>2024</v>
      </c>
    </row>
    <row r="6" spans="1:38" s="288" customFormat="1" ht="12.75" customHeight="1">
      <c r="B6" s="290"/>
      <c r="C6" s="290" t="s">
        <v>239</v>
      </c>
      <c r="D6" s="290"/>
      <c r="E6" s="290">
        <v>43190</v>
      </c>
      <c r="F6" s="290">
        <f t="shared" ref="F6:U6" si="1">+EOMONTH(E6,3)</f>
        <v>43281</v>
      </c>
      <c r="G6" s="290">
        <f t="shared" si="1"/>
        <v>43373</v>
      </c>
      <c r="H6" s="289">
        <f t="shared" si="1"/>
        <v>43465</v>
      </c>
      <c r="I6" s="290">
        <f t="shared" si="1"/>
        <v>43555</v>
      </c>
      <c r="J6" s="290">
        <f t="shared" si="1"/>
        <v>43646</v>
      </c>
      <c r="K6" s="290">
        <f t="shared" si="1"/>
        <v>43738</v>
      </c>
      <c r="L6" s="289">
        <f t="shared" si="1"/>
        <v>43830</v>
      </c>
      <c r="M6" s="290">
        <f t="shared" si="1"/>
        <v>43921</v>
      </c>
      <c r="N6" s="290">
        <f t="shared" si="1"/>
        <v>44012</v>
      </c>
      <c r="O6" s="290">
        <f t="shared" si="1"/>
        <v>44104</v>
      </c>
      <c r="P6" s="292">
        <f t="shared" si="1"/>
        <v>44196</v>
      </c>
      <c r="Q6" s="292">
        <f t="shared" si="1"/>
        <v>44286</v>
      </c>
      <c r="R6" s="292">
        <f t="shared" si="1"/>
        <v>44377</v>
      </c>
      <c r="S6" s="292">
        <f t="shared" si="1"/>
        <v>44469</v>
      </c>
      <c r="T6" s="292">
        <f t="shared" si="1"/>
        <v>44561</v>
      </c>
      <c r="U6" s="292">
        <f t="shared" si="1"/>
        <v>44651</v>
      </c>
      <c r="V6" s="292">
        <f t="shared" ref="V6" si="2">+EOMONTH(U6,3)</f>
        <v>44742</v>
      </c>
      <c r="W6" s="292">
        <f t="shared" ref="W6" si="3">+EOMONTH(V6,3)</f>
        <v>44834</v>
      </c>
      <c r="X6" s="292">
        <f t="shared" ref="X6" si="4">+EOMONTH(W6,3)</f>
        <v>44926</v>
      </c>
      <c r="Y6" s="293"/>
      <c r="Z6" s="289">
        <v>42735</v>
      </c>
      <c r="AA6" s="289">
        <f t="shared" ref="AA6:AH6" si="5">EOMONTH(Z6,12)</f>
        <v>43100</v>
      </c>
      <c r="AB6" s="289">
        <f t="shared" si="5"/>
        <v>43465</v>
      </c>
      <c r="AC6" s="289">
        <f t="shared" si="5"/>
        <v>43830</v>
      </c>
      <c r="AD6" s="289">
        <f t="shared" si="5"/>
        <v>44196</v>
      </c>
      <c r="AE6" s="289">
        <f t="shared" si="5"/>
        <v>44561</v>
      </c>
      <c r="AF6" s="289">
        <f t="shared" si="5"/>
        <v>44926</v>
      </c>
      <c r="AG6" s="292">
        <f t="shared" si="5"/>
        <v>45291</v>
      </c>
      <c r="AH6" s="292">
        <f t="shared" si="5"/>
        <v>45657</v>
      </c>
      <c r="AI6" s="281"/>
      <c r="AJ6" s="281"/>
      <c r="AK6" s="281"/>
      <c r="AL6" s="281"/>
    </row>
    <row r="8" spans="1:38">
      <c r="B8" s="286" t="s">
        <v>137</v>
      </c>
      <c r="C8" s="287" t="s">
        <v>263</v>
      </c>
      <c r="D8" s="287"/>
      <c r="E8" s="287"/>
      <c r="F8" s="287"/>
      <c r="G8" s="287"/>
      <c r="H8" s="287"/>
      <c r="I8" s="287"/>
      <c r="J8" s="287"/>
      <c r="K8" s="287"/>
      <c r="L8" s="287"/>
      <c r="M8" s="287"/>
      <c r="N8" s="287"/>
      <c r="O8" s="287"/>
      <c r="P8" s="287"/>
      <c r="Q8" s="287"/>
      <c r="R8" s="287"/>
      <c r="S8" s="287"/>
      <c r="T8" s="287"/>
      <c r="U8" s="287"/>
      <c r="V8" s="287"/>
      <c r="W8" s="287"/>
      <c r="X8" s="287"/>
      <c r="Z8" s="286"/>
      <c r="AA8" s="286"/>
      <c r="AB8" s="286"/>
      <c r="AC8" s="286"/>
      <c r="AD8" s="286"/>
      <c r="AE8" s="286"/>
      <c r="AF8" s="286"/>
      <c r="AG8" s="286"/>
      <c r="AH8" s="286"/>
    </row>
    <row r="9" spans="1:38">
      <c r="L9" s="305"/>
      <c r="M9" s="305"/>
      <c r="N9" s="305"/>
      <c r="AK9" s="283" t="s">
        <v>634</v>
      </c>
    </row>
    <row r="10" spans="1:38" ht="11.25" customHeight="1">
      <c r="C10" s="323" t="s">
        <v>402</v>
      </c>
      <c r="D10" s="791">
        <v>7.2499999999999995E-2</v>
      </c>
      <c r="H10" s="305"/>
      <c r="I10" s="305"/>
      <c r="J10" s="305"/>
      <c r="K10" s="305"/>
      <c r="L10" s="305"/>
      <c r="M10" s="305"/>
      <c r="N10" s="305"/>
      <c r="O10" s="305"/>
      <c r="P10" s="305"/>
      <c r="Q10" s="305">
        <v>475</v>
      </c>
      <c r="R10" s="305">
        <v>475</v>
      </c>
      <c r="S10" s="305">
        <v>475</v>
      </c>
      <c r="T10" s="305">
        <v>475</v>
      </c>
      <c r="U10" s="305">
        <v>475</v>
      </c>
      <c r="V10" s="282">
        <f t="shared" ref="V10:V11" si="6">+U10-V19</f>
        <v>475</v>
      </c>
      <c r="W10" s="282">
        <f t="shared" ref="W10:W11" si="7">+V10-W19</f>
        <v>475</v>
      </c>
      <c r="X10" s="282">
        <f t="shared" ref="X10:X11" si="8">+W10-X19</f>
        <v>475</v>
      </c>
      <c r="AC10" s="282"/>
      <c r="AD10" s="282"/>
      <c r="AE10" s="282">
        <f>+SUMIF($E$6:$X$6,AE$6,$E10:$X10)</f>
        <v>475</v>
      </c>
      <c r="AF10" s="282">
        <f>+SUMIF($E$6:$X$6,AF$6,$E10:$X10)</f>
        <v>475</v>
      </c>
      <c r="AG10" s="282">
        <f t="shared" ref="AG10:AH11" si="9">+AF10-AG19</f>
        <v>475</v>
      </c>
      <c r="AH10" s="282">
        <f t="shared" si="9"/>
        <v>475</v>
      </c>
      <c r="AJ10" s="789">
        <v>46798</v>
      </c>
      <c r="AK10" s="305" t="s">
        <v>633</v>
      </c>
    </row>
    <row r="11" spans="1:38" ht="11.25" customHeight="1">
      <c r="C11" s="323" t="s">
        <v>403</v>
      </c>
      <c r="D11" s="791">
        <v>6.515E-2</v>
      </c>
      <c r="H11" s="305"/>
      <c r="I11" s="305"/>
      <c r="J11" s="305"/>
      <c r="K11" s="305"/>
      <c r="L11" s="305"/>
      <c r="M11" s="305"/>
      <c r="N11" s="305"/>
      <c r="O11" s="305"/>
      <c r="P11" s="305"/>
      <c r="Q11" s="305">
        <v>38.359000000000002</v>
      </c>
      <c r="R11" s="305">
        <v>38.917999999999999</v>
      </c>
      <c r="S11" s="305">
        <v>37.862000000000002</v>
      </c>
      <c r="T11" s="305">
        <v>38.051000000000002</v>
      </c>
      <c r="U11" s="305">
        <v>38.604999999999997</v>
      </c>
      <c r="V11" s="282">
        <f t="shared" si="6"/>
        <v>38.604999999999997</v>
      </c>
      <c r="W11" s="282">
        <f t="shared" si="7"/>
        <v>38.604999999999997</v>
      </c>
      <c r="X11" s="282">
        <f t="shared" si="8"/>
        <v>38.604999999999997</v>
      </c>
      <c r="AC11" s="282"/>
      <c r="AD11" s="282"/>
      <c r="AE11" s="282">
        <f t="shared" ref="AE11:AF14" si="10">+SUMIF($E$6:$X$6,AE$6,$E11:$X11)</f>
        <v>38.051000000000002</v>
      </c>
      <c r="AF11" s="282">
        <f t="shared" si="10"/>
        <v>38.604999999999997</v>
      </c>
      <c r="AG11" s="282">
        <f t="shared" si="9"/>
        <v>38.604999999999997</v>
      </c>
      <c r="AH11" s="282">
        <f t="shared" si="9"/>
        <v>38.604999999999997</v>
      </c>
      <c r="AJ11" s="789">
        <v>45847</v>
      </c>
    </row>
    <row r="12" spans="1:38" ht="11.25" customHeight="1">
      <c r="C12" s="323" t="s">
        <v>262</v>
      </c>
      <c r="D12" s="791">
        <f>AG2+3.125%</f>
        <v>4.0870000000000004E-2</v>
      </c>
      <c r="H12" s="305"/>
      <c r="I12" s="305"/>
      <c r="J12" s="305"/>
      <c r="K12" s="305"/>
      <c r="L12" s="305"/>
      <c r="M12" s="305"/>
      <c r="N12" s="317"/>
      <c r="O12" s="317"/>
      <c r="P12" s="317"/>
      <c r="Q12" s="282">
        <v>0</v>
      </c>
      <c r="R12" s="282">
        <v>0</v>
      </c>
      <c r="S12" s="282">
        <f>S53</f>
        <v>0</v>
      </c>
      <c r="T12" s="282">
        <f>T53</f>
        <v>0</v>
      </c>
      <c r="U12" s="282">
        <f ca="1">U53</f>
        <v>0</v>
      </c>
      <c r="V12" s="282">
        <f t="shared" ref="V12:X12" ca="1" si="11">V53</f>
        <v>0</v>
      </c>
      <c r="W12" s="282">
        <f t="shared" ca="1" si="11"/>
        <v>0</v>
      </c>
      <c r="X12" s="282">
        <f t="shared" ca="1" si="11"/>
        <v>0</v>
      </c>
      <c r="AC12" s="282"/>
      <c r="AD12" s="282"/>
      <c r="AE12" s="282">
        <f t="shared" si="10"/>
        <v>0</v>
      </c>
      <c r="AF12" s="282">
        <f t="shared" ca="1" si="10"/>
        <v>0</v>
      </c>
      <c r="AG12" s="282">
        <f ca="1">AG53</f>
        <v>0</v>
      </c>
      <c r="AH12" s="282">
        <f ca="1">AH53</f>
        <v>0</v>
      </c>
      <c r="AJ12" s="789">
        <v>44964</v>
      </c>
    </row>
    <row r="13" spans="1:38" ht="11.25" customHeight="1">
      <c r="C13" s="323" t="s">
        <v>245</v>
      </c>
      <c r="D13" s="792">
        <f ca="1">+SUMPRODUCT(D10:D12,U10:U12)/SUM(U10:U12)</f>
        <v>7.1947538964768645E-2</v>
      </c>
      <c r="H13" s="305"/>
      <c r="I13" s="305"/>
      <c r="J13" s="305"/>
      <c r="K13" s="305"/>
      <c r="L13" s="305"/>
      <c r="M13" s="305"/>
      <c r="N13" s="305"/>
      <c r="O13" s="305"/>
      <c r="P13" s="305"/>
      <c r="Q13" s="282">
        <v>0</v>
      </c>
      <c r="R13" s="282">
        <v>0</v>
      </c>
      <c r="S13" s="282">
        <f>S58</f>
        <v>0</v>
      </c>
      <c r="T13" s="282">
        <f>T58</f>
        <v>0</v>
      </c>
      <c r="U13" s="282">
        <f>U58</f>
        <v>0</v>
      </c>
      <c r="V13" s="282">
        <f t="shared" ref="V13:X13" ca="1" si="12">V58</f>
        <v>0</v>
      </c>
      <c r="W13" s="282">
        <f t="shared" ca="1" si="12"/>
        <v>0</v>
      </c>
      <c r="X13" s="282">
        <f t="shared" ca="1" si="12"/>
        <v>0</v>
      </c>
      <c r="Y13" s="305"/>
      <c r="AC13" s="282"/>
      <c r="AD13" s="282"/>
      <c r="AE13" s="282">
        <f t="shared" si="10"/>
        <v>0</v>
      </c>
      <c r="AF13" s="282">
        <f t="shared" ca="1" si="10"/>
        <v>0</v>
      </c>
      <c r="AG13" s="282">
        <f ca="1">AG58</f>
        <v>0</v>
      </c>
      <c r="AH13" s="282">
        <f ca="1">AH58</f>
        <v>0</v>
      </c>
    </row>
    <row r="14" spans="1:38" ht="11.25" customHeight="1">
      <c r="C14" s="323" t="s">
        <v>261</v>
      </c>
      <c r="D14" s="372"/>
      <c r="H14" s="305"/>
      <c r="I14" s="305"/>
      <c r="J14" s="305"/>
      <c r="K14" s="305"/>
      <c r="L14" s="305"/>
      <c r="M14" s="305"/>
      <c r="N14" s="305"/>
      <c r="O14" s="305"/>
      <c r="P14" s="305"/>
      <c r="Q14" s="305">
        <f>-6.234+0.867</f>
        <v>-5.367</v>
      </c>
      <c r="R14" s="305">
        <f>-6.007+0.7</f>
        <v>-5.3069999999999995</v>
      </c>
      <c r="S14" s="305">
        <f>-5.15</f>
        <v>-5.15</v>
      </c>
      <c r="T14" s="305">
        <v>-4.9560000000000004</v>
      </c>
      <c r="U14" s="305">
        <v>-4.7530000000000001</v>
      </c>
      <c r="V14" s="282">
        <f>+U14-$U$14/19</f>
        <v>-4.5028421052631575</v>
      </c>
      <c r="W14" s="282">
        <f t="shared" ref="W14:X14" si="13">+V14-$U$14/19</f>
        <v>-4.252684210526315</v>
      </c>
      <c r="X14" s="282">
        <f t="shared" si="13"/>
        <v>-4.0025263157894724</v>
      </c>
      <c r="Y14" s="396"/>
      <c r="AC14" s="282"/>
      <c r="AD14" s="282"/>
      <c r="AE14" s="282">
        <f t="shared" si="10"/>
        <v>-4.9560000000000004</v>
      </c>
      <c r="AF14" s="282">
        <f t="shared" si="10"/>
        <v>-4.0025263157894724</v>
      </c>
      <c r="AG14" s="282">
        <f>+AF14-$U$14*4/19</f>
        <v>-3.0018947368421038</v>
      </c>
      <c r="AH14" s="282">
        <f>+AG14-$U$14*4/19</f>
        <v>-2.0012631578947353</v>
      </c>
    </row>
    <row r="15" spans="1:38" s="313" customFormat="1" ht="11.25" customHeight="1">
      <c r="C15" s="316" t="s">
        <v>63</v>
      </c>
      <c r="D15" s="322"/>
      <c r="H15" s="308"/>
      <c r="I15" s="308"/>
      <c r="J15" s="308"/>
      <c r="K15" s="305"/>
      <c r="L15" s="308"/>
      <c r="M15" s="308"/>
      <c r="N15" s="308"/>
      <c r="O15" s="308"/>
      <c r="P15" s="308"/>
      <c r="Q15" s="309">
        <f>SUM(Q10:Q14)</f>
        <v>507.99200000000002</v>
      </c>
      <c r="R15" s="769">
        <f>SUM(R10:R14)</f>
        <v>508.61099999999999</v>
      </c>
      <c r="S15" s="309">
        <f>SUM(S10:S14)</f>
        <v>507.71199999999999</v>
      </c>
      <c r="T15" s="309">
        <f>SUM(T10:T14)</f>
        <v>508.09500000000003</v>
      </c>
      <c r="U15" s="309">
        <f ca="1">SUM(U10:U14)</f>
        <v>508.85200000000003</v>
      </c>
      <c r="V15" s="309">
        <f t="shared" ref="V15:X15" ca="1" si="14">SUM(V10:V14)</f>
        <v>509.10215789473688</v>
      </c>
      <c r="W15" s="309">
        <f t="shared" ca="1" si="14"/>
        <v>509.35231578947372</v>
      </c>
      <c r="X15" s="309">
        <f t="shared" ca="1" si="14"/>
        <v>509.60247368421057</v>
      </c>
      <c r="Y15" s="305"/>
      <c r="Z15" s="308"/>
      <c r="AA15" s="308"/>
      <c r="AB15" s="308"/>
      <c r="AC15" s="308"/>
      <c r="AD15" s="308"/>
      <c r="AE15" s="309">
        <f>SUM(AE10:AE14)</f>
        <v>508.09500000000003</v>
      </c>
      <c r="AF15" s="309">
        <f ca="1">SUM(AF10:AF14)</f>
        <v>509.60247368421057</v>
      </c>
      <c r="AG15" s="309">
        <f ca="1">SUM(AG10:AG14)</f>
        <v>510.60310526315789</v>
      </c>
      <c r="AH15" s="309">
        <f ca="1">SUM(AH10:AH14)</f>
        <v>511.60373684210526</v>
      </c>
    </row>
    <row r="16" spans="1:38" ht="11.25" customHeight="1">
      <c r="D16" s="285"/>
      <c r="H16" s="305"/>
      <c r="I16" s="314"/>
      <c r="J16" s="319"/>
      <c r="K16" s="319"/>
      <c r="L16" s="319"/>
      <c r="M16" s="319"/>
      <c r="N16" s="319"/>
      <c r="O16" s="319"/>
      <c r="P16" s="319"/>
      <c r="Q16" s="319"/>
      <c r="R16" s="319"/>
      <c r="S16" s="319"/>
      <c r="T16" s="319"/>
      <c r="U16" s="319"/>
      <c r="V16" s="319"/>
      <c r="W16" s="319"/>
      <c r="X16" s="319"/>
      <c r="Y16" s="305"/>
      <c r="AE16" s="319"/>
      <c r="AF16" s="319"/>
      <c r="AG16" s="319"/>
      <c r="AH16" s="319"/>
    </row>
    <row r="17" spans="2:34">
      <c r="B17" s="286" t="s">
        <v>137</v>
      </c>
      <c r="C17" s="287" t="s">
        <v>260</v>
      </c>
      <c r="D17" s="287"/>
      <c r="E17" s="287"/>
      <c r="F17" s="287"/>
      <c r="G17" s="287"/>
      <c r="H17" s="287"/>
      <c r="I17" s="287"/>
      <c r="J17" s="321"/>
      <c r="K17" s="287"/>
      <c r="L17" s="287"/>
      <c r="M17" s="287"/>
      <c r="N17" s="287"/>
      <c r="O17" s="287"/>
      <c r="P17" s="287"/>
      <c r="Q17" s="287"/>
      <c r="R17" s="287"/>
      <c r="S17" s="287"/>
      <c r="T17" s="287"/>
      <c r="U17" s="287"/>
      <c r="V17" s="287"/>
      <c r="W17" s="287"/>
      <c r="X17" s="287"/>
      <c r="Y17" s="305"/>
      <c r="Z17" s="286"/>
      <c r="AA17" s="286"/>
      <c r="AB17" s="286"/>
      <c r="AC17" s="286"/>
      <c r="AD17" s="286"/>
      <c r="AE17" s="286"/>
      <c r="AF17" s="286"/>
      <c r="AG17" s="286"/>
      <c r="AH17" s="286"/>
    </row>
    <row r="18" spans="2:34" ht="11.25" customHeight="1">
      <c r="C18" s="320"/>
      <c r="H18" s="313"/>
      <c r="I18" s="313"/>
      <c r="J18" s="313"/>
      <c r="K18" s="313"/>
      <c r="L18" s="313"/>
      <c r="M18" s="313"/>
      <c r="N18" s="313"/>
      <c r="O18" s="313"/>
      <c r="P18" s="313"/>
      <c r="Q18" s="313"/>
      <c r="R18" s="313"/>
      <c r="S18" s="313"/>
      <c r="T18" s="313"/>
      <c r="U18" s="313"/>
      <c r="V18" s="313"/>
      <c r="W18" s="313"/>
      <c r="X18" s="313"/>
      <c r="Y18" s="305"/>
      <c r="Z18" s="313"/>
      <c r="AA18" s="313"/>
      <c r="AB18" s="313"/>
      <c r="AC18" s="313"/>
      <c r="AD18" s="313"/>
      <c r="AE18" s="313"/>
      <c r="AF18" s="313"/>
      <c r="AG18" s="313"/>
      <c r="AH18" s="313"/>
    </row>
    <row r="19" spans="2:34" ht="11.25" customHeight="1">
      <c r="C19" s="323" t="str">
        <f>+C10</f>
        <v>Senior notes</v>
      </c>
      <c r="H19" s="313"/>
      <c r="I19" s="305"/>
      <c r="J19" s="305"/>
      <c r="K19" s="305"/>
      <c r="L19" s="282"/>
      <c r="M19" s="313"/>
      <c r="N19" s="282"/>
      <c r="O19" s="282"/>
      <c r="P19" s="282"/>
      <c r="Q19" s="282"/>
      <c r="R19" s="282"/>
      <c r="S19" s="282"/>
      <c r="T19" s="282"/>
      <c r="U19" s="282"/>
      <c r="V19" s="282">
        <f t="shared" ref="V19:X20" si="15">$AF19/4</f>
        <v>0</v>
      </c>
      <c r="W19" s="282">
        <f t="shared" si="15"/>
        <v>0</v>
      </c>
      <c r="X19" s="282">
        <f t="shared" si="15"/>
        <v>0</v>
      </c>
      <c r="Y19" s="305"/>
      <c r="Z19" s="305"/>
      <c r="AA19" s="305"/>
      <c r="AB19" s="305"/>
      <c r="AC19" s="305"/>
      <c r="AD19" s="305"/>
      <c r="AE19" s="305"/>
      <c r="AF19" s="305">
        <v>0</v>
      </c>
      <c r="AG19" s="305">
        <v>0</v>
      </c>
      <c r="AH19" s="305">
        <v>0</v>
      </c>
    </row>
    <row r="20" spans="2:34" ht="11.25" customHeight="1">
      <c r="C20" s="323" t="str">
        <f>+C11</f>
        <v>IQ notes</v>
      </c>
      <c r="H20" s="313"/>
      <c r="I20" s="305"/>
      <c r="J20" s="305"/>
      <c r="K20" s="305"/>
      <c r="L20" s="282"/>
      <c r="M20" s="313"/>
      <c r="N20" s="282"/>
      <c r="O20" s="282"/>
      <c r="P20" s="282"/>
      <c r="Q20" s="282"/>
      <c r="R20" s="282"/>
      <c r="S20" s="282"/>
      <c r="T20" s="282"/>
      <c r="U20" s="282"/>
      <c r="V20" s="282">
        <f t="shared" si="15"/>
        <v>0</v>
      </c>
      <c r="W20" s="282">
        <f t="shared" si="15"/>
        <v>0</v>
      </c>
      <c r="X20" s="282">
        <f t="shared" si="15"/>
        <v>0</v>
      </c>
      <c r="Y20" s="305"/>
      <c r="Z20" s="305"/>
      <c r="AA20" s="305"/>
      <c r="AB20" s="305"/>
      <c r="AC20" s="305"/>
      <c r="AD20" s="305"/>
      <c r="AE20" s="305"/>
      <c r="AF20" s="305">
        <v>0</v>
      </c>
      <c r="AG20" s="305">
        <v>0</v>
      </c>
      <c r="AH20" s="305">
        <v>0</v>
      </c>
    </row>
    <row r="21" spans="2:34" s="313" customFormat="1" ht="11.25" customHeight="1">
      <c r="C21" s="320" t="s">
        <v>259</v>
      </c>
      <c r="I21" s="308"/>
      <c r="J21" s="308"/>
      <c r="K21" s="308"/>
      <c r="L21" s="308"/>
      <c r="N21" s="308"/>
      <c r="O21" s="308"/>
      <c r="P21" s="308"/>
      <c r="Q21" s="308"/>
      <c r="R21" s="308"/>
      <c r="S21" s="308"/>
      <c r="T21" s="308"/>
      <c r="U21" s="308"/>
      <c r="V21" s="309">
        <f t="shared" ref="V21:X21" si="16">SUM(V19:V20)</f>
        <v>0</v>
      </c>
      <c r="W21" s="309">
        <f t="shared" si="16"/>
        <v>0</v>
      </c>
      <c r="X21" s="309">
        <f t="shared" si="16"/>
        <v>0</v>
      </c>
      <c r="Y21" s="305"/>
      <c r="Z21" s="305"/>
      <c r="AA21" s="305"/>
      <c r="AB21" s="305"/>
      <c r="AC21" s="305"/>
      <c r="AD21" s="305"/>
      <c r="AE21" s="305"/>
      <c r="AF21" s="309">
        <f>SUM(AF19:AF20)</f>
        <v>0</v>
      </c>
      <c r="AG21" s="309">
        <f>SUM(AG19:AG20)</f>
        <v>0</v>
      </c>
      <c r="AH21" s="309">
        <f>SUM(AH19:AH20)</f>
        <v>0</v>
      </c>
    </row>
    <row r="22" spans="2:34" ht="11.25" customHeight="1">
      <c r="C22" s="320"/>
      <c r="H22" s="313"/>
      <c r="I22" s="313"/>
      <c r="J22" s="313"/>
      <c r="K22" s="313"/>
      <c r="L22" s="313"/>
      <c r="M22" s="313"/>
      <c r="N22" s="313"/>
      <c r="O22" s="313"/>
      <c r="P22" s="313"/>
      <c r="Q22" s="313"/>
      <c r="R22" s="313"/>
      <c r="S22" s="313"/>
      <c r="T22" s="313"/>
      <c r="U22" s="313"/>
      <c r="V22" s="313"/>
      <c r="W22" s="313"/>
      <c r="X22" s="313"/>
      <c r="Y22" s="305"/>
      <c r="Z22" s="305"/>
      <c r="AA22" s="305"/>
      <c r="AB22" s="305"/>
      <c r="AC22" s="305"/>
      <c r="AD22" s="305"/>
      <c r="AE22" s="305"/>
      <c r="AF22" s="313"/>
      <c r="AG22" s="313"/>
      <c r="AH22" s="313"/>
    </row>
    <row r="23" spans="2:34" ht="11.25" customHeight="1">
      <c r="B23" s="286" t="s">
        <v>137</v>
      </c>
      <c r="C23" s="287" t="s">
        <v>258</v>
      </c>
      <c r="D23" s="287"/>
      <c r="E23" s="287"/>
      <c r="F23" s="287"/>
      <c r="G23" s="287"/>
      <c r="H23" s="287"/>
      <c r="I23" s="287"/>
      <c r="J23" s="287"/>
      <c r="K23" s="287"/>
      <c r="L23" s="287"/>
      <c r="M23" s="287"/>
      <c r="N23" s="287"/>
      <c r="O23" s="287"/>
      <c r="P23" s="287"/>
      <c r="Q23" s="287"/>
      <c r="R23" s="287"/>
      <c r="S23" s="287"/>
      <c r="T23" s="287"/>
      <c r="U23" s="287"/>
      <c r="V23" s="287"/>
      <c r="W23" s="287"/>
      <c r="X23" s="287"/>
      <c r="Y23" s="305"/>
      <c r="Z23" s="305"/>
      <c r="AA23" s="305"/>
      <c r="AB23" s="305"/>
      <c r="AC23" s="305"/>
      <c r="AD23" s="305"/>
      <c r="AE23" s="286"/>
      <c r="AF23" s="286"/>
      <c r="AG23" s="286"/>
      <c r="AH23" s="286"/>
    </row>
    <row r="24" spans="2:34" ht="11.25" customHeight="1">
      <c r="Y24" s="305"/>
      <c r="Z24" s="305"/>
      <c r="AA24" s="305"/>
      <c r="AB24" s="305"/>
      <c r="AC24" s="305"/>
      <c r="AD24" s="305"/>
      <c r="AE24" s="305"/>
    </row>
    <row r="25" spans="2:34" s="313" customFormat="1" ht="11.25" customHeight="1">
      <c r="C25" s="323" t="str">
        <f>+$C10</f>
        <v>Senior notes</v>
      </c>
      <c r="I25" s="283"/>
      <c r="J25" s="283"/>
      <c r="K25" s="283"/>
      <c r="L25" s="283"/>
      <c r="M25" s="283"/>
      <c r="N25" s="283"/>
      <c r="O25" s="283"/>
      <c r="P25" s="283"/>
      <c r="Q25" s="283"/>
      <c r="R25" s="283"/>
      <c r="S25" s="283"/>
      <c r="T25" s="283"/>
      <c r="U25" s="283"/>
      <c r="V25" s="283">
        <f t="shared" ref="V25:V28" si="17">+AVERAGE(U10:V10)</f>
        <v>475</v>
      </c>
      <c r="W25" s="283">
        <f t="shared" ref="W25:W28" si="18">+AVERAGE(V10:W10)</f>
        <v>475</v>
      </c>
      <c r="X25" s="283">
        <f t="shared" ref="X25:X28" si="19">+AVERAGE(W10:X10)</f>
        <v>475</v>
      </c>
      <c r="Y25" s="305"/>
      <c r="Z25" s="305"/>
      <c r="AA25" s="305"/>
      <c r="AB25" s="305"/>
      <c r="AC25" s="305"/>
      <c r="AD25" s="305"/>
      <c r="AE25" s="305"/>
      <c r="AF25" s="283">
        <f t="shared" ref="AF25:AH28" si="20">+AVERAGE(AE10:AF10)</f>
        <v>475</v>
      </c>
      <c r="AG25" s="283">
        <f t="shared" si="20"/>
        <v>475</v>
      </c>
      <c r="AH25" s="283">
        <f t="shared" si="20"/>
        <v>475</v>
      </c>
    </row>
    <row r="26" spans="2:34" s="313" customFormat="1" ht="11.25" customHeight="1">
      <c r="C26" s="323" t="str">
        <f>+$C11</f>
        <v>IQ notes</v>
      </c>
      <c r="I26" s="283"/>
      <c r="J26" s="283"/>
      <c r="K26" s="283"/>
      <c r="L26" s="283"/>
      <c r="M26" s="283"/>
      <c r="N26" s="283"/>
      <c r="O26" s="283"/>
      <c r="P26" s="283"/>
      <c r="Q26" s="283"/>
      <c r="R26" s="283"/>
      <c r="S26" s="283"/>
      <c r="T26" s="283"/>
      <c r="U26" s="283"/>
      <c r="V26" s="283">
        <f t="shared" si="17"/>
        <v>38.604999999999997</v>
      </c>
      <c r="W26" s="283">
        <f t="shared" si="18"/>
        <v>38.604999999999997</v>
      </c>
      <c r="X26" s="283">
        <f t="shared" si="19"/>
        <v>38.604999999999997</v>
      </c>
      <c r="AF26" s="283">
        <f t="shared" si="20"/>
        <v>38.328000000000003</v>
      </c>
      <c r="AG26" s="283">
        <f t="shared" si="20"/>
        <v>38.604999999999997</v>
      </c>
      <c r="AH26" s="283">
        <f t="shared" si="20"/>
        <v>38.604999999999997</v>
      </c>
    </row>
    <row r="27" spans="2:34" ht="11.25" customHeight="1">
      <c r="C27" s="323" t="str">
        <f>+$C12</f>
        <v>Credit Facility</v>
      </c>
      <c r="V27" s="283">
        <f t="shared" ca="1" si="17"/>
        <v>0</v>
      </c>
      <c r="W27" s="283">
        <f t="shared" ca="1" si="18"/>
        <v>0</v>
      </c>
      <c r="X27" s="283">
        <f t="shared" ca="1" si="19"/>
        <v>0</v>
      </c>
      <c r="AF27" s="283">
        <f t="shared" ca="1" si="20"/>
        <v>0</v>
      </c>
      <c r="AG27" s="283">
        <f t="shared" ca="1" si="20"/>
        <v>0</v>
      </c>
      <c r="AH27" s="283">
        <f t="shared" ca="1" si="20"/>
        <v>0</v>
      </c>
    </row>
    <row r="28" spans="2:34" s="313" customFormat="1" ht="11.25" customHeight="1">
      <c r="C28" s="323" t="str">
        <f>+$C13</f>
        <v>Additional Drawdown</v>
      </c>
      <c r="I28" s="283"/>
      <c r="J28" s="283"/>
      <c r="K28" s="283"/>
      <c r="L28" s="283"/>
      <c r="M28" s="283"/>
      <c r="N28" s="283"/>
      <c r="O28" s="283"/>
      <c r="P28" s="283"/>
      <c r="Q28" s="283"/>
      <c r="R28" s="283"/>
      <c r="S28" s="283"/>
      <c r="T28" s="283"/>
      <c r="U28" s="283"/>
      <c r="V28" s="283">
        <f t="shared" ca="1" si="17"/>
        <v>0</v>
      </c>
      <c r="W28" s="283">
        <f t="shared" ca="1" si="18"/>
        <v>0</v>
      </c>
      <c r="X28" s="283">
        <f t="shared" ca="1" si="19"/>
        <v>0</v>
      </c>
      <c r="AF28" s="283">
        <f t="shared" ca="1" si="20"/>
        <v>0</v>
      </c>
      <c r="AG28" s="283">
        <f t="shared" ca="1" si="20"/>
        <v>0</v>
      </c>
      <c r="AH28" s="283">
        <f t="shared" ca="1" si="20"/>
        <v>0</v>
      </c>
    </row>
    <row r="29" spans="2:34" ht="11.25" customHeight="1">
      <c r="C29" s="316" t="s">
        <v>257</v>
      </c>
      <c r="I29" s="282"/>
      <c r="J29" s="282"/>
      <c r="K29" s="282"/>
      <c r="L29" s="282"/>
      <c r="M29" s="282"/>
      <c r="N29" s="282"/>
      <c r="O29" s="282"/>
      <c r="P29" s="282"/>
      <c r="Q29" s="282"/>
      <c r="R29" s="282"/>
      <c r="S29" s="282"/>
      <c r="T29" s="282"/>
      <c r="U29" s="282"/>
      <c r="V29" s="318">
        <f t="shared" ref="V29:X29" ca="1" si="21">SUM(V25:V28)</f>
        <v>513.60500000000002</v>
      </c>
      <c r="W29" s="318">
        <f t="shared" ca="1" si="21"/>
        <v>513.60500000000002</v>
      </c>
      <c r="X29" s="318">
        <f t="shared" ca="1" si="21"/>
        <v>513.60500000000002</v>
      </c>
      <c r="Y29" s="282"/>
      <c r="Z29" s="282"/>
      <c r="AA29" s="282"/>
      <c r="AB29" s="282"/>
      <c r="AC29" s="282"/>
      <c r="AD29" s="282"/>
      <c r="AE29" s="282"/>
      <c r="AF29" s="318">
        <f ca="1">SUM(AF25:AF28)</f>
        <v>513.32799999999997</v>
      </c>
      <c r="AG29" s="318">
        <f ca="1">SUM(AG25:AG28)</f>
        <v>513.60500000000002</v>
      </c>
      <c r="AH29" s="318">
        <f ca="1">SUM(AH25:AH28)</f>
        <v>513.60500000000002</v>
      </c>
    </row>
    <row r="31" spans="2:34">
      <c r="B31" s="286" t="s">
        <v>137</v>
      </c>
      <c r="C31" s="287" t="s">
        <v>256</v>
      </c>
      <c r="D31" s="287"/>
      <c r="E31" s="287"/>
      <c r="F31" s="287"/>
      <c r="G31" s="287"/>
      <c r="H31" s="287"/>
      <c r="I31" s="287"/>
      <c r="J31" s="287"/>
      <c r="K31" s="287"/>
      <c r="L31" s="287"/>
      <c r="M31" s="287"/>
      <c r="N31" s="287"/>
      <c r="O31" s="287"/>
      <c r="P31" s="287"/>
      <c r="Q31" s="287"/>
      <c r="R31" s="287"/>
      <c r="S31" s="287"/>
      <c r="T31" s="287"/>
      <c r="U31" s="287"/>
      <c r="V31" s="287"/>
      <c r="W31" s="287"/>
      <c r="X31" s="287"/>
      <c r="AE31" s="286"/>
      <c r="AF31" s="286"/>
      <c r="AG31" s="286"/>
      <c r="AH31" s="286"/>
    </row>
    <row r="32" spans="2:34" s="313" customFormat="1" ht="11.25" customHeight="1">
      <c r="C32" s="316"/>
    </row>
    <row r="33" spans="2:38" s="313" customFormat="1" ht="11.25" customHeight="1">
      <c r="C33" s="323" t="str">
        <f>+$C10</f>
        <v>Senior notes</v>
      </c>
      <c r="I33" s="283"/>
      <c r="J33" s="283"/>
      <c r="K33" s="283"/>
      <c r="L33" s="283"/>
      <c r="M33" s="283"/>
      <c r="N33" s="283"/>
      <c r="O33" s="283"/>
      <c r="P33" s="283"/>
      <c r="Q33" s="283"/>
      <c r="R33" s="283"/>
      <c r="S33" s="283"/>
      <c r="T33" s="283"/>
      <c r="U33" s="283"/>
      <c r="V33" s="283">
        <f t="shared" ref="V33:X33" si="22">+V25*$D10/4</f>
        <v>8.609375</v>
      </c>
      <c r="W33" s="283">
        <f t="shared" si="22"/>
        <v>8.609375</v>
      </c>
      <c r="X33" s="283">
        <f t="shared" si="22"/>
        <v>8.609375</v>
      </c>
      <c r="AF33" s="282">
        <f t="shared" ref="AF33:AF36" si="23">SUMIF($E$5:$X$5,AF$5,$E33:$X33)</f>
        <v>25.828125</v>
      </c>
      <c r="AG33" s="283">
        <f t="shared" ref="AG33:AG36" si="24">+AG25*$D10</f>
        <v>34.4375</v>
      </c>
      <c r="AH33" s="283">
        <f t="shared" ref="AH33" si="25">+AH25*$D10</f>
        <v>34.4375</v>
      </c>
    </row>
    <row r="34" spans="2:38" s="313" customFormat="1" ht="11.25" customHeight="1">
      <c r="C34" s="323" t="str">
        <f>+$C11</f>
        <v>IQ notes</v>
      </c>
      <c r="I34" s="283"/>
      <c r="J34" s="283"/>
      <c r="K34" s="283"/>
      <c r="L34" s="283"/>
      <c r="M34" s="283"/>
      <c r="N34" s="283"/>
      <c r="O34" s="283"/>
      <c r="P34" s="283"/>
      <c r="Q34" s="283"/>
      <c r="R34" s="283"/>
      <c r="S34" s="283"/>
      <c r="T34" s="283"/>
      <c r="U34" s="283"/>
      <c r="V34" s="283">
        <f t="shared" ref="V34:X34" si="26">+V26*$D11/4</f>
        <v>0.62877893749999991</v>
      </c>
      <c r="W34" s="283">
        <f t="shared" si="26"/>
        <v>0.62877893749999991</v>
      </c>
      <c r="X34" s="283">
        <f t="shared" si="26"/>
        <v>0.62877893749999991</v>
      </c>
      <c r="AF34" s="282">
        <f t="shared" si="23"/>
        <v>1.8863368124999997</v>
      </c>
      <c r="AG34" s="283">
        <f t="shared" si="24"/>
        <v>2.5151157499999997</v>
      </c>
      <c r="AH34" s="283">
        <f t="shared" ref="AH34" si="27">+AH26*$D11</f>
        <v>2.5151157499999997</v>
      </c>
    </row>
    <row r="35" spans="2:38" s="313" customFormat="1" ht="11.25" customHeight="1">
      <c r="C35" s="323" t="str">
        <f>+$C12</f>
        <v>Credit Facility</v>
      </c>
      <c r="I35" s="283"/>
      <c r="J35" s="283"/>
      <c r="K35" s="283"/>
      <c r="L35" s="283"/>
      <c r="M35" s="283"/>
      <c r="N35" s="283"/>
      <c r="O35" s="283"/>
      <c r="P35" s="283"/>
      <c r="Q35" s="283"/>
      <c r="R35" s="283"/>
      <c r="S35" s="283"/>
      <c r="T35" s="283"/>
      <c r="U35" s="283"/>
      <c r="V35" s="283">
        <f t="shared" ref="V35:X35" ca="1" si="28">+V27*$D12/4</f>
        <v>0</v>
      </c>
      <c r="W35" s="283">
        <f t="shared" ca="1" si="28"/>
        <v>0</v>
      </c>
      <c r="X35" s="283">
        <f t="shared" ca="1" si="28"/>
        <v>0</v>
      </c>
      <c r="AF35" s="282">
        <f t="shared" ca="1" si="23"/>
        <v>0</v>
      </c>
      <c r="AG35" s="283">
        <f t="shared" ca="1" si="24"/>
        <v>0</v>
      </c>
      <c r="AH35" s="283">
        <f t="shared" ref="AH35" ca="1" si="29">+AH27*$D12</f>
        <v>0</v>
      </c>
    </row>
    <row r="36" spans="2:38" s="313" customFormat="1" ht="11.25" customHeight="1">
      <c r="C36" s="323" t="str">
        <f>+$C13</f>
        <v>Additional Drawdown</v>
      </c>
      <c r="I36" s="283"/>
      <c r="J36" s="283"/>
      <c r="K36" s="283"/>
      <c r="L36" s="283"/>
      <c r="M36" s="283"/>
      <c r="N36" s="283"/>
      <c r="O36" s="283"/>
      <c r="P36" s="283"/>
      <c r="Q36" s="283"/>
      <c r="R36" s="283"/>
      <c r="S36" s="283"/>
      <c r="T36" s="283"/>
      <c r="U36" s="283"/>
      <c r="V36" s="283">
        <f t="shared" ref="V36:X36" ca="1" si="30">+V28*$D13/4</f>
        <v>0</v>
      </c>
      <c r="W36" s="283">
        <f t="shared" ca="1" si="30"/>
        <v>0</v>
      </c>
      <c r="X36" s="283">
        <f t="shared" ca="1" si="30"/>
        <v>0</v>
      </c>
      <c r="AF36" s="282">
        <f t="shared" ca="1" si="23"/>
        <v>0</v>
      </c>
      <c r="AG36" s="283">
        <f t="shared" ca="1" si="24"/>
        <v>0</v>
      </c>
      <c r="AH36" s="283">
        <f t="shared" ref="AH36" ca="1" si="31">+AH28*$D13</f>
        <v>0</v>
      </c>
    </row>
    <row r="37" spans="2:38" s="313" customFormat="1" ht="11.25" customHeight="1">
      <c r="C37" s="316" t="s">
        <v>255</v>
      </c>
      <c r="I37" s="308"/>
      <c r="J37" s="308"/>
      <c r="K37" s="308"/>
      <c r="L37" s="308"/>
      <c r="M37" s="341"/>
      <c r="N37" s="283"/>
      <c r="O37" s="308"/>
      <c r="P37" s="308"/>
      <c r="Q37" s="308"/>
      <c r="R37" s="308"/>
      <c r="S37" s="308"/>
      <c r="T37" s="308"/>
      <c r="U37" s="308"/>
      <c r="V37" s="309">
        <f ca="1">IF(Circ=1,0,SUM(V33:V36))</f>
        <v>9.2381539374999999</v>
      </c>
      <c r="W37" s="309">
        <f ca="1">IF(Circ=1,0,SUM(W33:W36))</f>
        <v>9.2381539374999999</v>
      </c>
      <c r="X37" s="309">
        <f ca="1">IF(Circ=1,0,SUM(X33:X36))</f>
        <v>9.2381539374999999</v>
      </c>
      <c r="Y37" s="308"/>
      <c r="Z37" s="308"/>
      <c r="AA37" s="308"/>
      <c r="AB37" s="308"/>
      <c r="AC37" s="308"/>
      <c r="AD37" s="308"/>
      <c r="AE37" s="308"/>
      <c r="AF37" s="309">
        <f ca="1">IF(Circ=1,0,SUM(AF33:AF36))</f>
        <v>27.714461812499998</v>
      </c>
      <c r="AG37" s="309">
        <f ca="1">IF(Circ=1,0,SUM(AG33:AG36))</f>
        <v>36.95261575</v>
      </c>
      <c r="AH37" s="309">
        <f ca="1">IF(Circ=1,0,SUM(AH33:AH36))</f>
        <v>36.95261575</v>
      </c>
    </row>
    <row r="38" spans="2:38">
      <c r="Y38" s="308"/>
      <c r="Z38" s="308"/>
      <c r="AA38" s="308"/>
      <c r="AB38" s="308"/>
      <c r="AC38" s="308"/>
      <c r="AD38" s="308"/>
      <c r="AE38" s="308"/>
    </row>
    <row r="39" spans="2:38">
      <c r="B39" s="286" t="s">
        <v>137</v>
      </c>
      <c r="C39" s="287" t="s">
        <v>254</v>
      </c>
      <c r="D39" s="287"/>
      <c r="E39" s="286"/>
      <c r="F39" s="286"/>
      <c r="G39" s="286"/>
      <c r="H39" s="286"/>
      <c r="I39" s="286"/>
      <c r="J39" s="286"/>
      <c r="K39" s="286"/>
      <c r="L39" s="286"/>
      <c r="M39" s="286"/>
      <c r="N39" s="286"/>
      <c r="O39" s="286"/>
      <c r="P39" s="286"/>
      <c r="Q39" s="286"/>
      <c r="R39" s="286"/>
      <c r="S39" s="286"/>
      <c r="T39" s="286"/>
      <c r="U39" s="286"/>
      <c r="V39" s="286"/>
      <c r="W39" s="286"/>
      <c r="X39" s="286"/>
      <c r="Y39" s="308"/>
      <c r="Z39" s="308"/>
      <c r="AA39" s="308"/>
      <c r="AB39" s="308"/>
      <c r="AC39" s="308"/>
      <c r="AD39" s="308"/>
      <c r="AE39" s="286"/>
      <c r="AF39" s="286"/>
      <c r="AG39" s="286"/>
      <c r="AH39" s="286"/>
    </row>
    <row r="40" spans="2:38">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5"/>
      <c r="AL40" s="305"/>
    </row>
    <row r="41" spans="2:38">
      <c r="C41" s="283" t="s">
        <v>168</v>
      </c>
      <c r="E41" s="305"/>
      <c r="F41" s="305"/>
      <c r="G41" s="305"/>
      <c r="H41" s="305"/>
      <c r="I41" s="317"/>
      <c r="J41" s="317"/>
      <c r="K41" s="317"/>
      <c r="L41" s="317"/>
      <c r="M41" s="305"/>
      <c r="N41" s="317"/>
      <c r="O41" s="317"/>
      <c r="P41" s="317"/>
      <c r="Q41" s="317"/>
      <c r="R41" s="317"/>
      <c r="S41" s="317"/>
      <c r="T41" s="317"/>
      <c r="U41" s="317"/>
      <c r="V41" s="317">
        <f ca="1">Financials!V92</f>
        <v>37.312318554874935</v>
      </c>
      <c r="W41" s="317">
        <f ca="1">Financials!W92</f>
        <v>8.0634946079131709</v>
      </c>
      <c r="X41" s="317">
        <f ca="1">Financials!X92</f>
        <v>51.623010098453229</v>
      </c>
      <c r="Y41" s="317"/>
      <c r="Z41" s="317"/>
      <c r="AA41" s="317"/>
      <c r="AB41" s="317"/>
      <c r="AC41" s="317"/>
      <c r="AD41" s="317"/>
      <c r="AE41" s="317"/>
      <c r="AF41" s="317">
        <f ca="1">Financials!AF92</f>
        <v>113.42982326124138</v>
      </c>
      <c r="AG41" s="317">
        <f ca="1">Financials!AG92</f>
        <v>114.40967671768115</v>
      </c>
      <c r="AH41" s="317">
        <f ca="1">Financials!AH92</f>
        <v>61.499869853160618</v>
      </c>
      <c r="AI41" s="305"/>
      <c r="AJ41" s="305"/>
      <c r="AK41" s="305"/>
      <c r="AL41" s="282"/>
    </row>
    <row r="42" spans="2:38">
      <c r="C42" s="283" t="s">
        <v>253</v>
      </c>
      <c r="E42" s="305"/>
      <c r="F42" s="305"/>
      <c r="G42" s="305"/>
      <c r="H42" s="305"/>
      <c r="I42" s="317"/>
      <c r="J42" s="317"/>
      <c r="K42" s="317"/>
      <c r="L42" s="317"/>
      <c r="M42" s="305"/>
      <c r="N42" s="317"/>
      <c r="O42" s="317"/>
      <c r="P42" s="317"/>
      <c r="Q42" s="317"/>
      <c r="R42" s="317"/>
      <c r="S42" s="317"/>
      <c r="T42" s="317"/>
      <c r="U42" s="317"/>
      <c r="V42" s="317">
        <f>Financials!V236</f>
        <v>213.07000000000019</v>
      </c>
      <c r="W42" s="317">
        <f ca="1">Financials!W236</f>
        <v>246.73531855487519</v>
      </c>
      <c r="X42" s="317">
        <f ca="1">Financials!X236</f>
        <v>251.15181316278836</v>
      </c>
      <c r="Y42" s="317"/>
      <c r="Z42" s="317"/>
      <c r="AA42" s="317"/>
      <c r="AB42" s="317"/>
      <c r="AC42" s="317"/>
      <c r="AD42" s="317"/>
      <c r="AE42" s="317"/>
      <c r="AF42" s="317">
        <f>Financials!AF236</f>
        <v>211.06300000000016</v>
      </c>
      <c r="AG42" s="317">
        <f ca="1">Financials!AG236</f>
        <v>299.12782326124159</v>
      </c>
      <c r="AH42" s="317">
        <f ca="1">Financials!AH236</f>
        <v>398.94949997892269</v>
      </c>
      <c r="AI42" s="305"/>
      <c r="AJ42" s="305"/>
      <c r="AK42" s="305"/>
      <c r="AL42" s="282"/>
    </row>
    <row r="43" spans="2:38">
      <c r="C43" s="283" t="s">
        <v>252</v>
      </c>
      <c r="E43" s="305"/>
      <c r="F43" s="305"/>
      <c r="G43" s="305"/>
      <c r="H43" s="305"/>
      <c r="I43" s="305"/>
      <c r="J43" s="305"/>
      <c r="K43" s="305"/>
      <c r="L43" s="317"/>
      <c r="M43" s="305"/>
      <c r="N43" s="317"/>
      <c r="O43" s="317"/>
      <c r="P43" s="317"/>
      <c r="Q43" s="317"/>
      <c r="R43" s="317"/>
      <c r="S43" s="317"/>
      <c r="T43" s="317"/>
      <c r="U43" s="317"/>
      <c r="V43" s="317">
        <f>Financials!V223+Financials!V222</f>
        <v>-3.6469999999999998</v>
      </c>
      <c r="W43" s="317">
        <f>Financials!W223+Financials!W222</f>
        <v>-3.6469999999999998</v>
      </c>
      <c r="X43" s="317">
        <f>Financials!X223+Financials!X222</f>
        <v>-3.6469999999999998</v>
      </c>
      <c r="Y43" s="317"/>
      <c r="Z43" s="317"/>
      <c r="AA43" s="317"/>
      <c r="AB43" s="317"/>
      <c r="AC43" s="317"/>
      <c r="AD43" s="317"/>
      <c r="AE43" s="317"/>
      <c r="AF43" s="317">
        <f>Financials!AF223+Financials!AF222</f>
        <v>-14.45</v>
      </c>
      <c r="AG43" s="317">
        <f>Financials!AG223+Financials!AG222</f>
        <v>-14.587999999999999</v>
      </c>
      <c r="AH43" s="317">
        <f>Financials!AH223+Financials!AH222</f>
        <v>-14.587999999999999</v>
      </c>
      <c r="AI43" s="305"/>
      <c r="AJ43" s="305"/>
      <c r="AK43" s="305"/>
      <c r="AL43" s="282"/>
    </row>
    <row r="44" spans="2:38">
      <c r="C44" s="283" t="s">
        <v>296</v>
      </c>
      <c r="E44" s="305"/>
      <c r="F44" s="305"/>
      <c r="G44" s="305"/>
      <c r="H44" s="305"/>
      <c r="I44" s="305"/>
      <c r="J44" s="305"/>
      <c r="K44" s="305"/>
      <c r="L44" s="317"/>
      <c r="M44" s="305"/>
      <c r="N44" s="317"/>
      <c r="O44" s="317"/>
      <c r="P44" s="317"/>
      <c r="Q44" s="317"/>
      <c r="R44" s="317"/>
      <c r="S44" s="317"/>
      <c r="T44" s="317"/>
      <c r="U44" s="317"/>
      <c r="V44" s="317">
        <f>Financials!V229</f>
        <v>0</v>
      </c>
      <c r="W44" s="317">
        <f>Financials!W229</f>
        <v>0</v>
      </c>
      <c r="X44" s="317">
        <f>Financials!X229</f>
        <v>0</v>
      </c>
      <c r="Y44" s="317"/>
      <c r="Z44" s="317"/>
      <c r="AA44" s="317"/>
      <c r="AB44" s="317"/>
      <c r="AC44" s="317"/>
      <c r="AD44" s="317"/>
      <c r="AE44" s="317"/>
      <c r="AF44" s="317">
        <f>Financials!AF229</f>
        <v>-1.6950000000000001</v>
      </c>
      <c r="AG44" s="317">
        <f>Financials!AG229</f>
        <v>0</v>
      </c>
      <c r="AH44" s="317">
        <f>Financials!AH229</f>
        <v>0</v>
      </c>
      <c r="AI44" s="305"/>
      <c r="AJ44" s="305"/>
      <c r="AK44" s="305"/>
      <c r="AL44" s="282"/>
    </row>
    <row r="45" spans="2:38">
      <c r="C45" s="283" t="s">
        <v>251</v>
      </c>
      <c r="D45" s="377">
        <v>100</v>
      </c>
      <c r="E45" s="305"/>
      <c r="F45" s="305"/>
      <c r="G45" s="305"/>
      <c r="H45" s="305"/>
      <c r="I45" s="305"/>
      <c r="J45" s="305"/>
      <c r="K45" s="282"/>
      <c r="L45" s="282"/>
      <c r="M45" s="305"/>
      <c r="N45" s="282"/>
      <c r="O45" s="282"/>
      <c r="P45" s="282"/>
      <c r="Q45" s="282"/>
      <c r="R45" s="282"/>
      <c r="S45" s="282"/>
      <c r="T45" s="282"/>
      <c r="U45" s="282"/>
      <c r="V45" s="282">
        <f>-$D$45</f>
        <v>-100</v>
      </c>
      <c r="W45" s="282">
        <f t="shared" ref="W45:X45" si="32">-$D$45</f>
        <v>-100</v>
      </c>
      <c r="X45" s="282">
        <f t="shared" si="32"/>
        <v>-100</v>
      </c>
      <c r="Y45" s="305"/>
      <c r="Z45" s="305"/>
      <c r="AA45" s="305"/>
      <c r="AB45" s="305"/>
      <c r="AC45" s="305"/>
      <c r="AD45" s="305"/>
      <c r="AE45" s="305"/>
      <c r="AF45" s="282">
        <f>-$D$45</f>
        <v>-100</v>
      </c>
      <c r="AG45" s="282">
        <f t="shared" ref="AG45:AH45" si="33">-$D$45</f>
        <v>-100</v>
      </c>
      <c r="AH45" s="282">
        <f t="shared" si="33"/>
        <v>-100</v>
      </c>
      <c r="AI45" s="305"/>
      <c r="AJ45" s="305"/>
      <c r="AK45" s="305"/>
      <c r="AL45" s="305"/>
    </row>
    <row r="46" spans="2:38">
      <c r="C46" s="316" t="s">
        <v>250</v>
      </c>
      <c r="E46" s="305"/>
      <c r="F46" s="305"/>
      <c r="G46" s="305"/>
      <c r="H46" s="305"/>
      <c r="I46" s="282"/>
      <c r="J46" s="282"/>
      <c r="K46" s="282"/>
      <c r="L46" s="282"/>
      <c r="M46" s="305"/>
      <c r="N46" s="282"/>
      <c r="O46" s="282"/>
      <c r="P46" s="282"/>
      <c r="Q46" s="282"/>
      <c r="R46" s="282"/>
      <c r="S46" s="282"/>
      <c r="T46" s="282"/>
      <c r="U46" s="282"/>
      <c r="V46" s="318">
        <f t="shared" ref="V46:X46" ca="1" si="34">SUM(V41:V45)</f>
        <v>146.73531855487514</v>
      </c>
      <c r="W46" s="318">
        <f t="shared" ca="1" si="34"/>
        <v>151.15181316278836</v>
      </c>
      <c r="X46" s="318">
        <f t="shared" ca="1" si="34"/>
        <v>199.12782326124159</v>
      </c>
      <c r="Y46" s="282"/>
      <c r="Z46" s="282"/>
      <c r="AA46" s="282"/>
      <c r="AB46" s="282"/>
      <c r="AC46" s="282"/>
      <c r="AD46" s="282"/>
      <c r="AE46" s="282"/>
      <c r="AF46" s="318">
        <f ca="1">SUM(AF41:AF45)</f>
        <v>208.34782326124156</v>
      </c>
      <c r="AG46" s="318">
        <f ca="1">SUM(AG41:AG45)</f>
        <v>298.94949997892269</v>
      </c>
      <c r="AH46" s="318">
        <f ca="1">SUM(AH41:AH45)</f>
        <v>345.86136983208331</v>
      </c>
      <c r="AI46" s="305"/>
      <c r="AJ46" s="305"/>
      <c r="AK46" s="305"/>
      <c r="AL46" s="282"/>
    </row>
    <row r="47" spans="2:38">
      <c r="C47" s="283" t="s">
        <v>249</v>
      </c>
      <c r="E47" s="305"/>
      <c r="F47" s="305"/>
      <c r="G47" s="305"/>
      <c r="H47" s="305"/>
      <c r="I47" s="282"/>
      <c r="J47" s="282"/>
      <c r="K47" s="282"/>
      <c r="L47" s="282"/>
      <c r="M47" s="305"/>
      <c r="N47" s="282"/>
      <c r="O47" s="282"/>
      <c r="P47" s="282"/>
      <c r="Q47" s="282"/>
      <c r="R47" s="282"/>
      <c r="S47" s="282"/>
      <c r="T47" s="282"/>
      <c r="U47" s="282"/>
      <c r="V47" s="282">
        <f t="shared" ref="V47:X47" si="35">-V21</f>
        <v>0</v>
      </c>
      <c r="W47" s="282">
        <f t="shared" si="35"/>
        <v>0</v>
      </c>
      <c r="X47" s="282">
        <f t="shared" si="35"/>
        <v>0</v>
      </c>
      <c r="Y47" s="282"/>
      <c r="Z47" s="282"/>
      <c r="AA47" s="282"/>
      <c r="AB47" s="282"/>
      <c r="AC47" s="282"/>
      <c r="AD47" s="282"/>
      <c r="AE47" s="282"/>
      <c r="AF47" s="282">
        <f>-AF21</f>
        <v>0</v>
      </c>
      <c r="AG47" s="282">
        <f>-AG21</f>
        <v>0</v>
      </c>
      <c r="AH47" s="282">
        <f>-AH21</f>
        <v>0</v>
      </c>
      <c r="AI47" s="305"/>
      <c r="AJ47" s="305"/>
      <c r="AK47" s="305"/>
      <c r="AL47" s="282"/>
    </row>
    <row r="48" spans="2:38" s="313" customFormat="1">
      <c r="C48" s="316" t="s">
        <v>248</v>
      </c>
      <c r="E48" s="315"/>
      <c r="F48" s="315"/>
      <c r="G48" s="315"/>
      <c r="H48" s="315"/>
      <c r="I48" s="308"/>
      <c r="J48" s="308"/>
      <c r="K48" s="308"/>
      <c r="L48" s="282"/>
      <c r="M48" s="305"/>
      <c r="N48" s="308"/>
      <c r="O48" s="308"/>
      <c r="P48" s="308"/>
      <c r="Q48" s="308"/>
      <c r="R48" s="308"/>
      <c r="S48" s="308"/>
      <c r="T48" s="308"/>
      <c r="U48" s="308"/>
      <c r="V48" s="309">
        <f t="shared" ref="V48:X48" ca="1" si="36">SUM(V46:V47)</f>
        <v>146.73531855487514</v>
      </c>
      <c r="W48" s="309">
        <f t="shared" ca="1" si="36"/>
        <v>151.15181316278836</v>
      </c>
      <c r="X48" s="309">
        <f t="shared" ca="1" si="36"/>
        <v>199.12782326124159</v>
      </c>
      <c r="Y48" s="308"/>
      <c r="Z48" s="308"/>
      <c r="AA48" s="308"/>
      <c r="AB48" s="308"/>
      <c r="AC48" s="308"/>
      <c r="AD48" s="308"/>
      <c r="AE48" s="308"/>
      <c r="AF48" s="309">
        <f ca="1">SUM(AF46:AF47)</f>
        <v>208.34782326124156</v>
      </c>
      <c r="AG48" s="309">
        <f ca="1">SUM(AG46:AG47)</f>
        <v>298.94949997892269</v>
      </c>
      <c r="AH48" s="309">
        <f ca="1">SUM(AH46:AH47)</f>
        <v>345.86136983208331</v>
      </c>
      <c r="AI48" s="315"/>
      <c r="AJ48" s="315"/>
      <c r="AK48" s="315"/>
      <c r="AL48" s="308"/>
    </row>
    <row r="49" spans="2:38" s="313" customFormat="1">
      <c r="C49" s="316"/>
      <c r="E49" s="315"/>
      <c r="F49" s="315"/>
      <c r="G49" s="315"/>
      <c r="H49" s="315"/>
      <c r="I49" s="308"/>
      <c r="J49" s="308"/>
      <c r="K49" s="308"/>
      <c r="L49" s="282"/>
      <c r="M49" s="305"/>
      <c r="N49" s="308"/>
      <c r="O49" s="308"/>
      <c r="P49" s="282"/>
      <c r="Q49" s="282"/>
      <c r="R49" s="282"/>
      <c r="S49" s="282"/>
      <c r="T49" s="282"/>
      <c r="U49" s="282"/>
      <c r="V49" s="308"/>
      <c r="W49" s="308"/>
      <c r="X49" s="308"/>
      <c r="Y49" s="308"/>
      <c r="Z49" s="308"/>
      <c r="AA49" s="308"/>
      <c r="AB49" s="308"/>
      <c r="AC49" s="308"/>
      <c r="AD49" s="308"/>
      <c r="AE49" s="308"/>
      <c r="AF49" s="308"/>
      <c r="AG49" s="308"/>
      <c r="AH49" s="308"/>
      <c r="AI49" s="315"/>
      <c r="AJ49" s="315"/>
      <c r="AK49" s="315"/>
      <c r="AL49" s="308"/>
    </row>
    <row r="50" spans="2:38">
      <c r="C50" s="313" t="s">
        <v>247</v>
      </c>
      <c r="D50" s="377">
        <v>250</v>
      </c>
      <c r="E50" s="305"/>
      <c r="F50" s="305"/>
      <c r="G50" s="305"/>
      <c r="H50" s="305"/>
      <c r="I50" s="305"/>
      <c r="J50" s="305"/>
      <c r="K50" s="308"/>
      <c r="L50" s="305"/>
      <c r="M50" s="305"/>
      <c r="N50" s="305"/>
      <c r="O50" s="305"/>
      <c r="P50" s="282"/>
      <c r="Q50" s="282"/>
      <c r="R50" s="282"/>
      <c r="S50" s="282"/>
      <c r="T50" s="282"/>
      <c r="U50" s="282"/>
      <c r="V50" s="305"/>
      <c r="W50" s="305"/>
      <c r="X50" s="305"/>
      <c r="Y50" s="305"/>
      <c r="Z50" s="305"/>
      <c r="AA50" s="305"/>
      <c r="AB50" s="305"/>
      <c r="AC50" s="305"/>
      <c r="AD50" s="305"/>
      <c r="AE50" s="305"/>
      <c r="AF50" s="305"/>
      <c r="AG50" s="305"/>
      <c r="AH50" s="305"/>
      <c r="AI50" s="305"/>
      <c r="AJ50" s="305"/>
      <c r="AK50" s="305"/>
      <c r="AL50" s="305"/>
    </row>
    <row r="51" spans="2:38">
      <c r="C51" s="312" t="s">
        <v>244</v>
      </c>
      <c r="E51" s="305"/>
      <c r="F51" s="305"/>
      <c r="G51" s="305"/>
      <c r="H51" s="305"/>
      <c r="I51" s="282"/>
      <c r="J51" s="282"/>
      <c r="K51" s="308"/>
      <c r="L51" s="282"/>
      <c r="M51" s="282"/>
      <c r="N51" s="282"/>
      <c r="O51" s="282"/>
      <c r="P51" s="282"/>
      <c r="Q51" s="282"/>
      <c r="R51" s="282"/>
      <c r="S51" s="282"/>
      <c r="T51" s="282"/>
      <c r="U51" s="282"/>
      <c r="V51" s="282">
        <f t="shared" ref="V51:X51" ca="1" si="37">+U53</f>
        <v>0</v>
      </c>
      <c r="W51" s="282">
        <f t="shared" ca="1" si="37"/>
        <v>0</v>
      </c>
      <c r="X51" s="282">
        <f t="shared" ca="1" si="37"/>
        <v>0</v>
      </c>
      <c r="Y51" s="282"/>
      <c r="Z51" s="282"/>
      <c r="AA51" s="282"/>
      <c r="AB51" s="282"/>
      <c r="AC51" s="282"/>
      <c r="AD51" s="282"/>
      <c r="AE51" s="282"/>
      <c r="AF51" s="282">
        <f>+T53</f>
        <v>0</v>
      </c>
      <c r="AG51" s="282">
        <f ca="1">+AF53</f>
        <v>0</v>
      </c>
      <c r="AH51" s="282">
        <f ca="1">+AG53</f>
        <v>0</v>
      </c>
      <c r="AI51" s="305"/>
      <c r="AJ51" s="305"/>
      <c r="AK51" s="305"/>
      <c r="AL51" s="282"/>
    </row>
    <row r="52" spans="2:38">
      <c r="C52" s="312" t="s">
        <v>243</v>
      </c>
      <c r="E52" s="305"/>
      <c r="F52" s="305"/>
      <c r="G52" s="305"/>
      <c r="H52" s="305"/>
      <c r="I52" s="282"/>
      <c r="J52" s="282"/>
      <c r="K52" s="308"/>
      <c r="L52" s="282"/>
      <c r="M52" s="282"/>
      <c r="N52" s="282"/>
      <c r="O52" s="282"/>
      <c r="P52" s="282"/>
      <c r="Q52" s="282"/>
      <c r="R52" s="282"/>
      <c r="S52" s="282"/>
      <c r="T52" s="282"/>
      <c r="U52" s="282"/>
      <c r="V52" s="282">
        <f ca="1">IF(V6&lt;$AJ$52,IF(AND(V48&lt;0,ABS(V48)&lt;($D$50-U53)),-V48,IF(V48&gt;0,-MIN(V48,V51),($D$50-U53))),-V51)</f>
        <v>0</v>
      </c>
      <c r="W52" s="282">
        <f ca="1">IF(W6&lt;$AJ$52,IF(AND(W48&lt;0,ABS(W48)&lt;($D$50-V53)),-W48,IF(W48&gt;0,-MIN(W48,W51),($D$50-V53))),-W51)</f>
        <v>0</v>
      </c>
      <c r="X52" s="282">
        <f ca="1">IF(X6&lt;$AJ$52,IF(AND(X48&lt;0,ABS(X48)&lt;($D$50-W53)),-X48,IF(X48&gt;0,-MIN(X48,X51),($D$50-W53))),-X51)</f>
        <v>0</v>
      </c>
      <c r="Y52" s="282"/>
      <c r="Z52" s="282"/>
      <c r="AA52" s="282"/>
      <c r="AB52" s="282"/>
      <c r="AC52" s="282"/>
      <c r="AD52" s="282"/>
      <c r="AE52" s="282"/>
      <c r="AF52" s="282">
        <f ca="1">IF(AF6&lt;$AJ$52,IF(AND(AF48&lt;0,ABS(AF48)&lt;($D$50-AE53)),-AF48,IF(AF48&gt;0,-MIN(AF48,AF51),($D$50-AE53))),-AF51)</f>
        <v>0</v>
      </c>
      <c r="AG52" s="282">
        <f ca="1">IF(AG6&lt;$AJ$52,IF(AND(AG48&lt;0,ABS(AG48)&lt;($D$50-AF53)),-AG48,IF(AG48&gt;0,-MIN(AG48,AG51),($D$50-AF53))),-AG51)</f>
        <v>0</v>
      </c>
      <c r="AH52" s="282">
        <f ca="1">IF(AH6&lt;$AJ$52,IF(AND(AH48&lt;0,ABS(AH48)&lt;($D$50-AG53)),-AH48,IF(AH48&gt;0,-MIN(AH48,AH51),($D$50-AG53))),-AH51)</f>
        <v>0</v>
      </c>
      <c r="AI52" s="305"/>
      <c r="AJ52" s="328">
        <f>+AJ12</f>
        <v>44964</v>
      </c>
      <c r="AK52" s="314" t="s">
        <v>246</v>
      </c>
      <c r="AL52" s="282"/>
    </row>
    <row r="53" spans="2:38">
      <c r="C53" s="311" t="s">
        <v>242</v>
      </c>
      <c r="E53" s="305"/>
      <c r="F53" s="305"/>
      <c r="G53" s="305"/>
      <c r="H53" s="282"/>
      <c r="I53" s="282"/>
      <c r="J53" s="282"/>
      <c r="K53" s="308"/>
      <c r="L53" s="282"/>
      <c r="M53" s="282"/>
      <c r="N53" s="308"/>
      <c r="O53" s="308"/>
      <c r="P53" s="308"/>
      <c r="Q53" s="309">
        <f>+Q12</f>
        <v>0</v>
      </c>
      <c r="R53" s="282"/>
      <c r="S53" s="282"/>
      <c r="T53" s="282"/>
      <c r="U53" s="769">
        <f t="shared" ref="U53" ca="1" si="38">+U12</f>
        <v>0</v>
      </c>
      <c r="V53" s="309">
        <f t="shared" ref="V53:X53" ca="1" si="39">SUM(V51:V52)</f>
        <v>0</v>
      </c>
      <c r="W53" s="309">
        <f t="shared" ca="1" si="39"/>
        <v>0</v>
      </c>
      <c r="X53" s="309">
        <f t="shared" ca="1" si="39"/>
        <v>0</v>
      </c>
      <c r="Y53" s="308"/>
      <c r="Z53" s="308"/>
      <c r="AA53" s="308"/>
      <c r="AB53" s="308"/>
      <c r="AC53" s="308"/>
      <c r="AD53" s="308"/>
      <c r="AE53" s="308"/>
      <c r="AF53" s="309">
        <f ca="1">SUM(AF51:AF52)</f>
        <v>0</v>
      </c>
      <c r="AG53" s="309">
        <f ca="1">SUM(AG51:AG52)</f>
        <v>0</v>
      </c>
      <c r="AH53" s="309">
        <f ca="1">SUM(AH51:AH52)</f>
        <v>0</v>
      </c>
      <c r="AI53" s="305"/>
      <c r="AJ53" s="305"/>
      <c r="AK53" s="305"/>
      <c r="AL53" s="308"/>
    </row>
    <row r="54" spans="2:38">
      <c r="E54" s="305"/>
      <c r="F54" s="305"/>
      <c r="G54" s="305"/>
      <c r="H54" s="305"/>
      <c r="I54" s="305"/>
      <c r="J54" s="305"/>
      <c r="K54" s="308"/>
      <c r="L54" s="305"/>
      <c r="M54" s="282"/>
      <c r="N54" s="282"/>
      <c r="O54" s="305"/>
      <c r="P54" s="305"/>
      <c r="Q54" s="282"/>
      <c r="R54" s="282"/>
      <c r="S54" s="282"/>
      <c r="T54" s="282"/>
      <c r="U54" s="282"/>
      <c r="V54" s="305"/>
      <c r="W54" s="305"/>
      <c r="X54" s="305"/>
      <c r="Y54" s="305"/>
      <c r="Z54" s="305"/>
      <c r="AA54" s="305"/>
      <c r="AB54" s="305"/>
      <c r="AC54" s="305"/>
      <c r="AD54" s="305"/>
      <c r="AE54" s="305"/>
      <c r="AF54" s="305"/>
      <c r="AG54" s="305"/>
      <c r="AH54" s="305"/>
      <c r="AI54" s="305"/>
      <c r="AJ54" s="305"/>
      <c r="AK54" s="305"/>
      <c r="AL54" s="305"/>
    </row>
    <row r="55" spans="2:38">
      <c r="C55" s="313" t="s">
        <v>245</v>
      </c>
      <c r="E55" s="305"/>
      <c r="F55" s="305"/>
      <c r="G55" s="305"/>
      <c r="H55" s="305"/>
      <c r="I55" s="305"/>
      <c r="J55" s="305"/>
      <c r="K55" s="308"/>
      <c r="L55" s="305"/>
      <c r="M55" s="282"/>
      <c r="N55" s="282"/>
      <c r="O55" s="305"/>
      <c r="P55" s="305"/>
      <c r="Q55" s="282"/>
      <c r="R55" s="282"/>
      <c r="S55" s="282"/>
      <c r="T55" s="282"/>
      <c r="U55" s="282"/>
      <c r="V55" s="305"/>
      <c r="W55" s="305"/>
      <c r="X55" s="305"/>
      <c r="Y55" s="305"/>
      <c r="Z55" s="305"/>
      <c r="AA55" s="305"/>
      <c r="AB55" s="305"/>
      <c r="AC55" s="305"/>
      <c r="AD55" s="305"/>
      <c r="AE55" s="305"/>
      <c r="AF55" s="305"/>
      <c r="AG55" s="305"/>
      <c r="AH55" s="305"/>
      <c r="AI55" s="305"/>
      <c r="AJ55" s="305"/>
      <c r="AK55" s="305"/>
      <c r="AL55" s="305"/>
    </row>
    <row r="56" spans="2:38">
      <c r="C56" s="312" t="s">
        <v>244</v>
      </c>
      <c r="E56" s="305"/>
      <c r="F56" s="305"/>
      <c r="G56" s="305"/>
      <c r="H56" s="305"/>
      <c r="I56" s="282"/>
      <c r="J56" s="282"/>
      <c r="K56" s="308"/>
      <c r="L56" s="305"/>
      <c r="M56" s="282"/>
      <c r="N56" s="282"/>
      <c r="O56" s="282"/>
      <c r="P56" s="282"/>
      <c r="Q56" s="282"/>
      <c r="R56" s="282"/>
      <c r="S56" s="282"/>
      <c r="T56" s="282"/>
      <c r="U56" s="282"/>
      <c r="V56" s="282">
        <f t="shared" ref="V56:X56" si="40">U58</f>
        <v>0</v>
      </c>
      <c r="W56" s="282">
        <f t="shared" ca="1" si="40"/>
        <v>0</v>
      </c>
      <c r="X56" s="282">
        <f t="shared" ca="1" si="40"/>
        <v>0</v>
      </c>
      <c r="Y56" s="282"/>
      <c r="Z56" s="282"/>
      <c r="AA56" s="282"/>
      <c r="AB56" s="282"/>
      <c r="AC56" s="282"/>
      <c r="AD56" s="282"/>
      <c r="AE56" s="282"/>
      <c r="AF56" s="305"/>
      <c r="AG56" s="282">
        <f ca="1">X58</f>
        <v>0</v>
      </c>
      <c r="AH56" s="282">
        <f ca="1">AG58</f>
        <v>0</v>
      </c>
      <c r="AI56" s="305"/>
      <c r="AJ56" s="305"/>
      <c r="AK56" s="305"/>
      <c r="AL56" s="282"/>
    </row>
    <row r="57" spans="2:38">
      <c r="C57" s="312" t="s">
        <v>243</v>
      </c>
      <c r="E57" s="305"/>
      <c r="F57" s="305"/>
      <c r="G57" s="305"/>
      <c r="H57" s="305"/>
      <c r="I57" s="282"/>
      <c r="J57" s="282"/>
      <c r="K57" s="308"/>
      <c r="L57" s="305"/>
      <c r="M57" s="282"/>
      <c r="N57" s="282"/>
      <c r="O57" s="282"/>
      <c r="P57" s="282"/>
      <c r="Q57" s="282"/>
      <c r="R57" s="282"/>
      <c r="S57" s="282"/>
      <c r="T57" s="282"/>
      <c r="U57" s="282"/>
      <c r="V57" s="282">
        <f t="shared" ref="V57:X57" ca="1" si="41">+IF(AND(V48&lt;0,ABS(V48)&gt;(V52)),-MIN(V48+V52),IF(V48&gt;0,-MIN((V48+V52),V56),0))</f>
        <v>0</v>
      </c>
      <c r="W57" s="282">
        <f t="shared" ca="1" si="41"/>
        <v>0</v>
      </c>
      <c r="X57" s="282">
        <f t="shared" ca="1" si="41"/>
        <v>0</v>
      </c>
      <c r="Y57" s="282"/>
      <c r="Z57" s="282"/>
      <c r="AA57" s="282"/>
      <c r="AB57" s="282"/>
      <c r="AC57" s="282"/>
      <c r="AD57" s="282"/>
      <c r="AE57" s="282"/>
      <c r="AF57" s="305"/>
      <c r="AG57" s="282">
        <f ca="1">+IF(AND(AG48&lt;0,ABS(AG48)&gt;(AG52)),-MIN(AG48+AG52),IF(AG48&gt;0,-MIN((AG48+AG52),AG56),0))</f>
        <v>0</v>
      </c>
      <c r="AH57" s="282">
        <f ca="1">+IF(AND(AH48&lt;0,ABS(AH48)&gt;(AH52)),-MIN(AH48+AH52),IF(AH48&gt;0,-MIN((AH48+AH52),AH56),0))</f>
        <v>0</v>
      </c>
      <c r="AI57" s="305"/>
      <c r="AJ57" s="305"/>
      <c r="AK57" s="305"/>
      <c r="AL57" s="282"/>
    </row>
    <row r="58" spans="2:38">
      <c r="C58" s="311" t="s">
        <v>242</v>
      </c>
      <c r="E58" s="305"/>
      <c r="F58" s="305"/>
      <c r="G58" s="305"/>
      <c r="H58" s="305"/>
      <c r="I58" s="305"/>
      <c r="J58" s="305"/>
      <c r="K58" s="308"/>
      <c r="L58" s="305"/>
      <c r="M58" s="282"/>
      <c r="N58" s="305"/>
      <c r="O58" s="305"/>
      <c r="P58" s="305"/>
      <c r="Q58" s="310">
        <v>0</v>
      </c>
      <c r="R58" s="282"/>
      <c r="S58" s="282"/>
      <c r="T58" s="282"/>
      <c r="U58" s="778">
        <v>0</v>
      </c>
      <c r="V58" s="309">
        <f t="shared" ref="V58:X58" ca="1" si="42">SUM(V56:V57)</f>
        <v>0</v>
      </c>
      <c r="W58" s="309">
        <f t="shared" ca="1" si="42"/>
        <v>0</v>
      </c>
      <c r="X58" s="309">
        <f t="shared" ca="1" si="42"/>
        <v>0</v>
      </c>
      <c r="Y58" s="308"/>
      <c r="Z58" s="308"/>
      <c r="AA58" s="308"/>
      <c r="AB58" s="308"/>
      <c r="AC58" s="308"/>
      <c r="AD58" s="308"/>
      <c r="AE58" s="308"/>
      <c r="AF58" s="305"/>
      <c r="AG58" s="309">
        <f ca="1">SUM(AG56:AG57)</f>
        <v>0</v>
      </c>
      <c r="AH58" s="309">
        <f ca="1">SUM(AH56:AH57)</f>
        <v>0</v>
      </c>
      <c r="AI58" s="305"/>
      <c r="AJ58" s="305"/>
      <c r="AK58" s="305"/>
      <c r="AL58" s="308"/>
    </row>
    <row r="59" spans="2:38">
      <c r="E59" s="305"/>
      <c r="F59" s="305"/>
      <c r="G59" s="305"/>
      <c r="H59" s="305"/>
      <c r="I59" s="305"/>
      <c r="J59" s="305"/>
      <c r="K59" s="305"/>
      <c r="L59" s="305"/>
      <c r="M59" s="305"/>
      <c r="N59" s="282"/>
      <c r="O59" s="305"/>
      <c r="P59" s="305"/>
      <c r="Q59" s="305"/>
      <c r="R59" s="282"/>
      <c r="S59" s="282"/>
      <c r="T59" s="282"/>
      <c r="U59" s="305"/>
      <c r="V59" s="305"/>
      <c r="W59" s="305"/>
      <c r="X59" s="305"/>
      <c r="Y59" s="305"/>
      <c r="Z59" s="305"/>
      <c r="AA59" s="305"/>
      <c r="AB59" s="305"/>
      <c r="AC59" s="305"/>
      <c r="AD59" s="305"/>
      <c r="AE59" s="305"/>
      <c r="AF59" s="305"/>
      <c r="AG59" s="305"/>
      <c r="AH59" s="305"/>
      <c r="AI59" s="305"/>
      <c r="AJ59" s="305"/>
      <c r="AK59" s="305"/>
      <c r="AL59" s="305"/>
    </row>
    <row r="60" spans="2:38">
      <c r="B60" s="283" t="s">
        <v>137</v>
      </c>
      <c r="T60" s="282"/>
    </row>
  </sheetData>
  <dataValidations count="1">
    <dataValidation type="list" allowBlank="1" showInputMessage="1" showErrorMessage="1" sqref="V2" xr:uid="{B8690A52-3C3B-4B51-B441-AB0AFFB51FB2}">
      <formula1>"0,1"</formula1>
    </dataValidation>
  </dataValidations>
  <pageMargins left="0" right="0" top="0.25" bottom="0.5" header="0" footer="0.5"/>
  <pageSetup scale="63" fitToHeight="2" pageOrder="overThenDown" orientation="landscape" r:id="rId1"/>
  <colBreaks count="1" manualBreakCount="1">
    <brk id="34" max="1048575" man="1"/>
  </colBreaks>
  <ignoredErrors>
    <ignoredError sqref="E14:K14 E13:K13" formulaRange="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AD7B7-D6E2-4EB2-9699-6CB6A04E2ADC}">
  <sheetPr>
    <tabColor rgb="FF0070C0"/>
  </sheetPr>
  <dimension ref="A1"/>
  <sheetViews>
    <sheetView workbookViewId="0"/>
  </sheetViews>
  <sheetFormatPr defaultRowHeight="14.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3F22F-78F2-423A-A72F-F6B5E5361884}">
  <sheetPr codeName="Sheet4">
    <pageSetUpPr fitToPage="1"/>
  </sheetPr>
  <dimension ref="C1:AA52"/>
  <sheetViews>
    <sheetView showGridLines="0" view="pageBreakPreview" zoomScale="60" zoomScaleNormal="100" workbookViewId="0"/>
  </sheetViews>
  <sheetFormatPr defaultColWidth="9.19921875" defaultRowHeight="18"/>
  <cols>
    <col min="1" max="1" width="1.73046875" style="234" customWidth="1"/>
    <col min="2" max="2" width="2.46484375" style="234" customWidth="1"/>
    <col min="3" max="3" width="30.73046875" style="6" customWidth="1"/>
    <col min="4" max="4" width="15.46484375" style="6" customWidth="1"/>
    <col min="5" max="5" width="11.53125" style="6" bestFit="1" customWidth="1"/>
    <col min="6" max="9" width="11.73046875" style="6" customWidth="1"/>
    <col min="10" max="10" width="13" style="6" customWidth="1"/>
    <col min="11" max="12" width="11.73046875" style="6" customWidth="1"/>
    <col min="13" max="13" width="11.796875" style="6" customWidth="1"/>
    <col min="14" max="14" width="6" style="6" customWidth="1"/>
    <col min="15" max="15" width="17.73046875" style="6" customWidth="1"/>
    <col min="16" max="16" width="18" style="6" customWidth="1"/>
    <col min="17" max="18" width="15.73046875" style="6" customWidth="1"/>
    <col min="19" max="19" width="4.796875" style="6" customWidth="1"/>
    <col min="20" max="20" width="19.19921875" style="6" customWidth="1"/>
    <col min="21" max="21" width="16.73046875" style="6" customWidth="1"/>
    <col min="22" max="22" width="16.19921875" style="6" customWidth="1"/>
    <col min="23" max="27" width="16.19921875" style="234" customWidth="1"/>
    <col min="28" max="28" width="9.46484375" style="234" bestFit="1" customWidth="1"/>
    <col min="29" max="16384" width="9.19921875" style="234"/>
  </cols>
  <sheetData>
    <row r="1" spans="3:25" ht="6" customHeight="1">
      <c r="C1" s="634"/>
      <c r="D1" s="634"/>
      <c r="E1" s="634"/>
      <c r="F1" s="634"/>
      <c r="G1" s="634"/>
      <c r="H1" s="634"/>
      <c r="I1" s="634"/>
      <c r="J1" s="634"/>
      <c r="K1" s="634"/>
      <c r="L1" s="634"/>
      <c r="M1" s="634"/>
      <c r="N1" s="634"/>
      <c r="O1" s="634"/>
      <c r="P1" s="634"/>
      <c r="Q1" s="634"/>
      <c r="R1" s="634"/>
      <c r="S1" s="634"/>
      <c r="T1" s="634"/>
      <c r="U1" s="634"/>
      <c r="V1" s="634"/>
    </row>
    <row r="2" spans="3:25" ht="13.5" customHeight="1" thickBot="1">
      <c r="C2" s="634"/>
      <c r="D2" s="634"/>
      <c r="E2" s="634"/>
      <c r="F2" s="634"/>
      <c r="G2" s="634"/>
      <c r="H2" s="634"/>
      <c r="I2" s="634"/>
      <c r="J2" s="634"/>
      <c r="K2" s="634"/>
      <c r="L2" s="634"/>
      <c r="M2" s="634"/>
      <c r="N2" s="634"/>
      <c r="O2" s="634"/>
      <c r="P2" s="634"/>
      <c r="Q2" s="634"/>
      <c r="R2" s="634"/>
      <c r="S2" s="634"/>
      <c r="T2" s="634"/>
      <c r="U2" s="634"/>
      <c r="V2" s="634"/>
    </row>
    <row r="3" spans="3:25" ht="21.4" thickBot="1">
      <c r="C3" s="692" t="s">
        <v>746</v>
      </c>
      <c r="D3" s="691" t="s">
        <v>745</v>
      </c>
      <c r="E3" s="665"/>
      <c r="F3" s="665"/>
      <c r="G3" s="665"/>
      <c r="H3" s="665"/>
      <c r="I3" s="665"/>
      <c r="J3" s="665"/>
      <c r="K3" s="665"/>
      <c r="L3" s="665"/>
      <c r="M3" s="665"/>
      <c r="N3" s="665"/>
      <c r="O3" s="665"/>
      <c r="P3" s="665"/>
      <c r="Q3" s="665"/>
      <c r="R3" s="690"/>
      <c r="S3" s="690"/>
      <c r="T3" s="690"/>
      <c r="U3" s="689" t="str">
        <f ca="1">+"Trade Date: "&amp;TEXT(V3,"m/d/yy")</f>
        <v>Trade Date: 12/18/25</v>
      </c>
      <c r="V3" s="668">
        <f ca="1">+TODAY()</f>
        <v>46009</v>
      </c>
    </row>
    <row r="4" spans="3:25">
      <c r="C4" s="688" t="s">
        <v>0</v>
      </c>
      <c r="D4" s="687" t="s">
        <v>617</v>
      </c>
      <c r="E4" s="686"/>
      <c r="F4" s="648" t="s">
        <v>1</v>
      </c>
      <c r="G4" s="24"/>
      <c r="H4" s="684" t="s">
        <v>744</v>
      </c>
      <c r="I4" s="685"/>
      <c r="J4" s="648" t="s">
        <v>743</v>
      </c>
      <c r="K4" s="24"/>
      <c r="L4" s="684" t="s">
        <v>742</v>
      </c>
      <c r="M4" s="684"/>
      <c r="N4" s="647"/>
      <c r="O4" s="647" t="s">
        <v>741</v>
      </c>
      <c r="P4" s="24"/>
      <c r="Q4" s="683" t="s">
        <v>132</v>
      </c>
      <c r="R4" s="682"/>
      <c r="S4" s="682"/>
      <c r="T4" s="721" t="str">
        <f>'One Pager - 1'!V3</f>
        <v>Last report date:</v>
      </c>
      <c r="U4" s="722" t="str">
        <f ca="1">'One Pager - 1'!W3</f>
        <v>3/31/2022</v>
      </c>
      <c r="V4" s="668"/>
    </row>
    <row r="5" spans="3:25">
      <c r="C5" s="344" t="s">
        <v>740</v>
      </c>
      <c r="D5" s="681">
        <v>5.0000000000000001E-3</v>
      </c>
      <c r="E5" s="230"/>
      <c r="F5" s="634" t="s">
        <v>5</v>
      </c>
      <c r="H5" s="680" t="s">
        <v>739</v>
      </c>
      <c r="I5" s="679"/>
      <c r="J5" s="634" t="s">
        <v>738</v>
      </c>
      <c r="L5" s="678">
        <v>475</v>
      </c>
      <c r="M5" s="678"/>
      <c r="N5" s="234"/>
      <c r="O5" s="234" t="s">
        <v>737</v>
      </c>
      <c r="P5" s="634"/>
      <c r="Q5" s="677">
        <v>340</v>
      </c>
      <c r="R5" s="676">
        <v>300</v>
      </c>
      <c r="S5" s="676"/>
      <c r="T5" s="723" t="str">
        <f>'One Pager - 1'!V4</f>
        <v>Next report date:</v>
      </c>
      <c r="U5" s="724" t="str">
        <f ca="1">'One Pager - 1'!W4</f>
        <v>6/30/2022</v>
      </c>
      <c r="V5" s="668"/>
    </row>
    <row r="6" spans="3:25" ht="18.399999999999999" thickBot="1">
      <c r="C6" s="340" t="s">
        <v>736</v>
      </c>
      <c r="D6" s="675">
        <f>D5*2000</f>
        <v>10</v>
      </c>
      <c r="E6" s="674"/>
      <c r="F6" s="669" t="s">
        <v>735</v>
      </c>
      <c r="G6" s="12"/>
      <c r="H6" s="672" t="s">
        <v>734</v>
      </c>
      <c r="I6" s="673"/>
      <c r="J6" s="669" t="s">
        <v>733</v>
      </c>
      <c r="K6" s="12"/>
      <c r="L6" s="672" t="s">
        <v>732</v>
      </c>
      <c r="M6" s="672" t="s">
        <v>731</v>
      </c>
      <c r="N6" s="59"/>
      <c r="O6" s="59" t="s">
        <v>730</v>
      </c>
      <c r="P6" s="669"/>
      <c r="Q6" s="671">
        <v>0.05</v>
      </c>
      <c r="R6" s="670" t="s">
        <v>729</v>
      </c>
      <c r="S6" s="670"/>
      <c r="T6" s="270" t="str">
        <f>'One Pager - 1'!V5</f>
        <v>Fiscal year end:</v>
      </c>
      <c r="U6" s="725" t="str">
        <f ca="1">'One Pager - 1'!W5</f>
        <v>December</v>
      </c>
      <c r="V6" s="668"/>
    </row>
    <row r="7" spans="3:25" ht="18.399999999999999" thickBot="1">
      <c r="C7" s="667" t="s">
        <v>728</v>
      </c>
      <c r="D7" s="666"/>
      <c r="E7" s="666"/>
      <c r="F7" s="666"/>
      <c r="G7" s="666"/>
      <c r="H7" s="666"/>
      <c r="I7" s="666"/>
      <c r="J7" s="665"/>
      <c r="K7" s="665"/>
      <c r="L7" s="244" t="s">
        <v>727</v>
      </c>
      <c r="M7" s="245"/>
      <c r="N7" s="245"/>
      <c r="O7" s="245"/>
      <c r="P7" s="245"/>
      <c r="Q7" s="245"/>
      <c r="R7" s="245"/>
      <c r="S7" s="245"/>
      <c r="T7" s="245"/>
      <c r="U7" s="246"/>
      <c r="V7" s="634"/>
    </row>
    <row r="8" spans="3:25">
      <c r="C8" s="664"/>
      <c r="D8" s="663"/>
      <c r="E8" s="662"/>
      <c r="F8" s="838"/>
      <c r="G8" s="838"/>
      <c r="H8" s="838"/>
      <c r="I8" s="838"/>
      <c r="J8" s="838"/>
      <c r="K8" s="858"/>
      <c r="L8" s="659"/>
      <c r="M8" s="661"/>
      <c r="N8" s="660"/>
      <c r="O8" s="659"/>
      <c r="P8" s="659"/>
      <c r="Q8" s="659"/>
      <c r="R8" s="659"/>
      <c r="S8" s="659"/>
      <c r="T8" s="659"/>
      <c r="U8" s="658"/>
      <c r="V8" s="634"/>
    </row>
    <row r="9" spans="3:25" ht="54.75" customHeight="1">
      <c r="C9" s="842"/>
      <c r="D9" s="843"/>
      <c r="E9" s="843"/>
      <c r="F9" s="843"/>
      <c r="G9" s="843"/>
      <c r="H9" s="843"/>
      <c r="I9" s="843"/>
      <c r="J9" s="843"/>
      <c r="K9" s="844"/>
      <c r="L9" s="859"/>
      <c r="M9" s="859"/>
      <c r="N9" s="859"/>
      <c r="O9" s="859"/>
      <c r="P9" s="859"/>
      <c r="Q9" s="859"/>
      <c r="R9" s="859"/>
      <c r="S9" s="859"/>
      <c r="T9" s="859"/>
      <c r="U9" s="860"/>
      <c r="V9" s="29"/>
      <c r="X9" s="6"/>
      <c r="Y9" s="657"/>
    </row>
    <row r="10" spans="3:25" ht="54.75" customHeight="1">
      <c r="C10" s="842"/>
      <c r="D10" s="843"/>
      <c r="E10" s="843"/>
      <c r="F10" s="843"/>
      <c r="G10" s="843"/>
      <c r="H10" s="843"/>
      <c r="I10" s="843"/>
      <c r="J10" s="843"/>
      <c r="K10" s="844"/>
      <c r="L10" s="843"/>
      <c r="M10" s="843"/>
      <c r="N10" s="843"/>
      <c r="O10" s="843"/>
      <c r="P10" s="843"/>
      <c r="Q10" s="843"/>
      <c r="R10" s="843"/>
      <c r="S10" s="843"/>
      <c r="T10" s="843"/>
      <c r="U10" s="844"/>
      <c r="V10" s="655"/>
      <c r="X10" s="634"/>
      <c r="Y10" s="656"/>
    </row>
    <row r="11" spans="3:25" ht="54.75" customHeight="1">
      <c r="C11" s="842"/>
      <c r="D11" s="843"/>
      <c r="E11" s="843"/>
      <c r="F11" s="843"/>
      <c r="G11" s="843"/>
      <c r="H11" s="843"/>
      <c r="I11" s="843"/>
      <c r="J11" s="843"/>
      <c r="K11" s="844"/>
      <c r="L11" s="843"/>
      <c r="M11" s="843"/>
      <c r="N11" s="843"/>
      <c r="O11" s="843"/>
      <c r="P11" s="843"/>
      <c r="Q11" s="843"/>
      <c r="R11" s="843"/>
      <c r="S11" s="843"/>
      <c r="T11" s="843"/>
      <c r="U11" s="844"/>
      <c r="V11" s="655"/>
    </row>
    <row r="12" spans="3:25" ht="54.75" customHeight="1">
      <c r="C12" s="842"/>
      <c r="D12" s="843"/>
      <c r="E12" s="843"/>
      <c r="F12" s="843"/>
      <c r="G12" s="843"/>
      <c r="H12" s="843"/>
      <c r="I12" s="843"/>
      <c r="J12" s="843"/>
      <c r="K12" s="844"/>
      <c r="L12" s="843"/>
      <c r="M12" s="843"/>
      <c r="N12" s="843"/>
      <c r="O12" s="843"/>
      <c r="P12" s="843"/>
      <c r="Q12" s="843"/>
      <c r="R12" s="843"/>
      <c r="S12" s="843"/>
      <c r="T12" s="843"/>
      <c r="U12" s="844"/>
      <c r="V12" s="634"/>
    </row>
    <row r="13" spans="3:25" ht="54.75" customHeight="1">
      <c r="C13" s="842"/>
      <c r="D13" s="843"/>
      <c r="E13" s="843"/>
      <c r="F13" s="843"/>
      <c r="G13" s="843"/>
      <c r="H13" s="843"/>
      <c r="I13" s="843"/>
      <c r="J13" s="843"/>
      <c r="K13" s="844"/>
      <c r="L13" s="843"/>
      <c r="M13" s="843"/>
      <c r="N13" s="843"/>
      <c r="O13" s="843"/>
      <c r="P13" s="843"/>
      <c r="Q13" s="843"/>
      <c r="R13" s="843"/>
      <c r="S13" s="843"/>
      <c r="T13" s="843"/>
      <c r="U13" s="844"/>
      <c r="V13" s="634"/>
    </row>
    <row r="14" spans="3:25" ht="54.75" customHeight="1">
      <c r="C14" s="842"/>
      <c r="D14" s="843"/>
      <c r="E14" s="843"/>
      <c r="F14" s="843"/>
      <c r="G14" s="843"/>
      <c r="H14" s="843"/>
      <c r="I14" s="843"/>
      <c r="J14" s="843"/>
      <c r="K14" s="844"/>
      <c r="L14" s="843"/>
      <c r="M14" s="843"/>
      <c r="N14" s="843"/>
      <c r="O14" s="843"/>
      <c r="P14" s="843"/>
      <c r="Q14" s="843"/>
      <c r="R14" s="843"/>
      <c r="S14" s="843"/>
      <c r="T14" s="843"/>
      <c r="U14" s="844"/>
      <c r="V14" s="634"/>
    </row>
    <row r="15" spans="3:25" ht="54.75" customHeight="1">
      <c r="C15" s="842"/>
      <c r="D15" s="843"/>
      <c r="E15" s="843"/>
      <c r="F15" s="843"/>
      <c r="G15" s="843"/>
      <c r="H15" s="843"/>
      <c r="I15" s="843"/>
      <c r="J15" s="843"/>
      <c r="K15" s="844"/>
      <c r="L15" s="843"/>
      <c r="M15" s="843"/>
      <c r="N15" s="843"/>
      <c r="O15" s="843"/>
      <c r="P15" s="843"/>
      <c r="Q15" s="843"/>
      <c r="R15" s="843"/>
      <c r="S15" s="843"/>
      <c r="T15" s="843"/>
      <c r="U15" s="844"/>
      <c r="V15" s="634"/>
    </row>
    <row r="16" spans="3:25" ht="20.2" customHeight="1" thickBot="1">
      <c r="C16" s="654"/>
      <c r="D16" s="653"/>
      <c r="E16" s="653"/>
      <c r="F16" s="653"/>
      <c r="G16" s="653"/>
      <c r="H16" s="653"/>
      <c r="I16" s="653"/>
      <c r="J16" s="653"/>
      <c r="K16" s="652"/>
      <c r="L16" s="617"/>
      <c r="M16" s="617"/>
      <c r="N16" s="617"/>
      <c r="O16" s="617"/>
      <c r="P16" s="617"/>
      <c r="Q16" s="617"/>
      <c r="R16" s="617"/>
      <c r="S16" s="617"/>
      <c r="T16" s="617"/>
      <c r="U16" s="616"/>
      <c r="V16" s="634"/>
    </row>
    <row r="17" spans="3:27" ht="18.399999999999999" thickBot="1">
      <c r="C17" s="651" t="s">
        <v>726</v>
      </c>
      <c r="D17" s="632"/>
      <c r="E17" s="629"/>
      <c r="F17" s="628"/>
      <c r="G17" s="629"/>
      <c r="H17" s="629"/>
      <c r="I17" s="629"/>
      <c r="J17" s="628"/>
      <c r="K17" s="627"/>
      <c r="L17" s="631" t="s">
        <v>725</v>
      </c>
      <c r="M17" s="629"/>
      <c r="N17" s="628"/>
      <c r="O17" s="629"/>
      <c r="P17" s="629"/>
      <c r="Q17" s="629"/>
      <c r="R17" s="628"/>
      <c r="S17" s="628"/>
      <c r="T17" s="628"/>
      <c r="U17" s="627"/>
      <c r="V17" s="634"/>
      <c r="W17" s="640"/>
    </row>
    <row r="18" spans="3:27">
      <c r="C18" s="650"/>
      <c r="D18" s="24"/>
      <c r="E18" s="24"/>
      <c r="F18" s="24"/>
      <c r="G18" s="24"/>
      <c r="H18" s="24"/>
      <c r="I18" s="24"/>
      <c r="J18" s="24"/>
      <c r="K18" s="24"/>
      <c r="L18" s="649"/>
      <c r="M18" s="648"/>
      <c r="N18" s="647"/>
      <c r="O18" s="24"/>
      <c r="P18" s="24"/>
      <c r="Q18" s="24"/>
      <c r="R18" s="24"/>
      <c r="S18" s="24"/>
      <c r="T18" s="24"/>
      <c r="U18" s="646"/>
      <c r="V18" s="634"/>
    </row>
    <row r="19" spans="3:27">
      <c r="C19" s="636"/>
      <c r="D19" s="635"/>
      <c r="E19" s="635"/>
      <c r="F19" s="635"/>
      <c r="G19" s="635"/>
      <c r="H19" s="635"/>
      <c r="I19" s="635"/>
      <c r="J19" s="635"/>
      <c r="K19" s="634"/>
      <c r="L19" s="643"/>
      <c r="M19" s="634"/>
      <c r="N19" s="645"/>
      <c r="U19" s="641"/>
      <c r="V19" s="634"/>
    </row>
    <row r="20" spans="3:27">
      <c r="C20" s="636"/>
      <c r="D20" s="635"/>
      <c r="E20" s="635"/>
      <c r="F20" s="635"/>
      <c r="G20" s="635"/>
      <c r="H20" s="635"/>
      <c r="I20" s="635"/>
      <c r="J20" s="635"/>
      <c r="K20" s="634"/>
      <c r="L20" s="643"/>
      <c r="M20" s="634"/>
      <c r="N20" s="634"/>
      <c r="U20" s="641"/>
      <c r="V20" s="634"/>
    </row>
    <row r="21" spans="3:27">
      <c r="C21" s="636"/>
      <c r="D21" s="635"/>
      <c r="E21" s="635"/>
      <c r="F21" s="635"/>
      <c r="G21" s="635"/>
      <c r="H21" s="635"/>
      <c r="I21" s="635"/>
      <c r="J21" s="635"/>
      <c r="K21" s="634"/>
      <c r="L21" s="643"/>
      <c r="M21" s="634"/>
      <c r="N21" s="634"/>
      <c r="U21" s="641"/>
      <c r="V21" s="634"/>
    </row>
    <row r="22" spans="3:27">
      <c r="C22" s="636"/>
      <c r="D22" s="635"/>
      <c r="E22" s="635"/>
      <c r="F22" s="635"/>
      <c r="G22" s="635"/>
      <c r="H22" s="635"/>
      <c r="I22" s="635"/>
      <c r="J22" s="635"/>
      <c r="K22" s="634"/>
      <c r="L22" s="643"/>
      <c r="M22" s="634"/>
      <c r="N22" s="634"/>
      <c r="U22" s="641"/>
      <c r="V22" s="634"/>
    </row>
    <row r="23" spans="3:27">
      <c r="C23" s="636"/>
      <c r="D23" s="635"/>
      <c r="E23" s="635"/>
      <c r="F23" s="635"/>
      <c r="G23" s="635"/>
      <c r="H23" s="635"/>
      <c r="I23" s="635"/>
      <c r="J23" s="635"/>
      <c r="K23" s="634"/>
      <c r="L23" s="643"/>
      <c r="M23" s="634"/>
      <c r="N23" s="634"/>
      <c r="U23" s="641"/>
      <c r="V23" s="634"/>
    </row>
    <row r="24" spans="3:27">
      <c r="C24" s="636"/>
      <c r="D24" s="635"/>
      <c r="E24" s="635"/>
      <c r="F24" s="635"/>
      <c r="G24" s="635"/>
      <c r="H24" s="635"/>
      <c r="I24" s="635"/>
      <c r="J24" s="635"/>
      <c r="K24" s="634"/>
      <c r="L24" s="643"/>
      <c r="M24" s="634"/>
      <c r="N24" s="634"/>
      <c r="U24" s="641"/>
      <c r="V24" s="634"/>
    </row>
    <row r="25" spans="3:27">
      <c r="C25" s="636"/>
      <c r="D25" s="635"/>
      <c r="E25" s="635"/>
      <c r="F25" s="635"/>
      <c r="G25" s="635"/>
      <c r="H25" s="635"/>
      <c r="I25" s="635"/>
      <c r="J25" s="635"/>
      <c r="K25" s="634"/>
      <c r="L25" s="643"/>
      <c r="M25" s="634"/>
      <c r="N25" s="634"/>
      <c r="U25" s="641"/>
      <c r="V25" s="634"/>
    </row>
    <row r="26" spans="3:27" ht="20.25">
      <c r="C26" s="636"/>
      <c r="D26" s="635"/>
      <c r="E26" s="635"/>
      <c r="F26" s="635"/>
      <c r="G26" s="635"/>
      <c r="H26" s="635"/>
      <c r="I26" s="635"/>
      <c r="J26" s="635"/>
      <c r="K26" s="634"/>
      <c r="L26" s="643"/>
      <c r="M26" s="634"/>
      <c r="N26" s="634"/>
      <c r="U26" s="641"/>
      <c r="V26" s="634"/>
      <c r="Y26" s="644" t="s">
        <v>132</v>
      </c>
      <c r="Z26" s="644" t="s">
        <v>724</v>
      </c>
      <c r="AA26" s="644" t="s">
        <v>723</v>
      </c>
    </row>
    <row r="27" spans="3:27">
      <c r="C27" s="636"/>
      <c r="D27" s="635"/>
      <c r="E27" s="635"/>
      <c r="F27" s="635"/>
      <c r="G27" s="635"/>
      <c r="H27" s="635"/>
      <c r="I27" s="635"/>
      <c r="J27" s="635"/>
      <c r="K27" s="634"/>
      <c r="L27" s="643"/>
      <c r="M27" s="634"/>
      <c r="N27" s="634"/>
      <c r="U27" s="641"/>
      <c r="V27" s="634"/>
      <c r="X27" s="234" t="s">
        <v>722</v>
      </c>
      <c r="Y27" s="640">
        <v>453</v>
      </c>
      <c r="Z27" s="640">
        <v>1200</v>
      </c>
      <c r="AA27" s="639">
        <f>+(530-829)/983</f>
        <v>-0.3041709053916582</v>
      </c>
    </row>
    <row r="28" spans="3:27">
      <c r="C28" s="636"/>
      <c r="D28" s="635"/>
      <c r="E28" s="635"/>
      <c r="F28" s="635"/>
      <c r="G28" s="635"/>
      <c r="H28" s="635"/>
      <c r="I28" s="635"/>
      <c r="J28" s="635"/>
      <c r="K28" s="634"/>
      <c r="L28" s="643"/>
      <c r="M28" s="634"/>
      <c r="N28" s="634"/>
      <c r="U28" s="641"/>
      <c r="X28" s="234" t="s">
        <v>721</v>
      </c>
      <c r="Y28" s="640">
        <v>382</v>
      </c>
      <c r="Z28" s="640">
        <v>1250</v>
      </c>
      <c r="AA28" s="639">
        <f>+(515-203)/1044</f>
        <v>0.2988505747126437</v>
      </c>
    </row>
    <row r="29" spans="3:27">
      <c r="C29" s="636"/>
      <c r="D29" s="635"/>
      <c r="E29" s="635"/>
      <c r="F29" s="635"/>
      <c r="G29" s="635"/>
      <c r="H29" s="635"/>
      <c r="I29" s="635"/>
      <c r="J29" s="635"/>
      <c r="K29" s="634"/>
      <c r="L29" s="643"/>
      <c r="M29" s="634"/>
      <c r="N29" s="634"/>
      <c r="U29" s="641"/>
      <c r="X29" s="234" t="s">
        <v>720</v>
      </c>
      <c r="Y29" s="640">
        <v>517</v>
      </c>
      <c r="Z29" s="640">
        <v>950</v>
      </c>
      <c r="AA29" s="639">
        <f>+(449-410)/1552</f>
        <v>2.5128865979381444E-2</v>
      </c>
    </row>
    <row r="30" spans="3:27">
      <c r="C30" s="636"/>
      <c r="D30" s="635"/>
      <c r="E30" s="635"/>
      <c r="F30" s="635"/>
      <c r="G30" s="635"/>
      <c r="H30" s="635"/>
      <c r="I30" s="635"/>
      <c r="J30" s="635"/>
      <c r="K30" s="634"/>
      <c r="L30" s="642"/>
      <c r="M30" s="634"/>
      <c r="N30" s="634"/>
      <c r="U30" s="641"/>
      <c r="V30" s="633"/>
      <c r="X30" s="234" t="s">
        <v>617</v>
      </c>
      <c r="Y30" s="640">
        <v>460</v>
      </c>
      <c r="Z30" s="640">
        <v>1200</v>
      </c>
      <c r="AA30" s="639">
        <f ca="1">+'One Pager - 1'!E32/'One Pager - 1'!E35</f>
        <v>0.10809985989182408</v>
      </c>
    </row>
    <row r="31" spans="3:27">
      <c r="C31" s="636"/>
      <c r="D31" s="635"/>
      <c r="E31" s="635"/>
      <c r="F31" s="635"/>
      <c r="G31" s="635"/>
      <c r="H31" s="635"/>
      <c r="I31" s="635"/>
      <c r="J31" s="635"/>
      <c r="K31" s="634"/>
      <c r="L31" s="638"/>
      <c r="M31" s="634"/>
      <c r="N31" s="634"/>
      <c r="U31" s="637"/>
      <c r="V31" s="633"/>
      <c r="X31" s="234" t="s">
        <v>719</v>
      </c>
      <c r="Y31" s="640">
        <v>187</v>
      </c>
      <c r="Z31" s="640">
        <v>1100</v>
      </c>
      <c r="AA31" s="639">
        <f>(5153-5138)/42667</f>
        <v>3.5155975343942623E-4</v>
      </c>
    </row>
    <row r="32" spans="3:27">
      <c r="C32" s="636"/>
      <c r="D32" s="635"/>
      <c r="E32" s="635"/>
      <c r="F32" s="635"/>
      <c r="G32" s="635"/>
      <c r="H32" s="635"/>
      <c r="I32" s="635"/>
      <c r="J32" s="635"/>
      <c r="K32" s="634"/>
      <c r="L32" s="638"/>
      <c r="M32" s="634"/>
      <c r="N32" s="634"/>
      <c r="U32" s="637"/>
      <c r="V32" s="633"/>
      <c r="X32" s="234" t="s">
        <v>718</v>
      </c>
      <c r="Y32" s="640">
        <v>165</v>
      </c>
      <c r="Z32" s="640">
        <v>1080</v>
      </c>
      <c r="AA32" s="639">
        <f>+(994-702)/5132</f>
        <v>5.6897895557287609E-2</v>
      </c>
    </row>
    <row r="33" spans="3:27">
      <c r="C33" s="636"/>
      <c r="D33" s="635"/>
      <c r="E33" s="635"/>
      <c r="F33" s="635"/>
      <c r="G33" s="635"/>
      <c r="H33" s="635"/>
      <c r="I33" s="635"/>
      <c r="J33" s="635"/>
      <c r="K33" s="634"/>
      <c r="L33" s="638"/>
      <c r="M33" s="634"/>
      <c r="N33" s="634"/>
      <c r="U33" s="637"/>
      <c r="V33" s="633"/>
      <c r="X33" s="234" t="s">
        <v>717</v>
      </c>
      <c r="Y33" s="640">
        <v>287</v>
      </c>
      <c r="Z33" s="640">
        <v>1000</v>
      </c>
      <c r="AA33" s="639">
        <f>+(1495-675)/8093</f>
        <v>0.10132213023600642</v>
      </c>
    </row>
    <row r="34" spans="3:27">
      <c r="C34" s="636"/>
      <c r="D34" s="635"/>
      <c r="E34" s="635"/>
      <c r="F34" s="635"/>
      <c r="G34" s="635"/>
      <c r="H34" s="635"/>
      <c r="I34" s="635"/>
      <c r="J34" s="635"/>
      <c r="K34" s="634"/>
      <c r="L34" s="638"/>
      <c r="M34" s="634"/>
      <c r="N34" s="634"/>
      <c r="U34" s="637"/>
      <c r="V34" s="633"/>
    </row>
    <row r="35" spans="3:27">
      <c r="C35" s="636"/>
      <c r="D35" s="635"/>
      <c r="E35" s="635"/>
      <c r="F35" s="635"/>
      <c r="G35" s="635"/>
      <c r="H35" s="635"/>
      <c r="I35" s="635"/>
      <c r="J35" s="635"/>
      <c r="K35" s="634"/>
      <c r="L35" s="638"/>
      <c r="M35" s="634"/>
      <c r="N35" s="634"/>
      <c r="U35" s="637"/>
      <c r="V35" s="633"/>
    </row>
    <row r="36" spans="3:27">
      <c r="C36" s="636"/>
      <c r="D36" s="635"/>
      <c r="E36" s="635"/>
      <c r="F36" s="635"/>
      <c r="G36" s="635"/>
      <c r="H36" s="635"/>
      <c r="I36" s="635"/>
      <c r="J36" s="635"/>
      <c r="K36" s="634"/>
      <c r="L36" s="638"/>
      <c r="M36" s="634"/>
      <c r="N36" s="634"/>
      <c r="U36" s="637"/>
      <c r="V36" s="633"/>
    </row>
    <row r="37" spans="3:27">
      <c r="C37" s="636"/>
      <c r="D37" s="635"/>
      <c r="E37" s="635"/>
      <c r="F37" s="635"/>
      <c r="G37" s="635"/>
      <c r="H37" s="635"/>
      <c r="I37" s="635"/>
      <c r="J37" s="635"/>
      <c r="K37" s="634"/>
      <c r="L37" s="638"/>
      <c r="M37" s="634"/>
      <c r="N37" s="634"/>
      <c r="U37" s="637"/>
      <c r="V37" s="633"/>
    </row>
    <row r="38" spans="3:27" ht="18.399999999999999" thickBot="1">
      <c r="C38" s="636"/>
      <c r="D38" s="635"/>
      <c r="E38" s="635"/>
      <c r="F38" s="635"/>
      <c r="G38" s="635"/>
      <c r="H38" s="635"/>
      <c r="I38" s="635"/>
      <c r="J38" s="635"/>
      <c r="K38" s="634"/>
      <c r="L38" s="58"/>
      <c r="M38" s="59"/>
      <c r="N38" s="59"/>
      <c r="O38" s="59"/>
      <c r="P38" s="59"/>
      <c r="Q38" s="59"/>
      <c r="R38" s="59"/>
      <c r="S38" s="59"/>
      <c r="T38" s="59"/>
      <c r="U38" s="61"/>
      <c r="V38" s="633"/>
    </row>
    <row r="39" spans="3:27" ht="18.399999999999999" thickBot="1">
      <c r="C39" s="631" t="s">
        <v>716</v>
      </c>
      <c r="D39" s="632"/>
      <c r="E39" s="629"/>
      <c r="F39" s="628"/>
      <c r="G39" s="629"/>
      <c r="H39" s="629"/>
      <c r="I39" s="631" t="s">
        <v>715</v>
      </c>
      <c r="J39" s="628"/>
      <c r="K39" s="628"/>
      <c r="L39" s="630"/>
      <c r="M39" s="629"/>
      <c r="N39" s="628"/>
      <c r="O39" s="629"/>
      <c r="P39" s="629"/>
      <c r="Q39" s="629"/>
      <c r="R39" s="628"/>
      <c r="S39" s="628"/>
      <c r="T39" s="628"/>
      <c r="U39" s="627"/>
    </row>
    <row r="40" spans="3:27" ht="20.25">
      <c r="C40" s="626" t="s">
        <v>46</v>
      </c>
      <c r="D40" s="621"/>
      <c r="E40" s="625" t="s">
        <v>714</v>
      </c>
      <c r="F40" s="619"/>
      <c r="G40" s="624" t="s">
        <v>713</v>
      </c>
      <c r="H40" s="623" t="s">
        <v>51</v>
      </c>
      <c r="I40" s="24"/>
      <c r="J40" s="24"/>
      <c r="K40" s="24"/>
      <c r="L40" s="24"/>
      <c r="M40" s="24"/>
      <c r="N40" s="24"/>
      <c r="O40" s="24"/>
      <c r="P40" s="24"/>
      <c r="Q40" s="24"/>
      <c r="R40" s="24"/>
      <c r="S40" s="24"/>
      <c r="T40" s="24"/>
      <c r="U40" s="622"/>
    </row>
    <row r="41" spans="3:27">
      <c r="C41" s="615" t="s">
        <v>188</v>
      </c>
      <c r="D41" s="621"/>
      <c r="E41" s="620">
        <v>131.977</v>
      </c>
      <c r="F41" s="619"/>
      <c r="G41" s="613">
        <f t="shared" ref="G41:G46" si="0">E41/$E$47</f>
        <v>0.47473741007194248</v>
      </c>
      <c r="H41" s="612">
        <f>E41/$E$46</f>
        <v>2.5666162718380292E-2</v>
      </c>
      <c r="U41" s="30"/>
    </row>
    <row r="42" spans="3:27">
      <c r="C42" s="615" t="s">
        <v>712</v>
      </c>
      <c r="D42" s="617"/>
      <c r="E42" s="618">
        <f>250+E41</f>
        <v>381.97699999999998</v>
      </c>
      <c r="F42" s="617"/>
      <c r="G42" s="613">
        <f t="shared" si="0"/>
        <v>1.3740179856115107</v>
      </c>
      <c r="H42" s="616"/>
      <c r="U42" s="30"/>
    </row>
    <row r="43" spans="3:27">
      <c r="C43" s="615" t="s">
        <v>711</v>
      </c>
      <c r="D43" s="234"/>
      <c r="E43" s="605">
        <v>0</v>
      </c>
      <c r="F43" s="234"/>
      <c r="G43" s="613">
        <f t="shared" si="0"/>
        <v>0</v>
      </c>
      <c r="H43" s="612">
        <f>E43/$E$46</f>
        <v>0</v>
      </c>
      <c r="U43" s="30"/>
    </row>
    <row r="44" spans="3:27">
      <c r="C44" s="614" t="s">
        <v>63</v>
      </c>
      <c r="D44" s="234"/>
      <c r="E44" s="605">
        <v>555.83900000000006</v>
      </c>
      <c r="F44" s="234"/>
      <c r="G44" s="613">
        <f t="shared" si="0"/>
        <v>1.9994208633093526</v>
      </c>
      <c r="H44" s="612">
        <f>E44/$E$46</f>
        <v>0.10809651847838475</v>
      </c>
      <c r="U44" s="30"/>
    </row>
    <row r="45" spans="3:27">
      <c r="C45" s="146" t="s">
        <v>710</v>
      </c>
      <c r="D45" s="234"/>
      <c r="E45" s="605">
        <v>4718.2</v>
      </c>
      <c r="F45" s="234"/>
      <c r="G45" s="613">
        <f t="shared" si="0"/>
        <v>16.971942446043165</v>
      </c>
      <c r="H45" s="612">
        <f>E45/$E$46</f>
        <v>0.91756964423999554</v>
      </c>
      <c r="U45" s="30"/>
    </row>
    <row r="46" spans="3:27">
      <c r="C46" s="611" t="s">
        <v>709</v>
      </c>
      <c r="D46" s="609"/>
      <c r="E46" s="610">
        <f>E45+E44-E41</f>
        <v>5142.0619999999999</v>
      </c>
      <c r="F46" s="609"/>
      <c r="G46" s="608">
        <f t="shared" si="0"/>
        <v>18.496625899280573</v>
      </c>
      <c r="H46" s="607"/>
      <c r="U46" s="30"/>
    </row>
    <row r="47" spans="3:27">
      <c r="C47" s="146" t="s">
        <v>708</v>
      </c>
      <c r="D47" s="606"/>
      <c r="E47" s="605">
        <v>278</v>
      </c>
      <c r="F47" s="234"/>
      <c r="G47" s="234"/>
      <c r="H47" s="603"/>
      <c r="U47" s="30"/>
    </row>
    <row r="48" spans="3:27">
      <c r="C48" s="146" t="s">
        <v>707</v>
      </c>
      <c r="D48" s="234"/>
      <c r="E48" s="605">
        <f>213-92.5</f>
        <v>120.5</v>
      </c>
      <c r="F48" s="234"/>
      <c r="G48" s="234"/>
      <c r="H48" s="603"/>
      <c r="U48" s="30"/>
    </row>
    <row r="49" spans="3:21">
      <c r="C49" s="146" t="s">
        <v>706</v>
      </c>
      <c r="D49" s="234"/>
      <c r="E49" s="604">
        <f>E48/E44</f>
        <v>0.21678939405115508</v>
      </c>
      <c r="F49" s="234"/>
      <c r="G49" s="234"/>
      <c r="H49" s="603"/>
      <c r="U49" s="30"/>
    </row>
    <row r="50" spans="3:21">
      <c r="C50" s="34"/>
      <c r="H50" s="603"/>
      <c r="U50" s="30"/>
    </row>
    <row r="51" spans="3:21">
      <c r="C51" s="34"/>
      <c r="H51" s="603"/>
      <c r="U51" s="30"/>
    </row>
    <row r="52" spans="3:21" ht="18.399999999999999" thickBot="1">
      <c r="C52" s="602"/>
      <c r="D52" s="12"/>
      <c r="E52" s="12"/>
      <c r="F52" s="12"/>
      <c r="G52" s="12"/>
      <c r="H52" s="601"/>
      <c r="I52" s="12"/>
      <c r="J52" s="12"/>
      <c r="K52" s="12"/>
      <c r="L52" s="12"/>
      <c r="M52" s="12"/>
      <c r="N52" s="12"/>
      <c r="O52" s="12"/>
      <c r="P52" s="12"/>
      <c r="Q52" s="12"/>
      <c r="R52" s="12"/>
      <c r="S52" s="12"/>
      <c r="T52" s="12"/>
      <c r="U52" s="57"/>
    </row>
  </sheetData>
  <mergeCells count="3">
    <mergeCell ref="F8:K8"/>
    <mergeCell ref="C9:K15"/>
    <mergeCell ref="L9:U15"/>
  </mergeCells>
  <pageMargins left="0" right="0" top="0" bottom="0" header="0" footer="0"/>
  <pageSetup scale="51" orientation="landscape" horizontalDpi="4294967293" verticalDpi="4294967293"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72931-8E6F-42E2-9D4A-A651B455779D}">
  <sheetPr codeName="Sheet12">
    <tabColor rgb="FFFF0000"/>
  </sheetPr>
  <dimension ref="A1"/>
  <sheetViews>
    <sheetView showGridLines="0" topLeftCell="A34" workbookViewId="0">
      <selection activeCell="E4" sqref="E4"/>
    </sheetView>
  </sheetViews>
  <sheetFormatPr defaultRowHeight="14.25"/>
  <cols>
    <col min="2" max="2" width="8.7304687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2820E-0C64-47DB-B47F-4E74A1B7D32C}">
  <sheetPr codeName="Sheet1">
    <pageSetUpPr fitToPage="1"/>
  </sheetPr>
  <dimension ref="C1:AB77"/>
  <sheetViews>
    <sheetView showGridLines="0" tabSelected="1" view="pageBreakPreview" zoomScale="70" zoomScaleNormal="70" zoomScaleSheetLayoutView="70" workbookViewId="0">
      <selection activeCell="O19" sqref="O19"/>
    </sheetView>
  </sheetViews>
  <sheetFormatPr defaultColWidth="9.19921875" defaultRowHeight="18" outlineLevelRow="1"/>
  <cols>
    <col min="1" max="1" width="1.73046875" style="234" customWidth="1"/>
    <col min="2" max="2" width="2.46484375" style="234" customWidth="1"/>
    <col min="3" max="3" width="30.73046875" style="6" customWidth="1"/>
    <col min="4" max="4" width="14.19921875" style="6" customWidth="1"/>
    <col min="5" max="5" width="13.19921875" style="6" customWidth="1"/>
    <col min="6" max="11" width="11.73046875" style="6" customWidth="1"/>
    <col min="12" max="12" width="13" style="6" customWidth="1"/>
    <col min="13" max="15" width="11.73046875" style="6" customWidth="1"/>
    <col min="16" max="16" width="11.796875" style="6" customWidth="1"/>
    <col min="17" max="17" width="10.46484375" style="6" customWidth="1"/>
    <col min="18" max="18" width="17.73046875" style="6" customWidth="1"/>
    <col min="19" max="19" width="18" style="6" customWidth="1"/>
    <col min="20" max="21" width="11.53125" style="6" bestFit="1" customWidth="1"/>
    <col min="22" max="22" width="20.53125" style="6" bestFit="1" customWidth="1"/>
    <col min="23" max="23" width="16.73046875" style="6" customWidth="1"/>
    <col min="24" max="24" width="16.19921875" style="6" customWidth="1"/>
    <col min="25" max="25" width="23.19921875" style="234" bestFit="1" customWidth="1"/>
    <col min="26" max="26" width="21.265625" style="234" bestFit="1" customWidth="1"/>
    <col min="27" max="29" width="16.19921875" style="234" customWidth="1"/>
    <col min="30" max="16384" width="9.19921875" style="234"/>
  </cols>
  <sheetData>
    <row r="1" spans="3:26" ht="6" customHeight="1" thickBot="1">
      <c r="C1" s="1"/>
      <c r="D1" s="1"/>
      <c r="E1" s="1"/>
      <c r="F1" s="1"/>
      <c r="G1" s="1"/>
      <c r="H1" s="1"/>
      <c r="I1" s="1"/>
      <c r="J1" s="1"/>
      <c r="K1" s="1"/>
      <c r="L1" s="1"/>
      <c r="M1" s="1"/>
      <c r="N1" s="1"/>
      <c r="O1" s="1"/>
      <c r="P1" s="1"/>
      <c r="Q1" s="1"/>
      <c r="R1" s="1"/>
      <c r="S1" s="1"/>
      <c r="T1" s="1"/>
      <c r="U1" s="1"/>
      <c r="V1" s="1"/>
      <c r="W1" s="1"/>
      <c r="X1" s="1"/>
    </row>
    <row r="2" spans="3:26" ht="21.4" thickBot="1">
      <c r="C2" s="236" t="s">
        <v>230</v>
      </c>
      <c r="D2" s="237" t="str">
        <f ca="1">+IF(BBswitch=1,_xll.BDP($D$3&amp;" EQUITY","SECURITY_NAME"),D2)</f>
        <v>Hecla Mining Co</v>
      </c>
      <c r="E2" s="238"/>
      <c r="F2" s="238"/>
      <c r="G2" s="238"/>
      <c r="H2" s="238"/>
      <c r="I2" s="238"/>
      <c r="J2" s="238"/>
      <c r="K2" s="238"/>
      <c r="L2" s="238"/>
      <c r="M2" s="238"/>
      <c r="N2" s="238"/>
      <c r="O2" s="238"/>
      <c r="P2" s="238"/>
      <c r="Q2" s="238"/>
      <c r="R2" s="238"/>
      <c r="S2" s="238"/>
      <c r="T2" s="238"/>
      <c r="U2" s="239"/>
      <c r="V2" s="239"/>
      <c r="W2" s="240" t="str">
        <f ca="1">"Period Ending: "&amp;TEXT(W3,"m/dd/yy")</f>
        <v>Period Ending: 3/31/2022</v>
      </c>
      <c r="X2" s="2"/>
    </row>
    <row r="3" spans="3:26" ht="18.75" customHeight="1">
      <c r="C3" s="3" t="s">
        <v>0</v>
      </c>
      <c r="D3" s="4" t="s">
        <v>618</v>
      </c>
      <c r="E3" s="5"/>
      <c r="G3" s="1" t="s">
        <v>1</v>
      </c>
      <c r="I3" s="7" t="s">
        <v>744</v>
      </c>
      <c r="J3" s="1"/>
      <c r="L3" s="1" t="s">
        <v>2</v>
      </c>
      <c r="M3" s="7" t="str">
        <f ca="1">+IFERROR(IF(BBswitch=1,_xll.BDP($D$3&amp;" EQUITY","NAME_OF_CHIEF_EXECUTIVE_OFFICER"),M3)," NA")</f>
        <v>Phillips S Baker Jr "Phil"</v>
      </c>
      <c r="Q3" s="234" t="s">
        <v>767</v>
      </c>
      <c r="S3" s="831" t="s">
        <v>806</v>
      </c>
      <c r="T3" s="8"/>
      <c r="V3" s="1" t="s">
        <v>3</v>
      </c>
      <c r="W3" s="9" t="str">
        <f ca="1">+IFERROR(IF(BBswitch=1,_xll.BDP($D$3&amp;" EQUITY","LATEST_PERIOD_END_DT_FULL_RECORD"),W3)," NA")</f>
        <v>3/31/2022</v>
      </c>
      <c r="X3" s="1"/>
      <c r="Y3" s="234" t="s">
        <v>4</v>
      </c>
      <c r="Z3" s="343">
        <f ca="1">IF(ISERROR(_xll.BDP('One Pager - 1'!$D$3&amp;" EQUITY","px_last")),0,1)</f>
        <v>0</v>
      </c>
    </row>
    <row r="4" spans="3:26" ht="18.75" customHeight="1">
      <c r="C4" s="344" t="s">
        <v>226</v>
      </c>
      <c r="D4" s="230">
        <f>+D5/1773</f>
        <v>4.2301184433164128E-3</v>
      </c>
      <c r="E4" s="230">
        <v>7.4999999999999997E-3</v>
      </c>
      <c r="G4" s="1" t="s">
        <v>5</v>
      </c>
      <c r="I4" s="10" t="str">
        <f ca="1">+IFERROR(IF(BBswitch=1,_xll.BDP($D$3&amp;" EQUITY","INDUSTRY_SUBGROUP"),I4)," NA")</f>
        <v>Precious Metals</v>
      </c>
      <c r="J4" s="1"/>
      <c r="L4" s="1" t="s">
        <v>6</v>
      </c>
      <c r="M4" s="7" t="str">
        <f ca="1">+IFERROR(IF(BBswitch=1,_xll.BDP($D$3&amp;" EQUITY","CHIEF_FINANCIAL_OFFICER_NAME"),M4)," NA")</f>
        <v>Russell D Lawlar</v>
      </c>
      <c r="Q4" s="231" t="s">
        <v>228</v>
      </c>
      <c r="S4" s="232" t="s">
        <v>766</v>
      </c>
      <c r="T4" s="8"/>
      <c r="V4" s="1" t="s">
        <v>7</v>
      </c>
      <c r="W4" s="9" t="str">
        <f ca="1">+IFERROR(IF(BBswitch=1,_xll.BDP($D$3&amp;" EQUITY","EXPECTED_REPORT_PERIOD_END_DATE"),W4)," NA")</f>
        <v>6/30/2022</v>
      </c>
      <c r="X4" s="1"/>
    </row>
    <row r="5" spans="3:26" ht="18.75" customHeight="1" thickBot="1">
      <c r="C5" s="340" t="s">
        <v>227</v>
      </c>
      <c r="D5" s="345">
        <f>+D8</f>
        <v>7.5</v>
      </c>
      <c r="E5" s="235">
        <f>1773*0.0075</f>
        <v>13.297499999999999</v>
      </c>
      <c r="G5" s="11" t="s">
        <v>8</v>
      </c>
      <c r="H5" s="12"/>
      <c r="I5" s="13" t="s">
        <v>779</v>
      </c>
      <c r="J5" s="11"/>
      <c r="L5" s="11" t="s">
        <v>9</v>
      </c>
      <c r="M5" s="13" t="str">
        <f ca="1">+IFERROR(IF(BBswitch=1,_xll.BDP($D$3&amp;" EQUITY","IR_CONTACT_NAME"),M5)," NA")</f>
        <v>Anvita M Patil</v>
      </c>
      <c r="N5" s="12"/>
      <c r="Q5" s="234" t="s">
        <v>10</v>
      </c>
      <c r="S5" s="270" t="s">
        <v>295</v>
      </c>
      <c r="T5" s="14"/>
      <c r="U5" s="15"/>
      <c r="V5" s="11" t="s">
        <v>11</v>
      </c>
      <c r="W5" s="16" t="str">
        <f ca="1">IFERROR(IF(BBswitch=1,TEXT(_xll.BDP($D$3&amp;" EQUITY","EQY_FISCAL_YR_END"),"MMMM"),W5)," NA")</f>
        <v>December</v>
      </c>
      <c r="X5" s="1"/>
    </row>
    <row r="6" spans="3:26" ht="18.399999999999999" thickBot="1">
      <c r="C6" s="241" t="s">
        <v>12</v>
      </c>
      <c r="D6" s="242"/>
      <c r="E6" s="242"/>
      <c r="F6" s="242"/>
      <c r="G6" s="242"/>
      <c r="H6" s="242"/>
      <c r="I6" s="242"/>
      <c r="J6" s="238"/>
      <c r="K6" s="238"/>
      <c r="L6" s="243"/>
      <c r="M6" s="244" t="s">
        <v>13</v>
      </c>
      <c r="N6" s="245"/>
      <c r="O6" s="245"/>
      <c r="P6" s="245"/>
      <c r="Q6" s="245"/>
      <c r="R6" s="245"/>
      <c r="S6" s="245"/>
      <c r="T6" s="245"/>
      <c r="U6" s="245"/>
      <c r="V6" s="245"/>
      <c r="W6" s="246"/>
      <c r="X6" s="1"/>
      <c r="Y6" s="17" t="str">
        <f>+Q3</f>
        <v>Position Type:</v>
      </c>
      <c r="Z6" s="17" t="str">
        <f>+Q5</f>
        <v xml:space="preserve">Rimrock Analyst: </v>
      </c>
    </row>
    <row r="7" spans="3:26">
      <c r="C7" s="18" t="s">
        <v>14</v>
      </c>
      <c r="D7" s="19" t="s">
        <v>15</v>
      </c>
      <c r="E7" s="20" t="s">
        <v>16</v>
      </c>
      <c r="F7" s="21" t="s">
        <v>17</v>
      </c>
      <c r="G7" s="21" t="s">
        <v>234</v>
      </c>
      <c r="H7" s="21" t="s">
        <v>19</v>
      </c>
      <c r="I7" s="20" t="s">
        <v>20</v>
      </c>
      <c r="J7" s="21" t="s">
        <v>21</v>
      </c>
      <c r="K7" s="271" t="s">
        <v>232</v>
      </c>
      <c r="L7" s="272" t="s">
        <v>298</v>
      </c>
      <c r="M7" s="22" t="s">
        <v>22</v>
      </c>
      <c r="N7" s="23"/>
      <c r="O7" s="24"/>
      <c r="P7" s="23"/>
      <c r="Q7" s="346" t="s">
        <v>23</v>
      </c>
      <c r="R7" s="24"/>
      <c r="S7" s="24"/>
      <c r="T7" s="24"/>
      <c r="U7" s="24"/>
      <c r="V7" s="24"/>
      <c r="W7" s="25"/>
      <c r="X7" s="1"/>
      <c r="Y7" s="26" t="s">
        <v>806</v>
      </c>
      <c r="Z7" s="26" t="s">
        <v>295</v>
      </c>
    </row>
    <row r="8" spans="3:26">
      <c r="C8" s="347" t="str">
        <f ca="1">+D77</f>
        <v>HL 7.25 28</v>
      </c>
      <c r="D8" s="765">
        <v>7.5</v>
      </c>
      <c r="E8" s="229">
        <f ca="1">+H77</f>
        <v>0.97084999999999999</v>
      </c>
      <c r="F8" s="348">
        <f ca="1">+E8*D8</f>
        <v>7.2813749999999997</v>
      </c>
      <c r="G8" s="349">
        <f ca="1">+F77</f>
        <v>475</v>
      </c>
      <c r="H8" s="229">
        <f ca="1">+J77</f>
        <v>7.9412460096845813E-2</v>
      </c>
      <c r="I8" s="350">
        <f ca="1">+S77</f>
        <v>499.39100000000002</v>
      </c>
      <c r="J8" s="351">
        <f ca="1">+U77</f>
        <v>4.2</v>
      </c>
      <c r="K8" s="766">
        <v>40</v>
      </c>
      <c r="L8" s="767">
        <f ca="1">+H8+0.03</f>
        <v>0.10941246009684581</v>
      </c>
      <c r="M8" s="27" t="s">
        <v>24</v>
      </c>
      <c r="N8" s="233" t="s">
        <v>768</v>
      </c>
      <c r="O8" s="228" t="s">
        <v>769</v>
      </c>
      <c r="P8" s="1"/>
      <c r="Q8" s="352"/>
      <c r="W8" s="28"/>
      <c r="X8" s="29"/>
      <c r="Y8" s="26" t="s">
        <v>807</v>
      </c>
    </row>
    <row r="9" spans="3:26">
      <c r="C9" s="3"/>
      <c r="D9" s="8"/>
      <c r="E9" s="8"/>
      <c r="F9" s="1"/>
      <c r="J9" s="1"/>
      <c r="K9" s="1"/>
      <c r="L9" s="30"/>
      <c r="M9" s="3" t="s">
        <v>26</v>
      </c>
      <c r="N9" s="31" t="str">
        <f ca="1">+IF(BBswitch=1,IF(_xll.BDP($D$3&amp;" EQUITY","RTG_MOODY_LONG_TERM")="#N/A N/A","NA",_xll.BDP($D$3&amp;" EQUITY","RTG_MOODY_LONG_TERM")),N9)</f>
        <v>B1</v>
      </c>
      <c r="O9" s="31" t="str">
        <f ca="1">+IF(BBswitch=1,IF(_xll.BDP($D$3&amp;" EQUITY","RTG_MDY_OUTLOOK")="#N/A N/A","NA",_xll.BDP($D$3&amp;" EQUITY","RTG_MDY_OUTLOOK")),O9)</f>
        <v>STABLE</v>
      </c>
      <c r="P9" s="1"/>
      <c r="Q9" s="352"/>
      <c r="W9" s="32"/>
      <c r="X9" s="33"/>
      <c r="Y9" s="26" t="s">
        <v>808</v>
      </c>
      <c r="Z9" s="26"/>
    </row>
    <row r="10" spans="3:26">
      <c r="C10" s="3"/>
      <c r="D10" s="8"/>
      <c r="F10" s="1"/>
      <c r="J10" s="1"/>
      <c r="K10" s="1"/>
      <c r="L10" s="30"/>
      <c r="M10" s="3" t="s">
        <v>27</v>
      </c>
      <c r="N10" s="31" t="str">
        <f ca="1">+IF(BBswitch=1,IF(_xll.BDP($D$3&amp;" EQUITY","RTG_SP_LT_LC_ISSUER_CREDIT")="#N/A N/A","NA",_xll.BDP($D$3&amp;" EQUITY","RTG_SP_LT_LC_ISSUER_CREDIT")),N10)</f>
        <v>B+</v>
      </c>
      <c r="O10" s="31" t="str">
        <f ca="1">+IF(BBswitch=1,IF(_xll.BDP($D$3&amp;" EQUITY","RTG_SP_OUTLOOK")="#N/A N/A","NA",_xll.BDP($D$3&amp;" EQUITY","RTG_SP_OUTLOOK")),O10)</f>
        <v>STABLE</v>
      </c>
      <c r="P10" s="1"/>
      <c r="Q10" s="352"/>
      <c r="W10" s="32"/>
      <c r="X10" s="33"/>
      <c r="Y10" s="26"/>
      <c r="Z10" s="26"/>
    </row>
    <row r="11" spans="3:26">
      <c r="C11" s="726"/>
      <c r="D11" s="727"/>
      <c r="E11" s="353"/>
      <c r="F11" s="354"/>
      <c r="G11" s="353"/>
      <c r="H11" s="353"/>
      <c r="I11" s="353"/>
      <c r="J11" s="354"/>
      <c r="K11" s="354"/>
      <c r="L11" s="355"/>
      <c r="M11" s="34"/>
      <c r="P11" s="1"/>
      <c r="Q11" s="352"/>
      <c r="W11" s="35"/>
      <c r="X11" s="1"/>
      <c r="Y11" s="26"/>
      <c r="Z11" s="26"/>
    </row>
    <row r="12" spans="3:26">
      <c r="C12" s="356" t="s">
        <v>106</v>
      </c>
      <c r="D12" s="353"/>
      <c r="E12" s="353"/>
      <c r="F12" s="353"/>
      <c r="G12" s="353"/>
      <c r="H12" s="353"/>
      <c r="I12" s="353"/>
      <c r="J12" s="353"/>
      <c r="K12" s="353"/>
      <c r="L12" s="355"/>
      <c r="M12" s="34"/>
      <c r="P12" s="1"/>
      <c r="Q12" s="357"/>
      <c r="W12" s="28"/>
      <c r="X12" s="1"/>
      <c r="Y12" s="26"/>
      <c r="Z12" s="26"/>
    </row>
    <row r="13" spans="3:26" ht="18.399999999999999" thickBot="1">
      <c r="C13" s="247" t="s">
        <v>28</v>
      </c>
      <c r="D13" s="248"/>
      <c r="E13" s="249"/>
      <c r="F13" s="250"/>
      <c r="G13" s="249"/>
      <c r="H13" s="249"/>
      <c r="I13" s="249"/>
      <c r="J13" s="250"/>
      <c r="K13" s="250"/>
      <c r="L13" s="251"/>
      <c r="M13" s="36" t="s">
        <v>29</v>
      </c>
      <c r="N13" s="1"/>
      <c r="O13" s="37"/>
      <c r="P13" s="1"/>
      <c r="Q13" s="38"/>
      <c r="W13" s="28"/>
      <c r="X13" s="1"/>
    </row>
    <row r="14" spans="3:26">
      <c r="C14" s="34"/>
      <c r="L14" s="30"/>
      <c r="M14" s="39" t="s">
        <v>30</v>
      </c>
      <c r="N14" s="1"/>
      <c r="O14" s="40" t="s">
        <v>31</v>
      </c>
      <c r="P14" s="1"/>
      <c r="Q14" s="41"/>
      <c r="W14" s="28"/>
      <c r="X14" s="1"/>
    </row>
    <row r="15" spans="3:26">
      <c r="C15" s="42"/>
      <c r="D15" s="43"/>
      <c r="E15" s="43"/>
      <c r="F15" s="43"/>
      <c r="G15" s="43"/>
      <c r="H15" s="43"/>
      <c r="I15" s="43"/>
      <c r="J15" s="43"/>
      <c r="K15" s="1"/>
      <c r="L15" s="30"/>
      <c r="M15" s="44" t="s">
        <v>32</v>
      </c>
      <c r="N15" s="1"/>
      <c r="O15" s="45">
        <v>0</v>
      </c>
      <c r="P15" s="1"/>
      <c r="Q15" s="46" t="s">
        <v>299</v>
      </c>
      <c r="W15" s="28"/>
      <c r="X15" s="1"/>
    </row>
    <row r="16" spans="3:26">
      <c r="C16" s="42"/>
      <c r="D16" s="43"/>
      <c r="E16" s="43"/>
      <c r="F16" s="43"/>
      <c r="G16" s="43"/>
      <c r="H16" s="43"/>
      <c r="I16" s="43"/>
      <c r="J16" s="43"/>
      <c r="K16" s="1"/>
      <c r="L16" s="30"/>
      <c r="M16" s="47" t="s">
        <v>33</v>
      </c>
      <c r="N16" s="48"/>
      <c r="O16" s="49">
        <v>0</v>
      </c>
      <c r="P16" s="1"/>
      <c r="Q16" s="352"/>
      <c r="W16" s="28"/>
      <c r="X16" s="1"/>
    </row>
    <row r="17" spans="3:24">
      <c r="C17" s="42"/>
      <c r="D17" s="43"/>
      <c r="E17" s="43"/>
      <c r="F17" s="43"/>
      <c r="G17" s="43"/>
      <c r="H17" s="43"/>
      <c r="I17" s="43"/>
      <c r="J17" s="43"/>
      <c r="K17" s="1"/>
      <c r="L17" s="30"/>
      <c r="M17" s="44" t="s">
        <v>34</v>
      </c>
      <c r="N17" s="1"/>
      <c r="O17" s="45">
        <v>0</v>
      </c>
      <c r="P17" s="1"/>
      <c r="Q17" s="352"/>
      <c r="W17" s="28"/>
      <c r="X17" s="1"/>
    </row>
    <row r="18" spans="3:24">
      <c r="C18" s="42"/>
      <c r="D18" s="43"/>
      <c r="E18" s="43"/>
      <c r="F18" s="43"/>
      <c r="G18" s="43"/>
      <c r="H18" s="43"/>
      <c r="I18" s="43"/>
      <c r="J18" s="43"/>
      <c r="K18" s="1"/>
      <c r="L18" s="30"/>
      <c r="M18" s="3" t="s">
        <v>35</v>
      </c>
      <c r="N18" s="1"/>
      <c r="O18" s="45">
        <v>0</v>
      </c>
      <c r="P18" s="1"/>
      <c r="Q18" s="352"/>
      <c r="W18" s="28"/>
      <c r="X18" s="1"/>
    </row>
    <row r="19" spans="3:24">
      <c r="C19" s="42"/>
      <c r="D19" s="43"/>
      <c r="E19" s="43"/>
      <c r="F19" s="43"/>
      <c r="G19" s="43"/>
      <c r="H19" s="43"/>
      <c r="I19" s="43"/>
      <c r="J19" s="43"/>
      <c r="K19" s="1"/>
      <c r="L19" s="30"/>
      <c r="M19" s="3" t="s">
        <v>36</v>
      </c>
      <c r="N19" s="50"/>
      <c r="O19" s="45">
        <v>1</v>
      </c>
      <c r="P19" s="1"/>
      <c r="Q19" s="352"/>
      <c r="W19" s="28"/>
      <c r="X19" s="1"/>
    </row>
    <row r="20" spans="3:24">
      <c r="C20" s="42"/>
      <c r="D20" s="43"/>
      <c r="E20" s="43"/>
      <c r="F20" s="43"/>
      <c r="G20" s="43"/>
      <c r="H20" s="43"/>
      <c r="I20" s="43"/>
      <c r="J20" s="43"/>
      <c r="K20" s="1"/>
      <c r="L20" s="30"/>
      <c r="M20" s="3" t="s">
        <v>37</v>
      </c>
      <c r="N20" s="50"/>
      <c r="O20" s="45">
        <v>0</v>
      </c>
      <c r="P20" s="1"/>
      <c r="Q20" s="352"/>
      <c r="W20" s="28"/>
    </row>
    <row r="21" spans="3:24">
      <c r="C21" s="42"/>
      <c r="D21" s="43"/>
      <c r="E21" s="43"/>
      <c r="F21" s="43"/>
      <c r="G21" s="43"/>
      <c r="H21" s="43"/>
      <c r="I21" s="43"/>
      <c r="J21" s="43"/>
      <c r="K21" s="1"/>
      <c r="L21" s="30"/>
      <c r="M21" s="3" t="s">
        <v>38</v>
      </c>
      <c r="N21" s="50"/>
      <c r="O21" s="45">
        <v>0</v>
      </c>
      <c r="P21" s="1"/>
      <c r="Q21" s="352"/>
      <c r="W21" s="28"/>
    </row>
    <row r="22" spans="3:24">
      <c r="C22" s="42"/>
      <c r="D22" s="43"/>
      <c r="E22" s="43"/>
      <c r="F22" s="43"/>
      <c r="G22" s="43"/>
      <c r="H22" s="43"/>
      <c r="I22" s="43"/>
      <c r="J22" s="43"/>
      <c r="K22" s="1"/>
      <c r="L22" s="30"/>
      <c r="M22" s="829" t="s">
        <v>39</v>
      </c>
      <c r="N22" s="50"/>
      <c r="O22" s="830">
        <v>-1</v>
      </c>
      <c r="P22" s="1"/>
      <c r="Q22" s="352"/>
      <c r="W22" s="28"/>
      <c r="X22" s="51"/>
    </row>
    <row r="23" spans="3:24" ht="20.25">
      <c r="C23" s="42"/>
      <c r="D23" s="43"/>
      <c r="E23" s="43"/>
      <c r="F23" s="43"/>
      <c r="G23" s="43"/>
      <c r="H23" s="43"/>
      <c r="I23" s="43"/>
      <c r="J23" s="43"/>
      <c r="K23" s="1"/>
      <c r="L23" s="30"/>
      <c r="M23" s="644" t="s">
        <v>805</v>
      </c>
      <c r="N23" s="1"/>
      <c r="O23" s="827">
        <v>0</v>
      </c>
      <c r="P23" s="53"/>
      <c r="Q23" s="352"/>
      <c r="W23" s="54"/>
      <c r="X23" s="51"/>
    </row>
    <row r="24" spans="3:24" ht="18.399999999999999" thickBot="1">
      <c r="C24" s="55"/>
      <c r="D24" s="56"/>
      <c r="E24" s="56"/>
      <c r="F24" s="56"/>
      <c r="G24" s="56"/>
      <c r="H24" s="56"/>
      <c r="I24" s="56"/>
      <c r="J24" s="56"/>
      <c r="K24" s="11"/>
      <c r="L24" s="57"/>
      <c r="M24" s="52" t="s">
        <v>40</v>
      </c>
      <c r="N24" s="59"/>
      <c r="O24" s="828">
        <f>SUM(O15:O23)</f>
        <v>0</v>
      </c>
      <c r="P24" s="59"/>
      <c r="Q24" s="60"/>
      <c r="R24" s="59"/>
      <c r="S24" s="59"/>
      <c r="T24" s="59"/>
      <c r="U24" s="59"/>
      <c r="V24" s="59"/>
      <c r="W24" s="61"/>
      <c r="X24" s="51"/>
    </row>
    <row r="25" spans="3:24">
      <c r="C25" s="252" t="s">
        <v>41</v>
      </c>
      <c r="D25" s="253"/>
      <c r="E25" s="254"/>
      <c r="F25" s="255"/>
      <c r="G25" s="254"/>
      <c r="H25" s="255"/>
      <c r="I25" s="255"/>
      <c r="J25" s="255"/>
      <c r="K25" s="255"/>
      <c r="L25" s="255"/>
      <c r="M25" s="255"/>
      <c r="N25" s="256"/>
      <c r="O25" s="256"/>
      <c r="P25" s="255"/>
      <c r="Q25" s="255"/>
      <c r="R25" s="257"/>
      <c r="S25" s="257"/>
      <c r="T25" s="257"/>
      <c r="U25" s="257"/>
      <c r="V25" s="257"/>
      <c r="W25" s="258" t="s">
        <v>42</v>
      </c>
      <c r="X25" s="51"/>
    </row>
    <row r="26" spans="3:24" ht="18.75" customHeight="1">
      <c r="C26" s="36"/>
      <c r="D26" s="1"/>
      <c r="E26" s="1"/>
      <c r="F26" s="1"/>
      <c r="G26" s="1"/>
      <c r="H26" s="1"/>
      <c r="I26" s="1"/>
      <c r="K26" s="358" t="s">
        <v>43</v>
      </c>
      <c r="L26" s="1"/>
      <c r="N26" s="358" t="s">
        <v>44</v>
      </c>
      <c r="O26" s="1"/>
      <c r="P26" s="1"/>
      <c r="Q26" s="46" t="s">
        <v>38</v>
      </c>
      <c r="R26" s="62"/>
      <c r="S26" s="63"/>
      <c r="U26" s="64"/>
      <c r="V26" s="64" t="s">
        <v>45</v>
      </c>
      <c r="W26" s="28"/>
      <c r="X26" s="51"/>
    </row>
    <row r="27" spans="3:24" ht="18.75" customHeight="1">
      <c r="C27" s="65" t="s">
        <v>46</v>
      </c>
      <c r="D27" s="66" t="s">
        <v>47</v>
      </c>
      <c r="E27" s="66" t="s">
        <v>48</v>
      </c>
      <c r="F27" s="48" t="s">
        <v>49</v>
      </c>
      <c r="G27" s="48" t="s">
        <v>50</v>
      </c>
      <c r="H27" s="66" t="s">
        <v>18</v>
      </c>
      <c r="I27" s="66" t="s">
        <v>19</v>
      </c>
      <c r="J27" s="115" t="s">
        <v>51</v>
      </c>
      <c r="K27" s="66" t="s">
        <v>52</v>
      </c>
      <c r="L27" s="67" t="s">
        <v>53</v>
      </c>
      <c r="M27" s="67" t="s">
        <v>54</v>
      </c>
      <c r="N27" s="67" t="str">
        <f>+K27</f>
        <v>Leverage</v>
      </c>
      <c r="O27" s="67" t="str">
        <f>+L27</f>
        <v xml:space="preserve">x FCF </v>
      </c>
      <c r="P27" s="67" t="str">
        <f>+M27</f>
        <v>Int. Cov.</v>
      </c>
      <c r="Q27" s="68" t="s">
        <v>55</v>
      </c>
      <c r="R27" s="1"/>
      <c r="S27" s="69" t="s">
        <v>56</v>
      </c>
      <c r="U27" s="70"/>
      <c r="V27" s="71" t="s">
        <v>57</v>
      </c>
      <c r="W27" s="728" t="s">
        <v>56</v>
      </c>
      <c r="X27" s="51"/>
    </row>
    <row r="28" spans="3:24" ht="18.75" customHeight="1">
      <c r="C28" s="72" t="s">
        <v>666</v>
      </c>
      <c r="D28" s="7" t="s">
        <v>759</v>
      </c>
      <c r="E28" s="73">
        <f>'One Pager - 1'!F76</f>
        <v>38.604999999999997</v>
      </c>
      <c r="F28" s="74">
        <f>'One Pager - 1'!G76</f>
        <v>6.515E-2</v>
      </c>
      <c r="G28" s="74">
        <f t="shared" ref="G28:I29" si="0">H76</f>
        <v>1</v>
      </c>
      <c r="H28" s="74">
        <f t="shared" si="0"/>
        <v>6.515E-2</v>
      </c>
      <c r="I28" s="74">
        <f t="shared" si="0"/>
        <v>6.515E-2</v>
      </c>
      <c r="J28" s="227">
        <f t="shared" ref="J28:J35" ca="1" si="1">K28/$K$35</f>
        <v>1.406916287210528E-2</v>
      </c>
      <c r="K28" s="75">
        <f ca="1">+E28/($E$36)</f>
        <v>0.15824704657435415</v>
      </c>
      <c r="L28" s="75">
        <f>+IF(($I$51*$I$43)&lt;0,"NM ",E28/($I$51*$I$43))</f>
        <v>0.34991117395402782</v>
      </c>
      <c r="M28" s="75">
        <f ca="1">+M30</f>
        <v>6.6661304070806189</v>
      </c>
      <c r="N28" s="75">
        <f ca="1">+IFERROR(K28*G28,"NM ")</f>
        <v>0.15824704657435415</v>
      </c>
      <c r="O28" s="75">
        <f>+IFERROR(L28*G28,"NM ")</f>
        <v>0.34991117395402782</v>
      </c>
      <c r="P28" s="75">
        <f ca="1">+IFERROR(M28*(F28/H28),"NM ")</f>
        <v>6.6661304070806189</v>
      </c>
      <c r="Q28" s="76" t="s">
        <v>58</v>
      </c>
      <c r="R28" s="77"/>
      <c r="S28" s="560">
        <f>-E31</f>
        <v>212.029</v>
      </c>
      <c r="U28" s="78"/>
      <c r="V28" s="79">
        <v>2022</v>
      </c>
      <c r="W28" s="397">
        <f>Debt!AF21</f>
        <v>0</v>
      </c>
      <c r="X28" s="51"/>
    </row>
    <row r="29" spans="3:24" ht="18.75" customHeight="1">
      <c r="C29" s="72" t="s">
        <v>669</v>
      </c>
      <c r="D29" s="7" t="str">
        <f ca="1">E77</f>
        <v>B+</v>
      </c>
      <c r="E29" s="73">
        <f ca="1">'One Pager - 1'!F77</f>
        <v>475</v>
      </c>
      <c r="F29" s="74">
        <f ca="1">'One Pager - 1'!G77</f>
        <v>7.2499999999999995E-2</v>
      </c>
      <c r="G29" s="74">
        <f t="shared" ca="1" si="0"/>
        <v>0.97084999999999999</v>
      </c>
      <c r="H29" s="74">
        <f t="shared" ca="1" si="0"/>
        <v>7.486266573045311E-2</v>
      </c>
      <c r="I29" s="74">
        <f t="shared" ca="1" si="0"/>
        <v>7.9412460096845813E-2</v>
      </c>
      <c r="J29" s="227">
        <f t="shared" ca="1" si="1"/>
        <v>0.17310846688900425</v>
      </c>
      <c r="K29" s="75">
        <f ca="1">+E29/($E$36)</f>
        <v>1.9470883855153018</v>
      </c>
      <c r="L29" s="75">
        <f ca="1">+IF(($I$51*$I$43)&lt;0,"NM ",E29/($I$51*$I$43))</f>
        <v>4.3053440649699057</v>
      </c>
      <c r="M29" s="75">
        <f ca="1">+M30</f>
        <v>6.6661304070806189</v>
      </c>
      <c r="N29" s="75">
        <f ca="1">+IFERROR(K29*G29,"NM ")</f>
        <v>1.8903307590775307</v>
      </c>
      <c r="O29" s="75">
        <f ca="1">+IFERROR(L29*G29,"NM ")</f>
        <v>4.179843285476033</v>
      </c>
      <c r="P29" s="75">
        <f ca="1">+IFERROR(M29*(F29/H29),"NM ")</f>
        <v>6.4557473314331535</v>
      </c>
      <c r="Q29" s="80" t="s">
        <v>59</v>
      </c>
      <c r="R29" s="1"/>
      <c r="S29" s="562">
        <f>+Debt!D50</f>
        <v>250</v>
      </c>
      <c r="U29" s="78"/>
      <c r="V29" s="79">
        <f>+V28+1</f>
        <v>2023</v>
      </c>
      <c r="W29" s="397">
        <f>Debt!AG21</f>
        <v>0</v>
      </c>
      <c r="X29" s="51"/>
    </row>
    <row r="30" spans="3:24" ht="18.75" customHeight="1">
      <c r="C30" s="84" t="s">
        <v>63</v>
      </c>
      <c r="D30" s="85"/>
      <c r="E30" s="86">
        <f ca="1">SUM(E28:E29)+Debt!T14</f>
        <v>508.649</v>
      </c>
      <c r="F30" s="87">
        <f ca="1">SUMPRODUCT(F28:F29,$E28:$E29)/SUM($E28:$E29)</f>
        <v>7.1947538964768645E-2</v>
      </c>
      <c r="G30" s="87">
        <f ca="1">SUMPRODUCT(G28:G29,$E28:$E29)/SUM($E28:$E29)</f>
        <v>0.97304105294925092</v>
      </c>
      <c r="H30" s="87">
        <f ca="1">SUMPRODUCT(H28:H29,$E28:$E29)/SUM($E28:$E29)</f>
        <v>7.4132615476806538E-2</v>
      </c>
      <c r="I30" s="87">
        <f ca="1">SUMPRODUCT(I28:I29,$E28:$E29)/SUM($E28:$E29)</f>
        <v>7.8340425611124809E-2</v>
      </c>
      <c r="J30" s="359">
        <f t="shared" ca="1" si="1"/>
        <v>0.18537147068342127</v>
      </c>
      <c r="K30" s="88">
        <f ca="1">+E30/($E$36)</f>
        <v>2.0850201267452055</v>
      </c>
      <c r="L30" s="88">
        <f ca="1">+IF(($I$51*$I$43)&lt;0,"NM ",E30/($I$51*$I$43))</f>
        <v>4.6103346385323745</v>
      </c>
      <c r="M30" s="88">
        <f ca="1">+IF($E$36&lt;0,"NM ",$E$36/(E30*F30))</f>
        <v>6.6661304070806189</v>
      </c>
      <c r="N30" s="88">
        <f ca="1">+IFERROR(K30*G30,"NM ")</f>
        <v>2.0288101795485356</v>
      </c>
      <c r="O30" s="88">
        <f ca="1">+IFERROR(L30*G30,"NM ")</f>
        <v>4.4860448711259462</v>
      </c>
      <c r="P30" s="88">
        <f ca="1">+IFERROR(M30*(F30/H30),"NM ")</f>
        <v>6.4696446243383301</v>
      </c>
      <c r="Q30" s="80" t="s">
        <v>60</v>
      </c>
      <c r="R30" s="1"/>
      <c r="S30" s="561">
        <f>+S29</f>
        <v>250</v>
      </c>
      <c r="U30" s="78"/>
      <c r="V30" s="79">
        <f>+V29+1</f>
        <v>2024</v>
      </c>
      <c r="W30" s="397">
        <f>Debt!AH21</f>
        <v>0</v>
      </c>
      <c r="X30" s="51"/>
    </row>
    <row r="31" spans="3:24" ht="18.75" customHeight="1">
      <c r="C31" s="90" t="s">
        <v>66</v>
      </c>
      <c r="D31" s="70"/>
      <c r="E31" s="91">
        <f>-Calculation!$U$26</f>
        <v>-212.029</v>
      </c>
      <c r="F31" s="91"/>
      <c r="G31" s="92"/>
      <c r="H31" s="92"/>
      <c r="I31" s="92"/>
      <c r="J31" s="227">
        <f t="shared" ca="1" si="1"/>
        <v>-7.7271610791597223E-2</v>
      </c>
      <c r="K31" s="93">
        <f ca="1">+E31/($E$36)</f>
        <v>-0.8691351648261556</v>
      </c>
      <c r="L31" s="93">
        <f>+IF(($I$51*$I$43)&lt;0,"NM ",E31/($I$51*$I$43))</f>
        <v>-1.9218058878979036</v>
      </c>
      <c r="M31" s="93"/>
      <c r="N31" s="93">
        <f ca="1">+K31</f>
        <v>-0.8691351648261556</v>
      </c>
      <c r="O31" s="93">
        <f>+L31</f>
        <v>-1.9218058878979036</v>
      </c>
      <c r="P31" s="93"/>
      <c r="Q31" s="80" t="s">
        <v>61</v>
      </c>
      <c r="R31" s="1"/>
      <c r="S31" s="592">
        <v>0</v>
      </c>
      <c r="U31" s="81"/>
      <c r="V31" s="79">
        <f>+V30+1</f>
        <v>2025</v>
      </c>
      <c r="W31" s="563">
        <v>38.051000000000002</v>
      </c>
      <c r="X31" s="1"/>
    </row>
    <row r="32" spans="3:24" ht="18.75" customHeight="1">
      <c r="C32" s="96" t="s">
        <v>68</v>
      </c>
      <c r="D32" s="97"/>
      <c r="E32" s="98">
        <f ca="1">+E30+E31</f>
        <v>296.62</v>
      </c>
      <c r="F32" s="92"/>
      <c r="G32" s="92"/>
      <c r="H32" s="92"/>
      <c r="I32" s="92"/>
      <c r="J32" s="227">
        <f t="shared" ca="1" si="1"/>
        <v>0.10809985989182407</v>
      </c>
      <c r="K32" s="75">
        <f ca="1">+IFERROR(K30+K31,"NM ")</f>
        <v>1.2158849619190499</v>
      </c>
      <c r="L32" s="75">
        <f ca="1">+IFERROR(L30+L31,"NM ")</f>
        <v>2.6885287506344708</v>
      </c>
      <c r="M32" s="75"/>
      <c r="N32" s="75">
        <f ca="1">+IFERROR(N30+N31,"NM ")</f>
        <v>1.15967501472238</v>
      </c>
      <c r="O32" s="75">
        <f ca="1">+IFERROR(O30+O31,"NM ")</f>
        <v>2.5642389832280426</v>
      </c>
      <c r="P32" s="75"/>
      <c r="Q32" s="68" t="s">
        <v>62</v>
      </c>
      <c r="R32" s="1"/>
      <c r="S32" s="780">
        <v>-17.3</v>
      </c>
      <c r="U32" s="82"/>
      <c r="V32" s="83">
        <f>+V31+1</f>
        <v>2026</v>
      </c>
      <c r="W32" s="564">
        <v>0</v>
      </c>
      <c r="X32" s="1"/>
    </row>
    <row r="33" spans="3:24" ht="18.75" customHeight="1">
      <c r="C33" s="101" t="s">
        <v>69</v>
      </c>
      <c r="D33" s="97"/>
      <c r="E33" s="102">
        <f>+Financials!T148</f>
        <v>3.9E-2</v>
      </c>
      <c r="F33" s="97"/>
      <c r="G33" s="97"/>
      <c r="H33" s="97"/>
      <c r="I33" s="97"/>
      <c r="J33" s="227">
        <f t="shared" ca="1" si="1"/>
        <v>1.42131162287814E-5</v>
      </c>
      <c r="K33" s="75">
        <f ca="1">+E33/($E$36)</f>
        <v>1.5986620428441424E-4</v>
      </c>
      <c r="L33" s="75">
        <f>+IF(($I$51*$I$43)&lt;0,"NM ",E33/($I$51*$I$43))</f>
        <v>3.5349140743963438E-4</v>
      </c>
      <c r="M33" s="75"/>
      <c r="N33" s="75">
        <f ca="1">+K33</f>
        <v>1.5986620428441424E-4</v>
      </c>
      <c r="O33" s="75">
        <f>+L33</f>
        <v>3.5349140743963438E-4</v>
      </c>
      <c r="P33" s="75"/>
      <c r="Q33" s="80" t="s">
        <v>64</v>
      </c>
      <c r="R33" s="234"/>
      <c r="S33" s="360">
        <f>+S30+S31+S32</f>
        <v>232.7</v>
      </c>
      <c r="T33" s="234"/>
      <c r="U33" s="1"/>
      <c r="V33" s="89" t="s">
        <v>65</v>
      </c>
      <c r="W33" s="361">
        <f ca="1">+SUM(E28:E29)-SUM(W28:W32)</f>
        <v>475.55400000000003</v>
      </c>
      <c r="X33" s="1"/>
    </row>
    <row r="34" spans="3:24" ht="18.75" customHeight="1">
      <c r="C34" s="103" t="s">
        <v>70</v>
      </c>
      <c r="D34" s="70"/>
      <c r="E34" s="104">
        <f ca="1">IF(BBswitch=1,_xll.BDP($D$3&amp;" EQUITY","CUR MKT CAP")/10^6,E34)</f>
        <v>2447.2853519799996</v>
      </c>
      <c r="F34" s="99"/>
      <c r="G34" s="92"/>
      <c r="H34" s="92"/>
      <c r="I34" s="92"/>
      <c r="J34" s="227">
        <f t="shared" ca="1" si="1"/>
        <v>0.89188592699194702</v>
      </c>
      <c r="K34" s="93">
        <f ca="1">+E34/($E$36)</f>
        <v>10.031749231330494</v>
      </c>
      <c r="L34" s="93">
        <f ca="1">+IF(($I$51*$I$43)&lt;0,"NM ",E34/($I$51*$I$43))</f>
        <v>22.181906243020798</v>
      </c>
      <c r="M34" s="93"/>
      <c r="N34" s="93">
        <f ca="1">+K34</f>
        <v>10.031749231330494</v>
      </c>
      <c r="O34" s="93">
        <f ca="1">+L34</f>
        <v>22.181906243020798</v>
      </c>
      <c r="P34" s="75"/>
      <c r="Q34" s="94" t="s">
        <v>67</v>
      </c>
      <c r="R34" s="77"/>
      <c r="S34" s="95">
        <f>+S33+S28</f>
        <v>444.72899999999998</v>
      </c>
      <c r="T34" s="234"/>
      <c r="U34" s="1"/>
      <c r="V34" s="1"/>
      <c r="W34" s="28"/>
      <c r="X34" s="1"/>
    </row>
    <row r="35" spans="3:24" ht="18.75" customHeight="1">
      <c r="C35" s="72" t="s">
        <v>71</v>
      </c>
      <c r="D35" s="97"/>
      <c r="E35" s="98">
        <f ca="1">+E34+E32+E33</f>
        <v>2743.9443519799997</v>
      </c>
      <c r="F35" s="105"/>
      <c r="G35" s="92"/>
      <c r="H35" s="92"/>
      <c r="I35" s="75"/>
      <c r="J35" s="227">
        <f t="shared" ca="1" si="1"/>
        <v>1</v>
      </c>
      <c r="K35" s="75">
        <f ca="1">+IFERROR(K34+K32+K33,"NM ")</f>
        <v>11.247794059453829</v>
      </c>
      <c r="L35" s="75">
        <f ca="1">+IFERROR(L34+L32+L33,"NM ")</f>
        <v>24.870788485062707</v>
      </c>
      <c r="M35" s="75"/>
      <c r="N35" s="75">
        <f ca="1">+IFERROR(N34+N32+N33,"NM ")</f>
        <v>11.191584112257159</v>
      </c>
      <c r="O35" s="75">
        <f ca="1">+IFERROR(O34+O32+O33,"NM ")</f>
        <v>24.74649871765628</v>
      </c>
      <c r="P35" s="106"/>
      <c r="Q35" s="41"/>
      <c r="U35" s="100"/>
      <c r="V35" s="100"/>
      <c r="W35" s="28"/>
      <c r="X35" s="1"/>
    </row>
    <row r="36" spans="3:24" ht="18.75" customHeight="1">
      <c r="C36" s="107" t="s">
        <v>72</v>
      </c>
      <c r="D36" s="108"/>
      <c r="E36" s="109">
        <f ca="1">I48</f>
        <v>243.95400000000004</v>
      </c>
      <c r="P36" s="234"/>
      <c r="Q36" s="41"/>
      <c r="R36" s="234"/>
      <c r="S36" s="1"/>
      <c r="T36" s="234"/>
      <c r="U36" s="1"/>
      <c r="V36" s="1"/>
      <c r="W36" s="28"/>
      <c r="X36" s="1"/>
    </row>
    <row r="37" spans="3:24" ht="18.75" customHeight="1">
      <c r="C37" s="146"/>
      <c r="Q37" s="38"/>
      <c r="T37" s="234"/>
      <c r="U37" s="1"/>
      <c r="V37" s="1"/>
      <c r="W37" s="28"/>
      <c r="X37" s="1"/>
    </row>
    <row r="38" spans="3:24" ht="18.75" customHeight="1">
      <c r="C38" s="146"/>
      <c r="Q38" s="38"/>
      <c r="T38" s="234"/>
      <c r="U38" s="1"/>
      <c r="V38" s="1"/>
      <c r="W38" s="28"/>
      <c r="X38" s="1"/>
    </row>
    <row r="39" spans="3:24" ht="18.75" customHeight="1">
      <c r="C39" s="146"/>
      <c r="Q39" s="38"/>
      <c r="T39" s="234"/>
      <c r="U39" s="1"/>
      <c r="V39" s="1"/>
      <c r="W39" s="28"/>
      <c r="X39" s="1"/>
    </row>
    <row r="40" spans="3:24" ht="18.75" customHeight="1" thickBot="1">
      <c r="C40" s="58"/>
      <c r="D40" s="59"/>
      <c r="E40" s="59"/>
      <c r="F40" s="12"/>
      <c r="G40" s="12"/>
      <c r="H40" s="12"/>
      <c r="I40" s="12"/>
      <c r="J40" s="12"/>
      <c r="K40" s="12"/>
      <c r="L40" s="12"/>
      <c r="M40" s="12"/>
      <c r="N40" s="12"/>
      <c r="O40" s="12"/>
      <c r="P40" s="59"/>
      <c r="Q40" s="110"/>
      <c r="R40" s="12"/>
      <c r="S40" s="12"/>
      <c r="T40" s="59"/>
      <c r="U40" s="11"/>
      <c r="V40" s="11"/>
      <c r="W40" s="111"/>
      <c r="X40" s="112"/>
    </row>
    <row r="41" spans="3:24" ht="18.75" customHeight="1">
      <c r="C41" s="259" t="s">
        <v>73</v>
      </c>
      <c r="D41" s="260"/>
      <c r="E41" s="261"/>
      <c r="F41" s="261"/>
      <c r="G41" s="261"/>
      <c r="H41" s="261"/>
      <c r="I41" s="261"/>
      <c r="J41" s="261"/>
      <c r="K41" s="261"/>
      <c r="L41" s="261"/>
      <c r="M41" s="261"/>
      <c r="N41" s="261"/>
      <c r="O41" s="261"/>
      <c r="P41" s="262"/>
      <c r="Q41" s="263" t="s">
        <v>74</v>
      </c>
      <c r="R41" s="264"/>
      <c r="S41" s="264"/>
      <c r="T41" s="264"/>
      <c r="U41" s="264"/>
      <c r="V41" s="264"/>
      <c r="W41" s="265"/>
      <c r="X41" s="1"/>
    </row>
    <row r="42" spans="3:24" ht="18.75" customHeight="1">
      <c r="C42" s="65"/>
      <c r="D42" s="48"/>
      <c r="E42" s="113" t="str">
        <f>+Calculation!G5</f>
        <v>FY18A</v>
      </c>
      <c r="F42" s="114" t="str">
        <f>+Calculation!H5</f>
        <v>FY19A</v>
      </c>
      <c r="G42" s="114" t="str">
        <f>+Calculation!I5</f>
        <v>FY20A</v>
      </c>
      <c r="H42" s="114" t="str">
        <f>+Calculation!J5</f>
        <v>FY21A</v>
      </c>
      <c r="I42" s="115" t="str">
        <f>+Calculation!K5</f>
        <v>LTM</v>
      </c>
      <c r="J42" s="116" t="str">
        <f>+Calculation!L5</f>
        <v>FY22E</v>
      </c>
      <c r="K42" s="117" t="str">
        <f>+Calculation!M5</f>
        <v>FY23E</v>
      </c>
      <c r="L42" s="115" t="str">
        <f>+Calculation!R5</f>
        <v>Q221A</v>
      </c>
      <c r="M42" s="115" t="str">
        <f>+Calculation!S5</f>
        <v>Q321A</v>
      </c>
      <c r="N42" s="115" t="str">
        <f>+Calculation!T5</f>
        <v>Q421A</v>
      </c>
      <c r="O42" s="115" t="str">
        <f>+Calculation!U5</f>
        <v>Q122A</v>
      </c>
      <c r="P42" s="115" t="str">
        <f>+Calculation!V5</f>
        <v>Q222E</v>
      </c>
      <c r="Q42" s="34"/>
      <c r="W42" s="28"/>
      <c r="X42" s="1"/>
    </row>
    <row r="43" spans="3:24" ht="18.75" customHeight="1">
      <c r="C43" s="118" t="str">
        <f>Calculation!C36</f>
        <v xml:space="preserve">Revenue </v>
      </c>
      <c r="D43" s="77"/>
      <c r="E43" s="119">
        <f>+Calculation!G36</f>
        <v>567.13699999999994</v>
      </c>
      <c r="F43" s="119">
        <f>+Calculation!H36</f>
        <v>673.26599999999996</v>
      </c>
      <c r="G43" s="119">
        <f>+Calculation!I36</f>
        <v>691.87299999999993</v>
      </c>
      <c r="H43" s="119">
        <f>+Calculation!J36</f>
        <v>807.47299999999996</v>
      </c>
      <c r="I43" s="119">
        <f>+Calculation!K36</f>
        <v>783.12000000000012</v>
      </c>
      <c r="J43" s="120">
        <f ca="1">+Calculation!L36</f>
        <v>824.43286087268825</v>
      </c>
      <c r="K43" s="121">
        <f ca="1">+Calculation!M36</f>
        <v>864.99732002093822</v>
      </c>
      <c r="L43" s="119">
        <f>+Calculation!R36</f>
        <v>217.983</v>
      </c>
      <c r="M43" s="119">
        <f>+Calculation!S36</f>
        <v>193.56</v>
      </c>
      <c r="N43" s="119">
        <f>+Calculation!T36</f>
        <v>185.07800000000003</v>
      </c>
      <c r="O43" s="119">
        <f>+Calculation!U36</f>
        <v>186.499</v>
      </c>
      <c r="P43" s="119">
        <f ca="1">+Calculation!V36</f>
        <v>223.35683536261519</v>
      </c>
      <c r="Q43" s="34"/>
      <c r="T43" s="234"/>
      <c r="U43" s="1"/>
      <c r="V43" s="1"/>
      <c r="W43" s="28"/>
      <c r="X43" s="1"/>
    </row>
    <row r="44" spans="3:24" ht="18.75" customHeight="1">
      <c r="C44" s="65" t="str">
        <f>Calculation!C37</f>
        <v>Revenue Growth</v>
      </c>
      <c r="D44" s="48"/>
      <c r="E44" s="122">
        <f>+Calculation!G37</f>
        <v>-1.8412011596209643E-2</v>
      </c>
      <c r="F44" s="122">
        <f>+Calculation!H37</f>
        <v>0.18713115173229755</v>
      </c>
      <c r="G44" s="122">
        <f>+Calculation!I37</f>
        <v>2.7636922108052353E-2</v>
      </c>
      <c r="H44" s="122">
        <f>+Calculation!J37</f>
        <v>0.16708268714055907</v>
      </c>
      <c r="I44" s="122">
        <f>+Calculation!K37</f>
        <v>2.2616871245756398E-2</v>
      </c>
      <c r="J44" s="123">
        <f ca="1">+Calculation!L37</f>
        <v>2.1003625969770345E-2</v>
      </c>
      <c r="K44" s="124">
        <f ca="1">+Calculation!M37</f>
        <v>4.9202865476894342E-2</v>
      </c>
      <c r="L44" s="122">
        <f>+Calculation!R37</f>
        <v>0.31034835141715011</v>
      </c>
      <c r="M44" s="122">
        <f>+Calculation!S37</f>
        <v>-3.0760679609219577E-2</v>
      </c>
      <c r="N44" s="122">
        <f>+Calculation!T37</f>
        <v>-2.0181057758483556E-2</v>
      </c>
      <c r="O44" s="122">
        <f>+Calculation!U37</f>
        <v>-0.11549807447878135</v>
      </c>
      <c r="P44" s="122">
        <f ca="1">+Calculation!V37</f>
        <v>2.4652543375470515E-2</v>
      </c>
      <c r="Q44" s="34"/>
      <c r="T44" s="234"/>
      <c r="U44" s="1"/>
      <c r="V44" s="1"/>
      <c r="W44" s="28"/>
      <c r="X44" s="1"/>
    </row>
    <row r="45" spans="3:24" ht="18.75" customHeight="1">
      <c r="C45" s="3" t="str">
        <f>Calculation!C38</f>
        <v>Gross Profit (% of rev)</v>
      </c>
      <c r="D45" s="125"/>
      <c r="E45" s="362">
        <f>+Calculation!G38</f>
        <v>0.44626430650795124</v>
      </c>
      <c r="F45" s="362">
        <f>+Calculation!H38</f>
        <v>0.33903093279624985</v>
      </c>
      <c r="G45" s="362">
        <f>+Calculation!I38</f>
        <v>0.42057140544579713</v>
      </c>
      <c r="H45" s="362">
        <f ca="1">+Calculation!J38</f>
        <v>0.45597561776059387</v>
      </c>
      <c r="I45" s="362">
        <f ca="1">+Calculation!K38</f>
        <v>0.44113545816733069</v>
      </c>
      <c r="J45" s="123">
        <f ca="1">+Calculation!L38</f>
        <v>0.50329612096425613</v>
      </c>
      <c r="K45" s="124">
        <f ca="1">+Calculation!M38</f>
        <v>0.50034527275814211</v>
      </c>
      <c r="L45" s="362">
        <f>+Calculation!R38</f>
        <v>0.47447736750113539</v>
      </c>
      <c r="M45" s="362">
        <f>+Calculation!S38</f>
        <v>0.39839326307088246</v>
      </c>
      <c r="N45" s="362">
        <f ca="1">+Calculation!T38</f>
        <v>0.45382487383697706</v>
      </c>
      <c r="O45" s="362">
        <f ca="1">+Calculation!U38</f>
        <v>0.43393262162263596</v>
      </c>
      <c r="P45" s="362">
        <f ca="1">+Calculation!V38</f>
        <v>0.54467011587546998</v>
      </c>
      <c r="Q45" s="34"/>
      <c r="U45" s="1"/>
      <c r="V45" s="1"/>
      <c r="W45" s="28"/>
      <c r="X45" s="1"/>
    </row>
    <row r="46" spans="3:24" ht="18.75" customHeight="1">
      <c r="C46" s="3" t="str">
        <f>Calculation!C39</f>
        <v>SG&amp;A (% of rev)</v>
      </c>
      <c r="D46" s="125"/>
      <c r="E46" s="122">
        <f>+Calculation!G39</f>
        <v>5.3362767726316575E-2</v>
      </c>
      <c r="F46" s="122">
        <f>+Calculation!H39</f>
        <v>4.4802500051985404E-2</v>
      </c>
      <c r="G46" s="122">
        <f>+Calculation!I39</f>
        <v>4.2064078234011162E-2</v>
      </c>
      <c r="H46" s="122">
        <f>+Calculation!J39</f>
        <v>3.5280436621410255E-2</v>
      </c>
      <c r="I46" s="122">
        <f>+Calculation!K39</f>
        <v>3.5759525998569817E-2</v>
      </c>
      <c r="J46" s="123">
        <f ca="1">+Calculation!L39</f>
        <v>4.0681700460282619E-2</v>
      </c>
      <c r="K46" s="124">
        <f ca="1">+Calculation!M39</f>
        <v>3.8930771946299403E-2</v>
      </c>
      <c r="L46" s="122">
        <f>+Calculation!R39</f>
        <v>3.8085538780547101E-2</v>
      </c>
      <c r="M46" s="122">
        <f>+Calculation!S39</f>
        <v>3.8241372184335612E-2</v>
      </c>
      <c r="N46" s="122">
        <f>+Calculation!T39</f>
        <v>2.851230292093063E-2</v>
      </c>
      <c r="O46" s="122">
        <f>+Calculation!U39</f>
        <v>3.7657038375540894E-2</v>
      </c>
      <c r="P46" s="122">
        <f ca="1">+Calculation!V39</f>
        <v>5.0596475400498234E-2</v>
      </c>
      <c r="Q46" s="126"/>
      <c r="R46" s="234"/>
      <c r="S46" s="234"/>
      <c r="U46" s="1"/>
      <c r="V46" s="1"/>
      <c r="W46" s="28"/>
      <c r="X46" s="1"/>
    </row>
    <row r="47" spans="3:24" ht="18.75" customHeight="1">
      <c r="C47" s="3" t="str">
        <f>Calculation!C40</f>
        <v>EBIT (% of rev)</v>
      </c>
      <c r="E47" s="122">
        <f>+Calculation!G40</f>
        <v>-1.28681429707462E-2</v>
      </c>
      <c r="F47" s="122">
        <f>+Calculation!H40</f>
        <v>-6.0218398077431685E-2</v>
      </c>
      <c r="G47" s="122">
        <f>+Calculation!I40</f>
        <v>0.13278014895797349</v>
      </c>
      <c r="H47" s="122">
        <f ca="1">+Calculation!J40</f>
        <v>0.12064552003596399</v>
      </c>
      <c r="I47" s="122">
        <f ca="1">+Calculation!K40</f>
        <v>9.243921748901833E-2</v>
      </c>
      <c r="J47" s="123">
        <f ca="1">+Calculation!L40</f>
        <v>0.1982703910149225</v>
      </c>
      <c r="K47" s="124">
        <f ca="1">+Calculation!M40</f>
        <v>0.20287843795090685</v>
      </c>
      <c r="L47" s="122">
        <f>+Calculation!R40</f>
        <v>0.14607561140088904</v>
      </c>
      <c r="M47" s="122">
        <f>+Calculation!S40</f>
        <v>-8.9584624922504005E-3</v>
      </c>
      <c r="N47" s="122">
        <f ca="1">+Calculation!T40</f>
        <v>0.12155415554522983</v>
      </c>
      <c r="O47" s="122">
        <f ca="1">+Calculation!U40</f>
        <v>0.10609172167142977</v>
      </c>
      <c r="P47" s="122">
        <f ca="1">+Calculation!V40</f>
        <v>0.22665356950750037</v>
      </c>
      <c r="Q47" s="126"/>
      <c r="R47" s="234"/>
      <c r="S47" s="234"/>
      <c r="U47" s="1"/>
      <c r="V47" s="1"/>
      <c r="W47" s="28"/>
      <c r="X47" s="1"/>
    </row>
    <row r="48" spans="3:24" ht="18.75" customHeight="1">
      <c r="C48" s="118" t="str">
        <f>Calculation!C41</f>
        <v>EBITDA</v>
      </c>
      <c r="D48" s="127"/>
      <c r="E48" s="128">
        <f>+Calculation!G41</f>
        <v>179.06399999999991</v>
      </c>
      <c r="F48" s="128">
        <f>+Calculation!H41</f>
        <v>176.89799999999991</v>
      </c>
      <c r="G48" s="128">
        <f>+Calculation!I41</f>
        <v>234.39599999999996</v>
      </c>
      <c r="H48" s="128">
        <f ca="1">+Calculation!J41</f>
        <v>271.84999999999997</v>
      </c>
      <c r="I48" s="128">
        <f ca="1">+Calculation!K41</f>
        <v>243.95400000000004</v>
      </c>
      <c r="J48" s="129">
        <f ca="1">+Calculation!L41</f>
        <v>320.68530010730842</v>
      </c>
      <c r="K48" s="130">
        <f ca="1">+Calculation!M41</f>
        <v>337.7346574933311</v>
      </c>
      <c r="L48" s="128">
        <f>+Calculation!R41</f>
        <v>77.795000000000002</v>
      </c>
      <c r="M48" s="128">
        <f>+Calculation!S41</f>
        <v>49.711000000000013</v>
      </c>
      <c r="N48" s="128">
        <f ca="1">+Calculation!T41</f>
        <v>58.249000000000052</v>
      </c>
      <c r="O48" s="128">
        <f ca="1">+Calculation!U41</f>
        <v>58.198999999999984</v>
      </c>
      <c r="P48" s="128">
        <f ca="1">+Calculation!V41</f>
        <v>95.270746234641166</v>
      </c>
      <c r="Q48" s="126"/>
      <c r="R48" s="234"/>
      <c r="S48" s="234"/>
      <c r="U48" s="1"/>
      <c r="W48" s="28"/>
      <c r="X48" s="1"/>
    </row>
    <row r="49" spans="3:28" ht="18.75" customHeight="1">
      <c r="C49" s="3" t="str">
        <f>Calculation!C42</f>
        <v>EBITDA margin (% of rev)</v>
      </c>
      <c r="D49" s="1"/>
      <c r="E49" s="122">
        <f>+Calculation!G42</f>
        <v>0.31573323553215527</v>
      </c>
      <c r="F49" s="122">
        <f>+Calculation!H42</f>
        <v>0.2627460765878567</v>
      </c>
      <c r="G49" s="122">
        <f>+Calculation!I42</f>
        <v>0.33878471916088643</v>
      </c>
      <c r="H49" s="122">
        <f ca="1">+Calculation!J42</f>
        <v>0.33666760374650295</v>
      </c>
      <c r="I49" s="122">
        <f ca="1">+Calculation!K42</f>
        <v>0.31151547655531719</v>
      </c>
      <c r="J49" s="123">
        <f ca="1">+Calculation!L42</f>
        <v>0.38897685345517752</v>
      </c>
      <c r="K49" s="124">
        <f ca="1">+Calculation!M42</f>
        <v>0.39044590043950178</v>
      </c>
      <c r="L49" s="122">
        <f>+Calculation!R42</f>
        <v>0.35688562869581575</v>
      </c>
      <c r="M49" s="122">
        <f>+Calculation!S42</f>
        <v>0.25682475718123587</v>
      </c>
      <c r="N49" s="122">
        <f ca="1">+Calculation!T42</f>
        <v>0.31472676385091714</v>
      </c>
      <c r="O49" s="122">
        <f ca="1">+Calculation!U42</f>
        <v>0.31206065448072101</v>
      </c>
      <c r="P49" s="122">
        <f ca="1">+Calculation!V42</f>
        <v>0.42654054477433423</v>
      </c>
      <c r="Q49" s="126"/>
      <c r="R49" s="234"/>
      <c r="S49" s="234"/>
      <c r="U49" s="131"/>
      <c r="W49" s="28"/>
      <c r="X49" s="1"/>
    </row>
    <row r="50" spans="3:28" ht="18.75" customHeight="1">
      <c r="C50" s="3" t="str">
        <f>Calculation!C43</f>
        <v>Capex (% of rev)</v>
      </c>
      <c r="D50" s="1"/>
      <c r="E50" s="122">
        <f>+Calculation!G43</f>
        <v>0.24144607034984494</v>
      </c>
      <c r="F50" s="122">
        <f>+Calculation!H43</f>
        <v>0.1803462524470269</v>
      </c>
      <c r="G50" s="122">
        <f>+Calculation!I43</f>
        <v>0.13155015443585746</v>
      </c>
      <c r="H50" s="122">
        <f>+Calculation!J43</f>
        <v>0.13612467537614262</v>
      </c>
      <c r="I50" s="122">
        <f>+Calculation!K43</f>
        <v>0.14044080089896821</v>
      </c>
      <c r="J50" s="123">
        <f ca="1">+Calculation!L43</f>
        <v>0.16396819186857906</v>
      </c>
      <c r="K50" s="124">
        <f ca="1">+Calculation!M43</f>
        <v>0.15537608000633371</v>
      </c>
      <c r="L50" s="122">
        <f>+Calculation!R43</f>
        <v>0.14633251216838009</v>
      </c>
      <c r="M50" s="122">
        <f>+Calculation!S43</f>
        <v>0.14000309981401113</v>
      </c>
      <c r="N50" s="122">
        <f>+Calculation!T43</f>
        <v>0.15943007812922119</v>
      </c>
      <c r="O50" s="122">
        <f>+Calculation!U43</f>
        <v>0.11516415637617361</v>
      </c>
      <c r="P50" s="122">
        <f ca="1">+Calculation!V43</f>
        <v>0.16974591787737761</v>
      </c>
      <c r="Q50" s="126"/>
      <c r="R50" s="234"/>
      <c r="S50" s="234"/>
      <c r="U50" s="131"/>
      <c r="W50" s="28"/>
      <c r="X50" s="1"/>
    </row>
    <row r="51" spans="3:28" ht="18.75" customHeight="1">
      <c r="C51" s="3" t="str">
        <f>Calculation!C44</f>
        <v>FCF (% of rev)</v>
      </c>
      <c r="D51" s="1"/>
      <c r="E51" s="122">
        <f>+Calculation!G44</f>
        <v>-7.531160901157917E-2</v>
      </c>
      <c r="F51" s="122">
        <f>+Calculation!H44</f>
        <v>-8.2433985972847287E-4</v>
      </c>
      <c r="G51" s="122">
        <f>+Calculation!I44</f>
        <v>0.12975936335136654</v>
      </c>
      <c r="H51" s="122">
        <f>+Calculation!J44</f>
        <v>0.13674760642151509</v>
      </c>
      <c r="I51" s="122">
        <f>+Calculation!K44</f>
        <v>0.1408826233527429</v>
      </c>
      <c r="J51" s="123">
        <f ca="1">+Calculation!L44</f>
        <v>0.13758527667270848</v>
      </c>
      <c r="K51" s="124">
        <f ca="1">+Calculation!M44</f>
        <v>0.13226593200879713</v>
      </c>
      <c r="L51" s="122">
        <f>+Calculation!R44</f>
        <v>0.24958827064495864</v>
      </c>
      <c r="M51" s="122">
        <f>+Calculation!S44</f>
        <v>8.0817317627609048E-2</v>
      </c>
      <c r="N51" s="122">
        <f>+Calculation!T44</f>
        <v>0.12885378056819291</v>
      </c>
      <c r="O51" s="122">
        <f>+Calculation!U44</f>
        <v>8.8102349074257763E-2</v>
      </c>
      <c r="P51" s="122">
        <f ca="1">+Calculation!V44</f>
        <v>0.16705250365093668</v>
      </c>
      <c r="Q51" s="126"/>
      <c r="R51" s="234"/>
      <c r="S51" s="234"/>
      <c r="U51" s="131"/>
      <c r="W51" s="28"/>
      <c r="X51" s="1"/>
    </row>
    <row r="52" spans="3:28" ht="18.75" customHeight="1">
      <c r="C52" s="3" t="str">
        <f>Calculation!C45</f>
        <v>FCF (% of debt)**</v>
      </c>
      <c r="D52" s="1"/>
      <c r="E52" s="122">
        <f>+Calculation!G45</f>
        <v>-8.0165315625592343E-2</v>
      </c>
      <c r="F52" s="122">
        <f>+Calculation!H45</f>
        <v>-1.0995999833573065E-3</v>
      </c>
      <c r="G52" s="122">
        <f>+Calculation!I45</f>
        <v>0.1769904700320557</v>
      </c>
      <c r="H52" s="122">
        <f>+Calculation!J45</f>
        <v>0.2173215638807704</v>
      </c>
      <c r="I52" s="122">
        <f>+Calculation!K45</f>
        <v>0.21681746362400078</v>
      </c>
      <c r="J52" s="123">
        <f ca="1">+Calculation!L45</f>
        <v>0.22258491494594146</v>
      </c>
      <c r="K52" s="124">
        <f ca="1">+Calculation!M45</f>
        <v>0.22406772606429012</v>
      </c>
      <c r="L52" s="122">
        <f>+Calculation!R45</f>
        <v>0.29284069750752545</v>
      </c>
      <c r="M52" s="122">
        <f>+Calculation!S45</f>
        <v>0.22618925690155053</v>
      </c>
      <c r="N52" s="122">
        <f>+Calculation!T45</f>
        <v>0.2173215638807704</v>
      </c>
      <c r="O52" s="122">
        <f>+Calculation!U45</f>
        <v>0.21681746362400078</v>
      </c>
      <c r="P52" s="122">
        <f ca="1">+Calculation!V45</f>
        <v>0.18313479349689243</v>
      </c>
      <c r="Q52" s="126"/>
      <c r="R52" s="99"/>
      <c r="S52" s="1"/>
      <c r="U52" s="131"/>
      <c r="W52" s="132"/>
      <c r="X52" s="1"/>
    </row>
    <row r="53" spans="3:28" ht="18.75" customHeight="1">
      <c r="C53" s="3" t="str">
        <f>Calculation!C46</f>
        <v>Divs / Share Repo (% of debt)**</v>
      </c>
      <c r="D53" s="1"/>
      <c r="E53" s="122">
        <f>+Calculation!G46</f>
        <v>1.3301451391612972E-2</v>
      </c>
      <c r="F53" s="122">
        <f>+Calculation!H46</f>
        <v>1.415611149745705E-2</v>
      </c>
      <c r="G53" s="122">
        <f>+Calculation!I46</f>
        <v>2.2366050129918262E-2</v>
      </c>
      <c r="H53" s="122">
        <f>+Calculation!J46</f>
        <v>4.9591119770908985E-2</v>
      </c>
      <c r="I53" s="122">
        <f>+Calculation!K46</f>
        <v>5.0975529230503185E-2</v>
      </c>
      <c r="J53" s="123">
        <f ca="1">+Calculation!L46</f>
        <v>3.131264235166998E-2</v>
      </c>
      <c r="K53" s="124">
        <f ca="1">+Calculation!M46</f>
        <v>2.7489061181416113E-2</v>
      </c>
      <c r="L53" s="122">
        <f>+Calculation!R46</f>
        <v>4.1717540517212576E-2</v>
      </c>
      <c r="M53" s="122">
        <f>+Calculation!S46</f>
        <v>5.1070291818983996E-2</v>
      </c>
      <c r="N53" s="122">
        <f>+Calculation!T46</f>
        <v>4.9591119770908985E-2</v>
      </c>
      <c r="O53" s="122">
        <f>+Calculation!U46</f>
        <v>5.0975529230503178E-2</v>
      </c>
      <c r="P53" s="122">
        <f ca="1">+Calculation!V46</f>
        <v>3.7116322739898858E-2</v>
      </c>
      <c r="Q53" s="126"/>
      <c r="U53" s="131"/>
      <c r="W53" s="133"/>
      <c r="X53" s="62"/>
    </row>
    <row r="54" spans="3:28" ht="18.75" customHeight="1">
      <c r="C54" s="3" t="str">
        <f>Calculation!C47</f>
        <v>ROA**</v>
      </c>
      <c r="D54" s="1"/>
      <c r="E54" s="122">
        <f>+Calculation!G47</f>
        <v>-2.2837407523159841E-3</v>
      </c>
      <c r="F54" s="122">
        <f>+Calculation!H47</f>
        <v>-1.199305705853238E-2</v>
      </c>
      <c r="G54" s="122">
        <f>+Calculation!I47</f>
        <v>2.7360788775637919E-2</v>
      </c>
      <c r="H54" s="122">
        <f ca="1">+Calculation!J47</f>
        <v>2.8522102713372202E-2</v>
      </c>
      <c r="I54" s="122">
        <f ca="1">+Calculation!K47</f>
        <v>2.1204725419616266E-2</v>
      </c>
      <c r="J54" s="123">
        <f ca="1">+Calculation!L47</f>
        <v>4.6462760882174756E-2</v>
      </c>
      <c r="K54" s="124">
        <f ca="1">+Calculation!M47</f>
        <v>4.8311302460788921E-2</v>
      </c>
      <c r="L54" s="122">
        <f>+Calculation!R47</f>
        <v>4.3953907048928015E-2</v>
      </c>
      <c r="M54" s="122">
        <f>+Calculation!S47</f>
        <v>3.0650028631833193E-2</v>
      </c>
      <c r="N54" s="122">
        <f ca="1">+Calculation!T47</f>
        <v>2.852210271337223E-2</v>
      </c>
      <c r="O54" s="122">
        <f ca="1">+Calculation!U47</f>
        <v>2.1204725419616266E-2</v>
      </c>
      <c r="P54" s="122">
        <f ca="1">+Calculation!V47</f>
        <v>2.6469337839697731E-2</v>
      </c>
      <c r="Q54" s="126"/>
      <c r="W54" s="133"/>
      <c r="X54" s="62"/>
    </row>
    <row r="55" spans="3:28" ht="18.75" customHeight="1" thickBot="1">
      <c r="C55" s="65" t="str">
        <f>Calculation!C48</f>
        <v>ROIC**</v>
      </c>
      <c r="D55" s="48"/>
      <c r="E55" s="122">
        <f>+Calculation!G48</f>
        <v>-2.9017366874597083E-3</v>
      </c>
      <c r="F55" s="122">
        <f>+Calculation!H48</f>
        <v>-1.4790316395036567E-2</v>
      </c>
      <c r="G55" s="122">
        <f>+Calculation!I48</f>
        <v>3.4440980701642823E-2</v>
      </c>
      <c r="H55" s="122">
        <f ca="1">+Calculation!J48</f>
        <v>3.7191211378467814E-2</v>
      </c>
      <c r="I55" s="122">
        <f ca="1">+Calculation!K48</f>
        <v>2.7771822780378146E-2</v>
      </c>
      <c r="J55" s="123">
        <f ca="1">+Calculation!L48</f>
        <v>6.3191998412203285E-2</v>
      </c>
      <c r="K55" s="124">
        <f ca="1">+Calculation!M48</f>
        <v>6.8407339978958551E-2</v>
      </c>
      <c r="L55" s="122">
        <f>+Calculation!R48</f>
        <v>5.5881249154880394E-2</v>
      </c>
      <c r="M55" s="122">
        <f>+Calculation!S48</f>
        <v>3.9060699884185465E-2</v>
      </c>
      <c r="N55" s="122">
        <f ca="1">+Calculation!T48</f>
        <v>3.7191211378467849E-2</v>
      </c>
      <c r="O55" s="122">
        <f ca="1">+Calculation!U48</f>
        <v>2.7771822780378146E-2</v>
      </c>
      <c r="P55" s="122">
        <f ca="1">+Calculation!V48</f>
        <v>3.5382001246672859E-2</v>
      </c>
      <c r="Q55" s="136"/>
      <c r="R55" s="12"/>
      <c r="S55" s="12"/>
      <c r="T55" s="12"/>
      <c r="U55" s="12"/>
      <c r="V55" s="137"/>
      <c r="W55" s="138"/>
      <c r="X55" s="62"/>
    </row>
    <row r="56" spans="3:28" ht="18.75" customHeight="1">
      <c r="C56" s="3" t="str">
        <f>Calculation!C49</f>
        <v>Gross Debt / EBITDA**</v>
      </c>
      <c r="D56" s="1"/>
      <c r="E56" s="363">
        <f>+Calculation!G49</f>
        <v>2.9754668721797808</v>
      </c>
      <c r="F56" s="363">
        <f>+Calculation!H49</f>
        <v>2.8532204999491246</v>
      </c>
      <c r="G56" s="363">
        <f>+Calculation!I49</f>
        <v>2.1640386354715955</v>
      </c>
      <c r="H56" s="363">
        <f ca="1">+Calculation!J49</f>
        <v>1.869027036968917</v>
      </c>
      <c r="I56" s="363">
        <f ca="1">+Calculation!K49</f>
        <v>2.085852250834173</v>
      </c>
      <c r="J56" s="134">
        <f ca="1">+Calculation!L49</f>
        <v>1.5891045629895921</v>
      </c>
      <c r="K56" s="135">
        <f ca="1">+Calculation!M49</f>
        <v>1.511846930524861</v>
      </c>
      <c r="L56" s="363">
        <f>+Calculation!R49</f>
        <v>1.6929547179357449</v>
      </c>
      <c r="M56" s="363">
        <f>+Calculation!S49</f>
        <v>1.8701291047387516</v>
      </c>
      <c r="N56" s="363">
        <f ca="1">+Calculation!T49</f>
        <v>1.8690270369689166</v>
      </c>
      <c r="O56" s="363">
        <f ca="1">+Calculation!U49</f>
        <v>2.085852250834173</v>
      </c>
      <c r="P56" s="363">
        <f ca="1">+Calculation!V49</f>
        <v>1.9473765523139897</v>
      </c>
      <c r="Q56" s="266" t="s">
        <v>89</v>
      </c>
      <c r="R56" s="267"/>
      <c r="S56" s="267"/>
      <c r="T56" s="267"/>
      <c r="U56" s="267"/>
      <c r="V56" s="268"/>
      <c r="W56" s="269"/>
      <c r="X56" s="62"/>
    </row>
    <row r="57" spans="3:28" ht="18.75" customHeight="1">
      <c r="C57" s="139" t="str">
        <f>Calculation!C50</f>
        <v>Net Debt / EBITDA**</v>
      </c>
      <c r="D57" s="112"/>
      <c r="E57" s="140">
        <f>+Calculation!G50</f>
        <v>2.8225103873475419</v>
      </c>
      <c r="F57" s="140">
        <f>+Calculation!H50</f>
        <v>2.5001808952051476</v>
      </c>
      <c r="G57" s="140">
        <f>+Calculation!I50</f>
        <v>1.6101469308349976</v>
      </c>
      <c r="H57" s="140">
        <f ca="1">+Calculation!J50</f>
        <v>1.0965054257862794</v>
      </c>
      <c r="I57" s="140">
        <f ca="1">+Calculation!K50</f>
        <v>1.2167170860080176</v>
      </c>
      <c r="J57" s="134">
        <f ca="1">+Calculation!L50</f>
        <v>0.65957388864469668</v>
      </c>
      <c r="K57" s="135">
        <f ca="1">+Calculation!M50</f>
        <v>0.33367794149601143</v>
      </c>
      <c r="L57" s="140">
        <f>+Calculation!R50</f>
        <v>1.0888365931271384</v>
      </c>
      <c r="M57" s="140">
        <f>+Calculation!S50</f>
        <v>1.1669447667458606</v>
      </c>
      <c r="N57" s="140">
        <f ca="1">+Calculation!T50</f>
        <v>1.0965054257862792</v>
      </c>
      <c r="O57" s="140">
        <f ca="1">+Calculation!U50</f>
        <v>1.2167170860080176</v>
      </c>
      <c r="P57" s="140">
        <f ca="1">+Calculation!V50</f>
        <v>1.0075664423567354</v>
      </c>
      <c r="Q57" s="36" t="s">
        <v>91</v>
      </c>
      <c r="R57" s="1"/>
      <c r="S57" s="1"/>
      <c r="T57" s="1"/>
      <c r="U57" s="46" t="s">
        <v>92</v>
      </c>
      <c r="W57" s="30"/>
      <c r="X57" s="62"/>
    </row>
    <row r="58" spans="3:28" ht="18.75" customHeight="1">
      <c r="C58" s="3" t="str">
        <f>Calculation!C51</f>
        <v>EBITDA / Interest**</v>
      </c>
      <c r="D58" s="141"/>
      <c r="E58" s="140">
        <f>+Calculation!G51</f>
        <v>4.3733880422039837</v>
      </c>
      <c r="F58" s="140">
        <f>+Calculation!H51</f>
        <v>3.8800228110194754</v>
      </c>
      <c r="G58" s="140">
        <f>+Calculation!I51</f>
        <v>5.2086842514610776</v>
      </c>
      <c r="H58" s="140">
        <f ca="1">+Calculation!J51</f>
        <v>6.4811062105137669</v>
      </c>
      <c r="I58" s="140">
        <f ca="1">+Calculation!K51</f>
        <v>5.8632922344797764</v>
      </c>
      <c r="J58" s="134">
        <f ca="1">+Calculation!L51</f>
        <v>8.412419075210499</v>
      </c>
      <c r="K58" s="135">
        <f ca="1">+Calculation!M51</f>
        <v>9.1396684818809106</v>
      </c>
      <c r="L58" s="140">
        <f>+Calculation!R51</f>
        <v>7.0782207143530291</v>
      </c>
      <c r="M58" s="140">
        <f>+Calculation!S51</f>
        <v>6.4433711491906775</v>
      </c>
      <c r="N58" s="140">
        <f ca="1">+Calculation!T51</f>
        <v>6.4811062105137687</v>
      </c>
      <c r="O58" s="140">
        <f ca="1">+Calculation!U51</f>
        <v>5.8632922344797764</v>
      </c>
      <c r="P58" s="140">
        <f ca="1">+Calculation!V51</f>
        <v>6.4432581055749152</v>
      </c>
      <c r="Q58" s="36"/>
      <c r="R58" s="142" t="s">
        <v>94</v>
      </c>
      <c r="S58" s="143" t="str">
        <f>+I42</f>
        <v>LTM</v>
      </c>
      <c r="T58" s="144" t="str">
        <f>+J42</f>
        <v>FY22E</v>
      </c>
      <c r="U58" s="145" t="s">
        <v>95</v>
      </c>
      <c r="W58" s="30"/>
      <c r="X58" s="62"/>
      <c r="Z58" s="26" t="s">
        <v>621</v>
      </c>
      <c r="AA58" s="714">
        <f ca="1">IFERROR(IF(BBswitch=1,_xll.BDP(Z58&amp;" EQUITY", "EV EBITDA ADJUSTED")*1,AA58),"")</f>
        <v>8.5663914430895396</v>
      </c>
      <c r="AB58" s="62" t="str">
        <f ca="1">+IF(BBswitch=1,_xll.BDP(Z58&amp;" EQUITY","SECURITY_NAME"),AB58)</f>
        <v>Coeur Mining Inc</v>
      </c>
    </row>
    <row r="59" spans="3:28" ht="18.75" customHeight="1">
      <c r="C59" s="3" t="str">
        <f>Calculation!C52</f>
        <v>EBIT / Interest**</v>
      </c>
      <c r="D59" s="141"/>
      <c r="E59" s="140" t="str">
        <f>+Calculation!G52</f>
        <v xml:space="preserve">NM </v>
      </c>
      <c r="F59" s="140" t="str">
        <f>+Calculation!H52</f>
        <v xml:space="preserve">NM </v>
      </c>
      <c r="G59" s="140">
        <f>+Calculation!I52</f>
        <v>2.0414435234772559</v>
      </c>
      <c r="H59" s="140">
        <f ca="1">+Calculation!J52</f>
        <v>2.3225175825485742</v>
      </c>
      <c r="I59" s="140">
        <f ca="1">+Calculation!K52</f>
        <v>1.7398755017184619</v>
      </c>
      <c r="J59" s="134">
        <f ca="1">+Calculation!L52</f>
        <v>4.2880022412839462</v>
      </c>
      <c r="K59" s="135">
        <f ca="1">+Calculation!M52</f>
        <v>4.7490360710816155</v>
      </c>
      <c r="L59" s="140">
        <f>+Calculation!R52</f>
        <v>3.4571435302987452</v>
      </c>
      <c r="M59" s="140">
        <f>+Calculation!S52</f>
        <v>2.4353491242227183</v>
      </c>
      <c r="N59" s="140">
        <f ca="1">+Calculation!T52</f>
        <v>2.3225175825485764</v>
      </c>
      <c r="O59" s="140">
        <f ca="1">+Calculation!U52</f>
        <v>1.7398755017184619</v>
      </c>
      <c r="P59" s="140">
        <f ca="1">+Calculation!V52</f>
        <v>2.2470862645535075</v>
      </c>
      <c r="Q59" s="3"/>
      <c r="R59" s="150" t="s">
        <v>79</v>
      </c>
      <c r="S59" s="150" t="s">
        <v>97</v>
      </c>
      <c r="T59" s="150" t="s">
        <v>97</v>
      </c>
      <c r="U59" s="80" t="s">
        <v>98</v>
      </c>
      <c r="W59" s="30"/>
      <c r="X59" s="62"/>
      <c r="Z59" s="26" t="s">
        <v>622</v>
      </c>
      <c r="AA59" s="714">
        <f ca="1">IFERROR(IF(BBswitch=1,_xll.BDP(Z59&amp;" EQUITY", "EV EBITDA ADJUSTED")*1,AA59),"")</f>
        <v>5.3181064636318984</v>
      </c>
      <c r="AB59" s="62" t="str">
        <f ca="1">+IF(BBswitch=1,_xll.BDP(Z59&amp;" EQUITY","SECURITY_NAME"),AB59)</f>
        <v>SSR Mining Inc</v>
      </c>
    </row>
    <row r="60" spans="3:28" ht="18.75" customHeight="1">
      <c r="C60" s="146" t="str">
        <f>Calculation!C53</f>
        <v>EBITDA / Total Fixed Charges***</v>
      </c>
      <c r="D60" s="234"/>
      <c r="E60" s="147">
        <f>+Calculation!G53</f>
        <v>0.6284910024533974</v>
      </c>
      <c r="F60" s="147">
        <f>+Calculation!H53</f>
        <v>0.41226796555461021</v>
      </c>
      <c r="G60" s="147">
        <f>+Calculation!I53</f>
        <v>0.26878394974663466</v>
      </c>
      <c r="H60" s="147">
        <f ca="1">+Calculation!J53</f>
        <v>1.8799098251825623</v>
      </c>
      <c r="I60" s="147">
        <f ca="1">+Calculation!K53</f>
        <v>1.638958124785854</v>
      </c>
      <c r="J60" s="148">
        <f ca="1">+Calculation!L53</f>
        <v>1.4552173850404044</v>
      </c>
      <c r="K60" s="149">
        <f ca="1">+Calculation!M53</f>
        <v>1.5813549046492354</v>
      </c>
      <c r="L60" s="147">
        <f>+Calculation!R53</f>
        <v>1.3006385696040867</v>
      </c>
      <c r="M60" s="147">
        <f>+Calculation!S53</f>
        <v>1.5160153676051777</v>
      </c>
      <c r="N60" s="147">
        <f ca="1">+Calculation!T53</f>
        <v>1.8799098251825626</v>
      </c>
      <c r="O60" s="147">
        <f ca="1">+Calculation!U53</f>
        <v>1.638958124785854</v>
      </c>
      <c r="P60" s="147">
        <f ca="1">+Calculation!V53</f>
        <v>1.6338610232322408</v>
      </c>
      <c r="Q60" s="151" t="str">
        <f>+D3</f>
        <v>HL US</v>
      </c>
      <c r="R60" s="152">
        <f ca="1">K35</f>
        <v>11.247794059453829</v>
      </c>
      <c r="S60" s="153">
        <f t="shared" ref="S60:S66" ca="1" si="2">+IFERROR($I$57/$R60,"")</f>
        <v>0.10817384098398927</v>
      </c>
      <c r="T60" s="153">
        <f t="shared" ref="T60:T67" ca="1" si="3">+IFERROR($J$57/$R60,"")</f>
        <v>5.8640288500865771E-2</v>
      </c>
      <c r="U60" s="68" t="s">
        <v>100</v>
      </c>
      <c r="W60" s="154" t="s">
        <v>101</v>
      </c>
      <c r="X60" s="62" t="str">
        <f ca="1">+IF(BBswitch=1,_xll.BDP(Q60&amp;" EQUITY","SECURITY_NAME"),X60)</f>
        <v>Hecla Mining Co</v>
      </c>
      <c r="Z60" s="26" t="s">
        <v>623</v>
      </c>
      <c r="AA60" s="714">
        <f ca="1">IFERROR(IF(BBswitch=1,_xll.BDP(Z60&amp;" EQUITY", "EV EBITDA ADJUSTED")*1,AA60),"")</f>
        <v>13.093595111751927</v>
      </c>
      <c r="AB60" s="62" t="str">
        <f ca="1">+IF(BBswitch=1,_xll.BDP(Z60&amp;" EQUITY","SECURITY_NAME"),AB60)</f>
        <v>Royal Gold Inc</v>
      </c>
    </row>
    <row r="61" spans="3:28" ht="18.75" customHeight="1">
      <c r="C61" s="3" t="str">
        <f>Calculation!C54</f>
        <v>Debt / Book Capital</v>
      </c>
      <c r="D61" s="141"/>
      <c r="E61" s="122">
        <f>+Calculation!G54</f>
        <v>0.23959353563915564</v>
      </c>
      <c r="F61" s="122">
        <f>+Calculation!H54</f>
        <v>0.22971965526281299</v>
      </c>
      <c r="G61" s="122">
        <f>+Calculation!I54</f>
        <v>0.22956468689553053</v>
      </c>
      <c r="H61" s="122">
        <f>+Calculation!J54</f>
        <v>0.22394068973177109</v>
      </c>
      <c r="I61" s="122">
        <f>+Calculation!K54</f>
        <v>0.22743056098721959</v>
      </c>
      <c r="J61" s="123">
        <f ca="1">+Calculation!L54</f>
        <v>0.21906627861101399</v>
      </c>
      <c r="K61" s="124">
        <f ca="1">+Calculation!M54</f>
        <v>0.21073066968396006</v>
      </c>
      <c r="L61" s="122">
        <f>+Calculation!R54</f>
        <v>0.22814901405961449</v>
      </c>
      <c r="M61" s="122">
        <f>+Calculation!S54</f>
        <v>0.2255809004095195</v>
      </c>
      <c r="N61" s="122">
        <f>+Calculation!T54</f>
        <v>0.22394068973177109</v>
      </c>
      <c r="O61" s="122">
        <f>+Calculation!U54</f>
        <v>0.22743056098721959</v>
      </c>
      <c r="P61" s="122">
        <f ca="1">+Calculation!V54</f>
        <v>0.22434359322670197</v>
      </c>
      <c r="Q61" s="151" t="s">
        <v>760</v>
      </c>
      <c r="R61" s="713">
        <f ca="1">IFERROR(IF(BBswitch=1,_xll.BDP(Q61&amp;" EQUITY", "EV EBITDA ADJUSTED")*1,R61),"")</f>
        <v>7.5747835320716961</v>
      </c>
      <c r="S61" s="153">
        <f t="shared" ca="1" si="2"/>
        <v>0.16062730781103216</v>
      </c>
      <c r="T61" s="153">
        <f t="shared" ca="1" si="3"/>
        <v>8.7074948855245221E-2</v>
      </c>
      <c r="U61" s="80" t="str">
        <f ca="1">+Calculation!C60</f>
        <v>VANGUARD GROUP</v>
      </c>
      <c r="W61" s="158">
        <f>+Calculation!G60/100</f>
        <v>9.5299999999999996E-2</v>
      </c>
      <c r="X61" s="62" t="str">
        <f ca="1">+IF(BBswitch=1,_xll.BDP(Q61&amp;" EQUITY","SECURITY_NAME"),X61)</f>
        <v>Fresnillo PLC</v>
      </c>
      <c r="Z61" s="26" t="s">
        <v>624</v>
      </c>
      <c r="AA61" s="714">
        <f ca="1">IFERROR(IF(BBswitch=1,_xll.BDP(Z61&amp;" EQUITY", "EV EBITDA ADJUSTED")*1,AA61),"")</f>
        <v>4.8107860364935835</v>
      </c>
      <c r="AB61" s="62" t="str">
        <f ca="1">+IF(BBswitch=1,_xll.BDP(Z61&amp;" EQUITY","SECURITY_NAME"),AB61)</f>
        <v>Fortuna Silver Mines Inc</v>
      </c>
    </row>
    <row r="62" spans="3:28" ht="18.75" customHeight="1">
      <c r="C62" s="65" t="str">
        <f>Calculation!C55</f>
        <v>Net Debt / Tangible Assets*</v>
      </c>
      <c r="D62" s="155"/>
      <c r="E62" s="156">
        <f>+Calculation!G55</f>
        <v>0.19192626896107814</v>
      </c>
      <c r="F62" s="156">
        <f>+Calculation!H55</f>
        <v>0.17492837174864695</v>
      </c>
      <c r="G62" s="156">
        <f>+Calculation!I55</f>
        <v>0.15212361686382186</v>
      </c>
      <c r="H62" s="156">
        <f>+Calculation!J55</f>
        <v>0.12301493792612213</v>
      </c>
      <c r="I62" s="156">
        <f>+Calculation!K55</f>
        <v>0.12296622253670264</v>
      </c>
      <c r="J62" s="157">
        <f ca="1">+Calculation!L55</f>
        <v>8.756629320260112E-2</v>
      </c>
      <c r="K62" s="124">
        <f ca="1">+Calculation!M55</f>
        <v>4.7041879644953363E-2</v>
      </c>
      <c r="L62" s="156">
        <f>+Calculation!R55</f>
        <v>0.13412118086106981</v>
      </c>
      <c r="M62" s="156">
        <f>+Calculation!S55</f>
        <v>0.13024341913230802</v>
      </c>
      <c r="N62" s="156">
        <f>+Calculation!T55</f>
        <v>0.12301493792612213</v>
      </c>
      <c r="O62" s="156">
        <f>+Calculation!U55</f>
        <v>0.12296622253670264</v>
      </c>
      <c r="P62" s="156">
        <f ca="1">+Calculation!V55</f>
        <v>0.10934233115301409</v>
      </c>
      <c r="Q62" s="151" t="s">
        <v>761</v>
      </c>
      <c r="R62" s="713">
        <f ca="1">IFERROR(IF(BBswitch=1,_xll.BDP(Q62&amp;" EQUITY", "EV to t12m ebitda")*1,R62),"")</f>
        <v>9.0416079335137098</v>
      </c>
      <c r="S62" s="153">
        <f t="shared" ca="1" si="2"/>
        <v>0.13456866244975327</v>
      </c>
      <c r="T62" s="153">
        <f t="shared" ca="1" si="3"/>
        <v>7.2948738044691569E-2</v>
      </c>
      <c r="U62" s="80" t="str">
        <f>+Calculation!C61</f>
        <v>VAN ECK ASSOCIATES C</v>
      </c>
      <c r="W62" s="158">
        <f>+Calculation!G61/100</f>
        <v>9.3599999999999989E-2</v>
      </c>
      <c r="X62" s="62" t="str">
        <f ca="1">+IF(BBswitch=1,_xll.BDP(Q62&amp;" EQUITY","SECURITY_NAME"),X62)</f>
        <v>Pan American Silver Corp</v>
      </c>
      <c r="Z62" s="26" t="s">
        <v>625</v>
      </c>
      <c r="AA62" s="714">
        <f ca="1">IFERROR(IF(BBswitch=1,_xll.BDP(Z62&amp;" EQUITY", "EV EBITDA ADJUSTED")*1,AA62),"")</f>
        <v>6.7115111462421435</v>
      </c>
      <c r="AB62" s="62" t="str">
        <f ca="1">+IF(BBswitch=1,_xll.BDP(Z62&amp;" EQUITY","SECURITY_NAME"),AB62)</f>
        <v>Alamos Gold Inc</v>
      </c>
    </row>
    <row r="63" spans="3:28" ht="18.75" customHeight="1">
      <c r="C63" s="34"/>
      <c r="D63" s="1"/>
      <c r="E63" s="1"/>
      <c r="F63" s="1"/>
      <c r="G63" s="1"/>
      <c r="H63" s="1"/>
      <c r="I63" s="159"/>
      <c r="J63" s="1"/>
      <c r="K63" s="364"/>
      <c r="L63" s="1"/>
      <c r="M63" s="1"/>
      <c r="N63" s="62"/>
      <c r="O63" s="1"/>
      <c r="P63" s="133"/>
      <c r="Q63" s="715" t="s">
        <v>621</v>
      </c>
      <c r="R63" s="164">
        <f ca="1">IFERROR(IF(BBswitch=1,_xll.BDP(Q63&amp;" EQUITY", "EV EBITDA ADJUSTED")*1,R63),"")</f>
        <v>8.5663914430895396</v>
      </c>
      <c r="S63" s="160">
        <f t="shared" ca="1" si="2"/>
        <v>0.14203379498721561</v>
      </c>
      <c r="T63" s="160">
        <f t="shared" ca="1" si="3"/>
        <v>7.6995534587293607E-2</v>
      </c>
      <c r="U63" s="161" t="str">
        <f>+Calculation!C62</f>
        <v>BLACKROCK</v>
      </c>
      <c r="V63" s="162"/>
      <c r="W63" s="163">
        <f>+Calculation!G62/100</f>
        <v>7.3899999999999993E-2</v>
      </c>
      <c r="X63" s="62" t="str">
        <f ca="1">+IF(BBswitch=1,_xll.BDP(Q63&amp;" EQUITY","SECURITY_NAME"),X63)</f>
        <v>Coeur Mining Inc</v>
      </c>
      <c r="Z63" s="26" t="s">
        <v>626</v>
      </c>
      <c r="AA63" s="714">
        <f ca="1">IFERROR(IF(BBswitch=1,_xll.BDP(Z63&amp;" EQUITY", "EV EBITDA ADJUSTED")*1,AA63),"")</f>
        <v>8.3712721288729313</v>
      </c>
      <c r="AB63" s="62" t="str">
        <f ca="1">+IF(BBswitch=1,_xll.BDP(Z63&amp;" EQUITY","SECURITY_NAME"),AB63)</f>
        <v>Pan American Silver Corp</v>
      </c>
    </row>
    <row r="64" spans="3:28" s="280" customFormat="1" ht="18.75" customHeight="1">
      <c r="C64" s="273" t="s">
        <v>103</v>
      </c>
      <c r="D64" s="274"/>
      <c r="E64" s="274"/>
      <c r="F64" s="274"/>
      <c r="G64" s="274"/>
      <c r="H64" s="275"/>
      <c r="I64" s="275"/>
      <c r="J64" s="276"/>
      <c r="K64" s="274"/>
      <c r="L64" s="275"/>
      <c r="M64" s="274"/>
      <c r="N64" s="277"/>
      <c r="O64" s="277"/>
      <c r="P64" s="278"/>
      <c r="Q64" s="715" t="s">
        <v>762</v>
      </c>
      <c r="R64" s="164">
        <f ca="1">IFERROR(IF(BBswitch=1,_xll.BDP(Q64&amp;" EQUITY", "EV to t12m ebitda")*1,R64),"")</f>
        <v>6.8007291471861597</v>
      </c>
      <c r="S64" s="279">
        <f t="shared" ca="1" si="2"/>
        <v>0.17890979918108357</v>
      </c>
      <c r="T64" s="279">
        <f t="shared" ca="1" si="3"/>
        <v>9.6985760551513672E-2</v>
      </c>
      <c r="U64" s="161" t="str">
        <f>+Calculation!C63</f>
        <v>DIMENSIONAL FUND ADV</v>
      </c>
      <c r="V64" s="162"/>
      <c r="W64" s="163">
        <f>+Calculation!G63/100</f>
        <v>5.4199999999999998E-2</v>
      </c>
      <c r="X64" s="62" t="str">
        <f ca="1">+IF(BBswitch=1,_xll.BDP(Q64&amp;" EQUITY","SECURITY_NAME"),X64)</f>
        <v>SSR Mining Inc</v>
      </c>
      <c r="Z64" s="547" t="s">
        <v>627</v>
      </c>
      <c r="AA64" s="714">
        <f ca="1">IFERROR(IF(BBswitch=1,_xll.BDP(Z64&amp;" EQUITY", "EV EBITDA ADJUSTED")*1,AA64),"")</f>
        <v>2.995031405256138</v>
      </c>
      <c r="AB64" s="62" t="str">
        <f ca="1">+IF(BBswitch=1,_xll.BDP(Z64&amp;" EQUITY","SECURITY_NAME"),AB64)</f>
        <v>New Gold Inc</v>
      </c>
    </row>
    <row r="65" spans="3:28" ht="18.75" customHeight="1">
      <c r="C65" s="3" t="s">
        <v>104</v>
      </c>
      <c r="P65" s="133"/>
      <c r="Q65" s="716" t="s">
        <v>763</v>
      </c>
      <c r="R65" s="713">
        <f ca="1">IFERROR(IF(BBswitch=1,_xll.BDP(Q65&amp;" EQUITY", "EV to t12m ebitda")*1,R65),"")</f>
        <v>20.912949320697656</v>
      </c>
      <c r="S65" s="153">
        <f t="shared" ca="1" si="2"/>
        <v>5.8180081027778628E-2</v>
      </c>
      <c r="T65" s="153">
        <f t="shared" ca="1" si="3"/>
        <v>3.1539018171478708E-2</v>
      </c>
      <c r="U65" s="80" t="str">
        <f>+Calculation!C64</f>
        <v>STATE STREET CORP</v>
      </c>
      <c r="W65" s="158">
        <f>+Calculation!G64/100</f>
        <v>4.8000000000000001E-2</v>
      </c>
      <c r="X65" s="62" t="str">
        <f ca="1">+IF(BBswitch=1,_xll.BDP(Q65&amp;" EQUITY","SECURITY_NAME"),X65)</f>
        <v>First Majestic Silver Corp</v>
      </c>
      <c r="Z65" s="26" t="s">
        <v>628</v>
      </c>
      <c r="AA65" s="714">
        <f ca="1">IFERROR(IF(BBswitch=1,_xll.BDP(Z65&amp;" EQUITY", "EV EBITDA ADJUSTED")*1,AA65),"")</f>
        <v>22.377672456248018</v>
      </c>
      <c r="AB65" s="62" t="str">
        <f ca="1">+IF(BBswitch=1,_xll.BDP(Z65&amp;" EQUITY","SECURITY_NAME"),AB65)</f>
        <v>Wheaton Precious Metals Corp</v>
      </c>
    </row>
    <row r="66" spans="3:28" ht="18.75" customHeight="1">
      <c r="C66" s="165" t="s">
        <v>233</v>
      </c>
      <c r="P66" s="133"/>
      <c r="Q66" s="717" t="s">
        <v>764</v>
      </c>
      <c r="R66" s="718">
        <f ca="1">IFERROR(IF(BBswitch=1,_xll.BDP(Q66&amp;" EQUITY", "EV to t12m ebitda")*1,R66),"")</f>
        <v>4.5844783223366532</v>
      </c>
      <c r="S66" s="166">
        <f t="shared" ca="1" si="2"/>
        <v>0.26539924511800761</v>
      </c>
      <c r="T66" s="166">
        <f t="shared" ca="1" si="3"/>
        <v>0.14387108898107295</v>
      </c>
      <c r="U66" s="38"/>
      <c r="W66" s="30"/>
      <c r="X66" s="62" t="str">
        <f ca="1">+IF(BBswitch=1,_xll.BDP(Q66&amp;" EQUITY","SECURITY_NAME"),X66)</f>
        <v>Fortuna Silver Mines Inc</v>
      </c>
      <c r="Z66" s="26" t="s">
        <v>629</v>
      </c>
      <c r="AA66" s="714">
        <f ca="1">IFERROR(IF(BBswitch=1,_xll.BDP(Z66&amp;" EQUITY", "EV EBITDA ADJUSTED")*1,AA66),"")</f>
        <v>4.3714197453944008</v>
      </c>
      <c r="AB66" s="62" t="str">
        <f ca="1">+IF(BBswitch=1,_xll.BDP(Z66&amp;" EQUITY","SECURITY_NAME"),AB66)</f>
        <v>Eldorado Gold Corp</v>
      </c>
    </row>
    <row r="67" spans="3:28">
      <c r="C67" s="146" t="s">
        <v>105</v>
      </c>
      <c r="P67" s="28"/>
      <c r="Q67" s="167" t="s">
        <v>765</v>
      </c>
      <c r="R67" s="168">
        <f ca="1">+MEDIAN(R61:R66)</f>
        <v>8.0705874875806174</v>
      </c>
      <c r="S67" s="153">
        <f ca="1">+IFERROR($I$57/R67,"")</f>
        <v>0.15075941966806711</v>
      </c>
      <c r="T67" s="153">
        <f t="shared" ca="1" si="3"/>
        <v>8.1725635173359887E-2</v>
      </c>
      <c r="U67" s="41"/>
      <c r="W67" s="30"/>
      <c r="X67" s="234"/>
      <c r="Z67" s="26" t="s">
        <v>630</v>
      </c>
      <c r="AA67" s="714">
        <f ca="1">IFERROR(IF(BBswitch=1,_xll.BDP(Z67&amp;" EQUITY", "EV EBITDA ADJUSTED")*1,AA67),"")</f>
        <v>24.117240494323866</v>
      </c>
      <c r="AB67" s="62" t="str">
        <f ca="1">+IF(BBswitch=1,_xll.BDP(Z67&amp;" EQUITY","SECURITY_NAME"),AB67)</f>
        <v>Endeavour Silver Corp</v>
      </c>
    </row>
    <row r="68" spans="3:28" ht="18.75" customHeight="1" thickBot="1">
      <c r="C68" s="58"/>
      <c r="D68" s="59"/>
      <c r="E68" s="59"/>
      <c r="F68" s="59"/>
      <c r="G68" s="59"/>
      <c r="H68" s="59"/>
      <c r="I68" s="59"/>
      <c r="J68" s="59"/>
      <c r="K68" s="59"/>
      <c r="L68" s="59"/>
      <c r="M68" s="59"/>
      <c r="N68" s="59"/>
      <c r="O68" s="59"/>
      <c r="P68" s="61"/>
      <c r="Q68" s="58"/>
      <c r="R68" s="59"/>
      <c r="S68" s="59"/>
      <c r="T68" s="59"/>
      <c r="U68" s="60"/>
      <c r="V68" s="169" t="s">
        <v>107</v>
      </c>
      <c r="W68" s="170" t="s">
        <v>797</v>
      </c>
      <c r="X68" s="234"/>
      <c r="Z68" s="26" t="s">
        <v>756</v>
      </c>
      <c r="AA68" s="714">
        <f ca="1">IFERROR(IF(BBswitch=1,_xll.BDP(Z68&amp;" EQUITY", "EV EBITDA ADJUSTED")*1,AA68),"")</f>
        <v>10.423501129905276</v>
      </c>
      <c r="AB68" s="62" t="str">
        <f ca="1">+IF(BBswitch=1,_xll.BDP(Z68&amp;" EQUITY","SECURITY_NAME"),AB68)</f>
        <v>IAMGOLD Corp</v>
      </c>
    </row>
    <row r="69" spans="3:28">
      <c r="C69" s="1"/>
      <c r="D69" s="97"/>
      <c r="E69" s="97"/>
      <c r="F69" s="97"/>
      <c r="G69" s="97"/>
      <c r="H69" s="97"/>
      <c r="I69" s="97"/>
      <c r="J69" s="97"/>
      <c r="K69" s="97"/>
      <c r="L69" s="97"/>
      <c r="M69" s="171"/>
      <c r="N69" s="171"/>
      <c r="O69" s="171"/>
      <c r="P69" s="1"/>
      <c r="Q69" s="234"/>
      <c r="R69" s="172"/>
      <c r="S69" s="234"/>
      <c r="T69" s="234"/>
      <c r="U69" s="234"/>
      <c r="V69" s="234"/>
      <c r="W69" s="234"/>
      <c r="X69" s="234"/>
      <c r="Z69" s="26" t="s">
        <v>627</v>
      </c>
      <c r="AA69" s="714">
        <f ca="1">IFERROR(IF(BBswitch=1,_xll.BDP(Z69&amp;" EQUITY", "EV EBITDA ADJUSTED")*1,AA69),"")</f>
        <v>2.995031405256138</v>
      </c>
      <c r="AB69" s="62" t="str">
        <f ca="1">+IF(BBswitch=1,_xll.BDP(Z69&amp;" EQUITY","SECURITY_NAME"),AB69)</f>
        <v>New Gold Inc</v>
      </c>
    </row>
    <row r="70" spans="3:28">
      <c r="C70" s="234"/>
      <c r="D70" s="234"/>
      <c r="E70" s="234"/>
      <c r="F70" s="234"/>
      <c r="G70" s="234"/>
      <c r="H70" s="234"/>
      <c r="I70" s="234"/>
      <c r="J70" s="234"/>
      <c r="K70" s="234"/>
      <c r="L70" s="234"/>
      <c r="M70" s="234"/>
      <c r="N70" s="234"/>
      <c r="O70" s="234"/>
      <c r="P70" s="234"/>
      <c r="Q70" s="234"/>
      <c r="R70" s="234"/>
      <c r="S70" s="234"/>
      <c r="T70" s="234"/>
      <c r="U70" s="234"/>
      <c r="V70" s="234"/>
      <c r="W70" s="234"/>
      <c r="X70" s="234"/>
      <c r="Z70" s="26" t="s">
        <v>627</v>
      </c>
      <c r="AA70" s="714">
        <f ca="1">IFERROR(IF(BBswitch=1,_xll.BDP(Z70&amp;" EQUITY", "EV EBITDA ADJUSTED")*1,AA70),"")</f>
        <v>2.995031405256138</v>
      </c>
      <c r="AB70" s="62" t="str">
        <f ca="1">+IF(BBswitch=1,_xll.BDP(Z70&amp;" EQUITY","SECURITY_NAME"),AB70)</f>
        <v>New Gold Inc</v>
      </c>
    </row>
    <row r="71" spans="3:28">
      <c r="C71" s="173"/>
      <c r="D71" s="234"/>
      <c r="E71" s="234"/>
      <c r="F71" s="234"/>
      <c r="G71" s="234"/>
      <c r="H71" s="234"/>
      <c r="I71" s="234"/>
      <c r="J71" s="234"/>
      <c r="K71" s="234"/>
      <c r="L71" s="234"/>
      <c r="M71" s="234"/>
      <c r="N71" s="234"/>
      <c r="O71" s="234"/>
      <c r="P71" s="234"/>
      <c r="Q71" s="234"/>
      <c r="R71" s="234"/>
      <c r="S71" s="174"/>
      <c r="T71" s="234"/>
      <c r="U71" s="234"/>
      <c r="V71" s="234"/>
      <c r="W71" s="234"/>
      <c r="X71" s="234"/>
      <c r="Z71" s="26"/>
      <c r="AA71" s="152" t="str">
        <f ca="1">IFERROR(IF(BBswitch=1,_xll.BDP(Z71&amp;" EQUITY", "EV EBITDA ADJUSTED")*1,AA71),"")</f>
        <v/>
      </c>
      <c r="AB71" s="62" t="str">
        <f ca="1">+IF(BBswitch=1,_xll.BDP(Z71&amp;" EQUITY","SECURITY_NAME"),AB71)</f>
        <v>#N/A Invalid Security</v>
      </c>
    </row>
    <row r="72" spans="3:28" ht="47.65" hidden="1" outlineLevel="1">
      <c r="C72" s="234"/>
      <c r="D72" s="174" t="s">
        <v>108</v>
      </c>
      <c r="E72" s="174" t="s">
        <v>109</v>
      </c>
      <c r="F72" s="174" t="s">
        <v>110</v>
      </c>
      <c r="G72" s="174" t="s">
        <v>111</v>
      </c>
      <c r="H72" s="174" t="s">
        <v>112</v>
      </c>
      <c r="I72" s="174" t="s">
        <v>113</v>
      </c>
      <c r="J72" s="174" t="s">
        <v>114</v>
      </c>
      <c r="K72" s="174" t="s">
        <v>115</v>
      </c>
      <c r="L72" s="62"/>
      <c r="M72" s="175" t="s">
        <v>116</v>
      </c>
      <c r="N72" s="175" t="s">
        <v>117</v>
      </c>
      <c r="O72" s="175" t="s">
        <v>118</v>
      </c>
      <c r="Q72" s="175" t="s">
        <v>119</v>
      </c>
      <c r="R72" s="174" t="s">
        <v>120</v>
      </c>
      <c r="S72" s="174" t="s">
        <v>783</v>
      </c>
      <c r="T72" s="174" t="s">
        <v>121</v>
      </c>
      <c r="U72" s="174" t="s">
        <v>784</v>
      </c>
      <c r="V72" s="174" t="s">
        <v>122</v>
      </c>
      <c r="W72" s="176" t="s">
        <v>123</v>
      </c>
      <c r="X72" s="174"/>
      <c r="Z72" s="26"/>
      <c r="AA72" s="152" t="str">
        <f ca="1">IFERROR(IF(BBswitch=1,_xll.BDP(Z72&amp;" EQUITY", "EV EBITDA ADJUSTED")*1,AA72),"")</f>
        <v/>
      </c>
      <c r="AB72" s="62" t="str">
        <f ca="1">+IF(BBswitch=1,_xll.BDP(Z72&amp;" EQUITY","SECURITY_NAME"),AB72)</f>
        <v>#N/A Invalid Security</v>
      </c>
    </row>
    <row r="73" spans="3:28" ht="47.65" hidden="1" outlineLevel="1">
      <c r="C73" s="234"/>
      <c r="D73" s="176" t="s">
        <v>124</v>
      </c>
      <c r="E73" s="174" t="s">
        <v>125</v>
      </c>
      <c r="F73" s="234"/>
      <c r="G73" s="234"/>
      <c r="H73" s="234"/>
      <c r="I73" s="234"/>
      <c r="J73" s="234"/>
      <c r="K73" s="234"/>
      <c r="L73" s="62"/>
      <c r="N73" s="62"/>
      <c r="O73" s="62"/>
      <c r="Q73" s="62"/>
      <c r="R73" s="234"/>
      <c r="S73" s="234"/>
      <c r="U73" s="234"/>
      <c r="V73" s="62"/>
      <c r="W73" s="177"/>
      <c r="X73" s="176"/>
      <c r="Z73" s="26"/>
      <c r="AA73" s="152" t="str">
        <f ca="1">IFERROR(IF(BBswitch=1,_xll.BDP(Z73&amp;" EQUITY", "EV EBITDA ADJUSTED")*1,AA73),"")</f>
        <v/>
      </c>
      <c r="AB73" s="62" t="str">
        <f ca="1">+IF(BBswitch=1,_xll.BDP(Z73&amp;" EQUITY","SECURITY_NAME"),AB73)</f>
        <v>#N/A Invalid Security</v>
      </c>
    </row>
    <row r="74" spans="3:28" hidden="1" outlineLevel="1">
      <c r="C74" s="178" t="s">
        <v>231</v>
      </c>
      <c r="D74" s="234"/>
      <c r="E74" s="174"/>
      <c r="F74" s="234"/>
      <c r="G74" s="234"/>
      <c r="H74" s="234"/>
      <c r="I74" s="234"/>
      <c r="J74" s="234"/>
      <c r="K74" s="234"/>
      <c r="L74" s="62"/>
      <c r="N74" s="62"/>
      <c r="O74" s="62"/>
      <c r="Q74" s="62"/>
      <c r="R74" s="234"/>
      <c r="S74" s="234"/>
      <c r="U74" s="234"/>
      <c r="V74" s="62"/>
      <c r="W74" s="177"/>
      <c r="X74" s="234"/>
      <c r="Z74" s="26"/>
      <c r="AA74" s="152" t="str">
        <f ca="1">IFERROR(IF(BBswitch=1,_xll.BDP(Z74&amp;" EQUITY", "EV EBITDA ADJUSTED")*1,AA74),"")</f>
        <v/>
      </c>
      <c r="AB74" s="62" t="str">
        <f ca="1">+IF(BBswitch=1,_xll.BDP(Z74&amp;" EQUITY","SECURITY_NAME"),AB74)</f>
        <v>#N/A Invalid Security</v>
      </c>
    </row>
    <row r="75" spans="3:28" s="173" customFormat="1" collapsed="1">
      <c r="C75" s="179" t="s">
        <v>665</v>
      </c>
      <c r="D75" s="180" t="s">
        <v>229</v>
      </c>
      <c r="E75" s="179" t="str">
        <f t="shared" ref="E75:J75" si="4">D27</f>
        <v>Rating</v>
      </c>
      <c r="F75" s="179" t="str">
        <f t="shared" si="4"/>
        <v>Outs.(mm)</v>
      </c>
      <c r="G75" s="179" t="str">
        <f t="shared" si="4"/>
        <v>Coupon</v>
      </c>
      <c r="H75" s="179" t="str">
        <f t="shared" si="4"/>
        <v>Price</v>
      </c>
      <c r="I75" s="179" t="str">
        <f t="shared" si="4"/>
        <v>CY</v>
      </c>
      <c r="J75" s="179" t="str">
        <f t="shared" si="4"/>
        <v>YTW</v>
      </c>
      <c r="K75" s="180" t="s">
        <v>115</v>
      </c>
      <c r="L75" s="179" t="s">
        <v>57</v>
      </c>
      <c r="M75" s="180" t="s">
        <v>126</v>
      </c>
      <c r="N75" s="181" t="s">
        <v>127</v>
      </c>
      <c r="O75" s="181" t="s">
        <v>128</v>
      </c>
      <c r="P75" s="181" t="s">
        <v>129</v>
      </c>
      <c r="Q75" s="181" t="s">
        <v>130</v>
      </c>
      <c r="R75" s="179" t="s">
        <v>131</v>
      </c>
      <c r="S75" s="179" t="s">
        <v>132</v>
      </c>
      <c r="T75" s="179" t="s">
        <v>133</v>
      </c>
      <c r="U75" s="179" t="s">
        <v>134</v>
      </c>
      <c r="V75" s="180" t="s">
        <v>135</v>
      </c>
      <c r="W75" s="182" t="s">
        <v>136</v>
      </c>
      <c r="X75" s="180"/>
      <c r="Z75" s="548"/>
      <c r="AA75" s="152" t="str">
        <f ca="1">IFERROR(IF(BBswitch=1,_xll.BDP(Z75&amp;" EQUITY", "EV EBITDA ADJUSTED")*1,AA75),"")</f>
        <v/>
      </c>
      <c r="AB75" s="62" t="str">
        <f ca="1">+IF(BBswitch=1,_xll.BDP(Z75&amp;" EQUITY","SECURITY_NAME"),AB75)</f>
        <v>#N/A Invalid Security</v>
      </c>
    </row>
    <row r="76" spans="3:28">
      <c r="C76" s="552" t="str">
        <f>C28</f>
        <v>IQ Notes</v>
      </c>
      <c r="D76" s="183"/>
      <c r="E76" s="184"/>
      <c r="F76" s="558">
        <f>Debt!U11</f>
        <v>38.604999999999997</v>
      </c>
      <c r="G76" s="719">
        <f>Debt!D11</f>
        <v>6.515E-2</v>
      </c>
      <c r="H76" s="559">
        <v>1</v>
      </c>
      <c r="I76" s="184">
        <f>G76/H76</f>
        <v>6.515E-2</v>
      </c>
      <c r="J76" s="184">
        <f>+I76</f>
        <v>6.515E-2</v>
      </c>
      <c r="K76" s="553">
        <f>Debt!AJ11</f>
        <v>45847</v>
      </c>
      <c r="L76" s="187">
        <f>IF(ISBLANK($C76),"",YEAR(K76))</f>
        <v>2025</v>
      </c>
      <c r="M76" s="186"/>
      <c r="N76" s="188"/>
      <c r="O76" s="189"/>
      <c r="P76" s="554">
        <v>1</v>
      </c>
      <c r="Q76" s="555" t="s">
        <v>667</v>
      </c>
      <c r="R76" s="366"/>
      <c r="S76" s="556"/>
      <c r="T76" s="367"/>
      <c r="U76" s="557"/>
      <c r="V76" s="192" t="s">
        <v>757</v>
      </c>
      <c r="W76" s="720" t="s">
        <v>668</v>
      </c>
      <c r="X76" s="183"/>
    </row>
    <row r="77" spans="3:28">
      <c r="C77" s="365" t="s">
        <v>640</v>
      </c>
      <c r="D77" s="183" t="str">
        <f ca="1">IF(BBswitch=1,IF(ISBLANK($C77),"",IF(_xll.BDP($C77,D$73)="#N/A N/A","NA ",_xll.BDP($C77,D$73))),D77)</f>
        <v>HL 7.25 28</v>
      </c>
      <c r="E77" s="184" t="str">
        <f ca="1">IF(BBswitch=1,IF(ISBLANK($C77),"",IF(_xll.BDP($C77,E$73)="#N/A N/A","NA ",_xll.BDP($C77,E$73))),E77)</f>
        <v>B+</v>
      </c>
      <c r="F77" s="185">
        <f ca="1">IF(BBswitch=1,IF(ISBLANK($C77),"",IF(_xll.BDP($C77,F$72)="#N/A N/A","NA ",_xll.BDP($C77,F$72)/10^6)/P77),F77)</f>
        <v>475</v>
      </c>
      <c r="G77" s="184">
        <f ca="1">IF(BBswitch=1,IF(ISBLANK($C77),"",IF(_xll.BDP($C77,G$72)="#N/A N/A","NA ",_xll.BDP($C77,G$72)/100)),G77)</f>
        <v>7.2499999999999995E-2</v>
      </c>
      <c r="H77" s="184">
        <f ca="1">IF(BBswitch=1,IF(ISBLANK($C77),"",IF(_xll.BDP($C77,H$72)="#N/A N/A","NA ",_xll.BDP($C77,H$72)/100)),H77)</f>
        <v>0.97084999999999999</v>
      </c>
      <c r="I77" s="184">
        <f ca="1">IF(BBswitch=1,IF(ISBLANK($C77),"",IF(_xll.BDP($C77,I$72)="#N/A N/A","NA ",_xll.BDP($C77,I$72)/100)),I77)</f>
        <v>7.486266573045311E-2</v>
      </c>
      <c r="J77" s="184">
        <f ca="1">IF(BBswitch=1,IF(ISBLANK($C77),"",IF(_xll.BDP($C77,J$72)="#N/A N/A","NA ",_xll.BDP($C77,J$72)/100)),J77)</f>
        <v>7.9412460096845813E-2</v>
      </c>
      <c r="K77" s="186" t="str">
        <f ca="1">IF(BBswitch=1,IF(ISBLANK($C77),"",IF(_xll.BDP($C77,K$72)="#N/A N/A","NA ",_xll.BDP($C77,K$72))),K77)</f>
        <v>2/15/2028</v>
      </c>
      <c r="L77" s="187" t="e">
        <f ca="1">IF(ISBLANK($C77),"",YEAR(K77))</f>
        <v>#VALUE!</v>
      </c>
      <c r="M77" s="186" t="str">
        <f ca="1">IF(BBswitch=1,IF(ISBLANK($C77),"",IF(_xll.BDP($C77,M$72)="#N/A N/A","NA ",_xll.BDP($C77,M$72))),M77)</f>
        <v>2/19/2020</v>
      </c>
      <c r="N77" s="188" t="str" cm="1">
        <f t="array" aca="1" ref="N77" ca="1">IF(BBswitch=1,IF(ISBLANK($C77),"",IF(_xll.BDP($C77,N$72)="#N/A Field Not Applicable","Notes",_xll.BDP($C77,N$72))),N77)</f>
        <v>Notes</v>
      </c>
      <c r="O77" s="189" cm="1">
        <f t="array" aca="1" ref="O77" ca="1">IF(BBswitch=1,IF(ISBLANK($C77),"",IFERROR(IF(_xll.BDP($C77,O$72)="#N/A N/A","NA ",_xll.BDP($C77,O$72)/10^6),0)/P77),O77)</f>
        <v>0</v>
      </c>
      <c r="P77" s="190" cm="1">
        <f t="array" aca="1" ref="P77" ca="1">+IF(BBswitch=1,IF(ISBLANK($C77),"",IF(_xll.BDP("USD"&amp;Q77&amp;" BGN Curncy","px last")="#N/A Invalid Security",1,_xll.BDP("USD"&amp;Q77&amp;" BGN Curncy","px last"))),P77)</f>
        <v>1</v>
      </c>
      <c r="Q77" s="191" t="str">
        <f ca="1">IF(BBswitch=1,IF(ISBLANK($C77),"",IF(_xll.BDP($C77,Q$72)="#N/A N/A","NA ",_xll.BDP($C77,Q$72))),Q77)</f>
        <v>USD</v>
      </c>
      <c r="R77" s="366" t="str" cm="1">
        <f t="array" aca="1" ref="R77" ca="1">IF(BBswitch=1,IF(ISBLANK($C77),"",IF(_xll.BDP($C77,R$72)="#N/A Field Not Applicable","",_xll.BDP($C77,R$72))),R77)</f>
        <v/>
      </c>
      <c r="S77" s="367" cm="1">
        <f t="array" aca="1" ref="S77" ca="1">IF(BBswitch=1,IF(ISBLANK($C77),"",IF(_xll.BDP($C77,S$72)="#N/A Field Not Applicable","",_xll.BDP($C77,S$72))),S77)</f>
        <v>499.39100000000002</v>
      </c>
      <c r="T77" s="367" t="str" cm="1">
        <f t="array" aca="1" ref="T77" ca="1">IF(BBswitch=1,IF(ISBLANK($C77),"",IF(_xll.BDP($C77,T$72)="#N/A Field Not Applicable","",_xll.BDP($C77,T$72))),T77)</f>
        <v/>
      </c>
      <c r="U77" s="366" cm="1">
        <f t="array" aca="1" ref="U77" ca="1">IF(BBswitch=1,IF(ISBLANK($C77),"",IF(_xll.BDP($C77,U$72)="#N/A Field Not Applicable","",_xll.BDP($C77,U$72))),U77)</f>
        <v>4.2</v>
      </c>
      <c r="V77" s="192" t="str">
        <f ca="1">IF(BBswitch=1,IF(ISBLANK($C77),"",IF(_xll.BDP($C77,V$72)="#N/A N/A","NA ",_xll.BDP($C77,V$72))),V77)</f>
        <v>Sr Unsecured</v>
      </c>
      <c r="W77" s="193" t="str" cm="1">
        <f t="array" aca="1" ref="W77" ca="1">IF(BBswitch=1,IF(ISBLANK($C77),"",IF(_xll.BDP($C77,W$72)="#N/A N/A","NA ",_xll.BDP($C77,W$72))),W77)</f>
        <v>Hecla Mining Co</v>
      </c>
      <c r="X77" s="183"/>
    </row>
  </sheetData>
  <dataValidations disablePrompts="1" count="2">
    <dataValidation type="list" allowBlank="1" showInputMessage="1" showErrorMessage="1" sqref="S5" xr:uid="{DEE8BA3D-FDCB-4A09-8CC9-0643BD9F433F}">
      <formula1>$Z$7:$Z$12</formula1>
    </dataValidation>
    <dataValidation type="list" allowBlank="1" showInputMessage="1" showErrorMessage="1" sqref="S3" xr:uid="{7685D215-0F73-47DA-A5FF-E18DB25E7FA4}">
      <formula1>$Y$7:$Y$12</formula1>
    </dataValidation>
  </dataValidations>
  <pageMargins left="0" right="0" top="0" bottom="0" header="0" footer="0"/>
  <pageSetup scale="47" orientation="landscape" r:id="rId1"/>
  <rowBreaks count="1" manualBreakCount="1">
    <brk id="65" max="16383" man="1"/>
  </rowBreaks>
  <ignoredErrors>
    <ignoredError sqref="K32:O32 L77:O78 R62:S65"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R32"/>
  <sheetViews>
    <sheetView workbookViewId="0"/>
  </sheetViews>
  <sheetFormatPr defaultColWidth="9.19921875" defaultRowHeight="10.5" outlineLevelCol="1"/>
  <cols>
    <col min="1" max="2" width="1.73046875" style="281" customWidth="1"/>
    <col min="3" max="3" width="35.73046875" style="281" customWidth="1"/>
    <col min="4" max="4" width="9.19921875" style="281" hidden="1" customWidth="1" outlineLevel="1"/>
    <col min="5" max="5" width="9.19921875" style="281" customWidth="1" collapsed="1"/>
    <col min="6" max="14" width="9.19921875" style="281" customWidth="1"/>
    <col min="15" max="20" width="9.19921875" style="281" customWidth="1" outlineLevel="1"/>
    <col min="21" max="24" width="9.19921875" style="281"/>
    <col min="25" max="25" width="9.265625" style="281" bestFit="1" customWidth="1"/>
    <col min="26" max="26" width="9.46484375" style="281" bestFit="1" customWidth="1"/>
    <col min="27" max="16384" width="9.19921875" style="281"/>
  </cols>
  <sheetData>
    <row r="1" spans="1:44">
      <c r="A1" s="307" t="e">
        <f>#REF!</f>
        <v>#REF!</v>
      </c>
      <c r="S1" s="281">
        <v>1000</v>
      </c>
      <c r="T1" s="281">
        <v>-1</v>
      </c>
    </row>
    <row r="2" spans="1:44">
      <c r="A2" s="306" t="s">
        <v>241</v>
      </c>
    </row>
    <row r="3" spans="1:44">
      <c r="G3" s="305"/>
    </row>
    <row r="5" spans="1:44" ht="12.75" customHeight="1">
      <c r="B5" s="304"/>
      <c r="C5" s="304" t="s">
        <v>57</v>
      </c>
      <c r="D5" s="304"/>
      <c r="E5" s="303">
        <f t="shared" ref="E5:T5" si="0">YEAR(E6)</f>
        <v>2018</v>
      </c>
      <c r="F5" s="302">
        <f t="shared" si="0"/>
        <v>2018</v>
      </c>
      <c r="G5" s="301">
        <f t="shared" si="0"/>
        <v>2018</v>
      </c>
      <c r="H5" s="300">
        <f t="shared" si="0"/>
        <v>2018</v>
      </c>
      <c r="I5" s="303">
        <f t="shared" si="0"/>
        <v>2019</v>
      </c>
      <c r="J5" s="302">
        <f t="shared" si="0"/>
        <v>2019</v>
      </c>
      <c r="K5" s="301">
        <f t="shared" si="0"/>
        <v>2019</v>
      </c>
      <c r="L5" s="300">
        <f t="shared" si="0"/>
        <v>2019</v>
      </c>
      <c r="M5" s="303">
        <f t="shared" si="0"/>
        <v>2020</v>
      </c>
      <c r="N5" s="302">
        <f t="shared" si="0"/>
        <v>2020</v>
      </c>
      <c r="O5" s="301">
        <f t="shared" si="0"/>
        <v>2020</v>
      </c>
      <c r="P5" s="300">
        <f t="shared" si="0"/>
        <v>2020</v>
      </c>
      <c r="Q5" s="303">
        <f t="shared" si="0"/>
        <v>2021</v>
      </c>
      <c r="R5" s="302">
        <f t="shared" si="0"/>
        <v>2021</v>
      </c>
      <c r="S5" s="301">
        <f t="shared" si="0"/>
        <v>2021</v>
      </c>
      <c r="T5" s="300">
        <f t="shared" si="0"/>
        <v>2021</v>
      </c>
      <c r="U5" s="293"/>
      <c r="V5" s="299">
        <f t="shared" ref="V5:AE5" si="1">YEAR(V6)</f>
        <v>2015</v>
      </c>
      <c r="W5" s="299">
        <f t="shared" si="1"/>
        <v>2016</v>
      </c>
      <c r="X5" s="299">
        <f t="shared" si="1"/>
        <v>2017</v>
      </c>
      <c r="Y5" s="299">
        <f t="shared" si="1"/>
        <v>2018</v>
      </c>
      <c r="Z5" s="299">
        <f t="shared" si="1"/>
        <v>2019</v>
      </c>
      <c r="AA5" s="298">
        <f t="shared" si="1"/>
        <v>2020</v>
      </c>
      <c r="AB5" s="298">
        <f t="shared" si="1"/>
        <v>2021</v>
      </c>
      <c r="AC5" s="298">
        <f t="shared" si="1"/>
        <v>2022</v>
      </c>
      <c r="AD5" s="298">
        <f t="shared" si="1"/>
        <v>2023</v>
      </c>
      <c r="AE5" s="298">
        <f t="shared" si="1"/>
        <v>2024</v>
      </c>
      <c r="AF5" s="297"/>
      <c r="AG5" s="296" t="s">
        <v>240</v>
      </c>
      <c r="AH5" s="295"/>
      <c r="AI5" s="295"/>
      <c r="AJ5" s="295"/>
      <c r="AK5" s="295"/>
      <c r="AL5" s="295"/>
      <c r="AM5" s="295"/>
      <c r="AN5" s="295"/>
      <c r="AO5" s="295"/>
      <c r="AP5" s="295"/>
      <c r="AQ5" s="295"/>
      <c r="AR5" s="295"/>
    </row>
    <row r="6" spans="1:44" s="288" customFormat="1" ht="12.75" customHeight="1">
      <c r="A6" s="281"/>
      <c r="B6" s="290"/>
      <c r="C6" s="290" t="s">
        <v>239</v>
      </c>
      <c r="D6" s="290"/>
      <c r="E6" s="290">
        <v>43190</v>
      </c>
      <c r="F6" s="290">
        <f t="shared" ref="F6:T6" si="2">+EOMONTH(E6,3)</f>
        <v>43281</v>
      </c>
      <c r="G6" s="290">
        <f t="shared" si="2"/>
        <v>43373</v>
      </c>
      <c r="H6" s="289">
        <f t="shared" si="2"/>
        <v>43465</v>
      </c>
      <c r="I6" s="290">
        <f t="shared" si="2"/>
        <v>43555</v>
      </c>
      <c r="J6" s="290">
        <f t="shared" si="2"/>
        <v>43646</v>
      </c>
      <c r="K6" s="290">
        <f t="shared" si="2"/>
        <v>43738</v>
      </c>
      <c r="L6" s="290">
        <f t="shared" si="2"/>
        <v>43830</v>
      </c>
      <c r="M6" s="290">
        <f t="shared" si="2"/>
        <v>43921</v>
      </c>
      <c r="N6" s="290">
        <f t="shared" si="2"/>
        <v>44012</v>
      </c>
      <c r="O6" s="290">
        <f t="shared" si="2"/>
        <v>44104</v>
      </c>
      <c r="P6" s="290">
        <f t="shared" si="2"/>
        <v>44196</v>
      </c>
      <c r="Q6" s="294">
        <f t="shared" si="2"/>
        <v>44286</v>
      </c>
      <c r="R6" s="294">
        <f t="shared" si="2"/>
        <v>44377</v>
      </c>
      <c r="S6" s="294">
        <f t="shared" si="2"/>
        <v>44469</v>
      </c>
      <c r="T6" s="294">
        <f t="shared" si="2"/>
        <v>44561</v>
      </c>
      <c r="U6" s="293"/>
      <c r="V6" s="289">
        <v>42369</v>
      </c>
      <c r="W6" s="289">
        <f t="shared" ref="W6:AE6" si="3">EOMONTH(V6,12)</f>
        <v>42735</v>
      </c>
      <c r="X6" s="289">
        <f t="shared" si="3"/>
        <v>43100</v>
      </c>
      <c r="Y6" s="289">
        <f t="shared" si="3"/>
        <v>43465</v>
      </c>
      <c r="Z6" s="289">
        <f t="shared" si="3"/>
        <v>43830</v>
      </c>
      <c r="AA6" s="289">
        <f t="shared" si="3"/>
        <v>44196</v>
      </c>
      <c r="AB6" s="289">
        <f t="shared" si="3"/>
        <v>44561</v>
      </c>
      <c r="AC6" s="289">
        <f t="shared" si="3"/>
        <v>44926</v>
      </c>
      <c r="AD6" s="292">
        <f t="shared" si="3"/>
        <v>45291</v>
      </c>
      <c r="AE6" s="292">
        <f t="shared" si="3"/>
        <v>45657</v>
      </c>
      <c r="AF6" s="291"/>
      <c r="AG6" s="290">
        <v>43190</v>
      </c>
      <c r="AH6" s="289">
        <f t="shared" ref="AH6:AR6" si="4">+EOMONTH(AG6,3)</f>
        <v>43281</v>
      </c>
      <c r="AI6" s="289">
        <f t="shared" si="4"/>
        <v>43373</v>
      </c>
      <c r="AJ6" s="289">
        <f t="shared" si="4"/>
        <v>43465</v>
      </c>
      <c r="AK6" s="289">
        <f t="shared" si="4"/>
        <v>43555</v>
      </c>
      <c r="AL6" s="289">
        <f t="shared" si="4"/>
        <v>43646</v>
      </c>
      <c r="AM6" s="289">
        <f t="shared" si="4"/>
        <v>43738</v>
      </c>
      <c r="AN6" s="289">
        <f t="shared" si="4"/>
        <v>43830</v>
      </c>
      <c r="AO6" s="290">
        <f t="shared" si="4"/>
        <v>43921</v>
      </c>
      <c r="AP6" s="290">
        <f t="shared" si="4"/>
        <v>44012</v>
      </c>
      <c r="AQ6" s="290">
        <f t="shared" si="4"/>
        <v>44104</v>
      </c>
      <c r="AR6" s="289">
        <f t="shared" si="4"/>
        <v>44196</v>
      </c>
    </row>
    <row r="7" spans="1:44">
      <c r="E7" s="283"/>
      <c r="F7" s="283"/>
      <c r="G7" s="283"/>
      <c r="H7" s="283"/>
      <c r="I7" s="283"/>
      <c r="J7" s="283"/>
      <c r="K7" s="283"/>
      <c r="L7" s="283"/>
      <c r="M7" s="283"/>
      <c r="N7" s="283"/>
      <c r="O7" s="283"/>
      <c r="P7" s="283"/>
      <c r="Q7" s="283"/>
      <c r="R7" s="283"/>
      <c r="S7" s="283"/>
      <c r="T7" s="283"/>
    </row>
    <row r="8" spans="1:44" s="283" customFormat="1">
      <c r="B8" s="286" t="s">
        <v>137</v>
      </c>
      <c r="C8" s="287" t="s">
        <v>276</v>
      </c>
      <c r="D8" s="287"/>
      <c r="E8" s="286"/>
      <c r="F8" s="286"/>
      <c r="G8" s="286"/>
      <c r="H8" s="286"/>
      <c r="I8" s="286"/>
      <c r="J8" s="286"/>
      <c r="K8" s="286"/>
      <c r="L8" s="286"/>
      <c r="M8" s="286"/>
      <c r="N8" s="286"/>
      <c r="O8" s="286"/>
      <c r="P8" s="286"/>
      <c r="Q8" s="286"/>
      <c r="R8" s="286"/>
      <c r="S8" s="286"/>
      <c r="T8" s="286"/>
      <c r="V8" s="286"/>
      <c r="W8" s="286"/>
      <c r="X8" s="286"/>
      <c r="Y8" s="286"/>
      <c r="Z8" s="286"/>
      <c r="AA8" s="286"/>
      <c r="AB8" s="286"/>
      <c r="AC8" s="286"/>
      <c r="AD8" s="286"/>
      <c r="AE8" s="286"/>
    </row>
    <row r="9" spans="1:44" s="283" customFormat="1">
      <c r="J9" s="285"/>
      <c r="V9" s="284"/>
      <c r="W9" s="284"/>
      <c r="X9" s="284"/>
      <c r="Y9" s="284"/>
      <c r="Z9" s="284"/>
      <c r="AA9" s="284"/>
      <c r="AB9" s="284"/>
      <c r="AC9" s="284"/>
      <c r="AD9" s="284"/>
      <c r="AE9" s="284"/>
    </row>
    <row r="10" spans="1:44" s="282" customFormat="1">
      <c r="C10" s="323" t="s">
        <v>269</v>
      </c>
      <c r="D10" s="325"/>
      <c r="E10" s="305">
        <v>14.58</v>
      </c>
      <c r="F10" s="305">
        <v>19.98</v>
      </c>
      <c r="G10" s="305">
        <v>11.682</v>
      </c>
      <c r="H10" s="305">
        <v>20.334</v>
      </c>
      <c r="I10" s="305">
        <v>13.759</v>
      </c>
      <c r="J10" s="305">
        <v>16.472000000000001</v>
      </c>
      <c r="K10" s="305">
        <v>13.285</v>
      </c>
      <c r="L10" s="305">
        <v>15.736000000000001</v>
      </c>
      <c r="M10" s="305">
        <v>12.757999999999999</v>
      </c>
      <c r="N10" s="305">
        <v>16.059999999999999</v>
      </c>
      <c r="V10" s="305">
        <v>0</v>
      </c>
      <c r="W10" s="305">
        <v>0</v>
      </c>
      <c r="X10" s="305">
        <v>54.176000000000002</v>
      </c>
      <c r="Y10" s="282">
        <f t="shared" ref="Y10:AB14" si="5">+SUMIF($E$5:$T$5,Y$5,$E10:$T10)</f>
        <v>66.576000000000008</v>
      </c>
      <c r="Z10" s="282">
        <f t="shared" si="5"/>
        <v>59.25200000000001</v>
      </c>
      <c r="AA10" s="282">
        <f t="shared" si="5"/>
        <v>28.817999999999998</v>
      </c>
      <c r="AB10" s="282">
        <f t="shared" si="5"/>
        <v>0</v>
      </c>
    </row>
    <row r="11" spans="1:44" s="282" customFormat="1">
      <c r="C11" s="323" t="s">
        <v>270</v>
      </c>
      <c r="D11" s="325"/>
      <c r="E11" s="305">
        <v>9.0190000000000001</v>
      </c>
      <c r="F11" s="305">
        <v>10.930999999999999</v>
      </c>
      <c r="G11" s="305">
        <v>10.17</v>
      </c>
      <c r="H11" s="305">
        <v>11.271000000000001</v>
      </c>
      <c r="I11" s="305">
        <v>10.807</v>
      </c>
      <c r="J11" s="305">
        <v>14.906000000000001</v>
      </c>
      <c r="K11" s="305">
        <v>11.555</v>
      </c>
      <c r="L11" s="305">
        <v>12.824999999999999</v>
      </c>
      <c r="M11" s="305">
        <v>12.304</v>
      </c>
      <c r="N11" s="305">
        <v>11.311</v>
      </c>
      <c r="V11" s="305">
        <v>22.855</v>
      </c>
      <c r="W11" s="305">
        <v>27.856000000000002</v>
      </c>
      <c r="X11" s="305">
        <v>35.44</v>
      </c>
      <c r="Y11" s="282">
        <f t="shared" si="5"/>
        <v>41.390999999999998</v>
      </c>
      <c r="Z11" s="282">
        <f t="shared" si="5"/>
        <v>50.093000000000004</v>
      </c>
      <c r="AA11" s="282">
        <f t="shared" si="5"/>
        <v>23.615000000000002</v>
      </c>
      <c r="AB11" s="282">
        <f t="shared" si="5"/>
        <v>0</v>
      </c>
    </row>
    <row r="12" spans="1:44" s="282" customFormat="1">
      <c r="C12" s="323" t="s">
        <v>271</v>
      </c>
      <c r="D12" s="325"/>
      <c r="E12" s="305">
        <v>2.6269999999999998</v>
      </c>
      <c r="F12" s="305">
        <v>2.6629999999999998</v>
      </c>
      <c r="G12" s="305">
        <v>1.99</v>
      </c>
      <c r="H12" s="305">
        <v>2.1970000000000001</v>
      </c>
      <c r="I12" s="305">
        <v>2.1339999999999999</v>
      </c>
      <c r="J12" s="305">
        <v>2.1720000000000002</v>
      </c>
      <c r="K12" s="305">
        <v>1.655</v>
      </c>
      <c r="L12" s="305">
        <v>1.9039999999999999</v>
      </c>
      <c r="M12" s="305">
        <v>4.0389999999999997</v>
      </c>
      <c r="N12" s="305">
        <v>2.0760000000000001</v>
      </c>
      <c r="V12" s="305">
        <v>7.1790000000000003</v>
      </c>
      <c r="W12" s="305">
        <v>7.9660000000000002</v>
      </c>
      <c r="X12" s="305">
        <v>8.359</v>
      </c>
      <c r="Y12" s="282">
        <f t="shared" si="5"/>
        <v>9.4770000000000003</v>
      </c>
      <c r="Z12" s="282">
        <f t="shared" si="5"/>
        <v>7.8650000000000002</v>
      </c>
      <c r="AA12" s="282">
        <f t="shared" si="5"/>
        <v>6.1150000000000002</v>
      </c>
      <c r="AB12" s="282">
        <f t="shared" si="5"/>
        <v>0</v>
      </c>
    </row>
    <row r="13" spans="1:44" s="282" customFormat="1">
      <c r="C13" s="323" t="s">
        <v>272</v>
      </c>
      <c r="D13" s="325"/>
      <c r="E13" s="305">
        <v>6.8079999999999998</v>
      </c>
      <c r="F13" s="305">
        <v>7.806</v>
      </c>
      <c r="G13" s="305">
        <v>5.9210000000000003</v>
      </c>
      <c r="H13" s="305">
        <v>7.0709999999999997</v>
      </c>
      <c r="I13" s="305">
        <v>5.8680000000000003</v>
      </c>
      <c r="J13" s="305">
        <v>12.807</v>
      </c>
      <c r="K13" s="305">
        <v>5.7649999999999997</v>
      </c>
      <c r="L13" s="305">
        <v>7.2119999999999997</v>
      </c>
      <c r="M13" s="305">
        <v>6.5750000000000002</v>
      </c>
      <c r="N13" s="305">
        <v>6.1609999999999996</v>
      </c>
      <c r="V13" s="305">
        <v>22.15</v>
      </c>
      <c r="W13" s="305">
        <v>23.687999999999999</v>
      </c>
      <c r="X13" s="305">
        <v>23.994</v>
      </c>
      <c r="Y13" s="282">
        <f t="shared" si="5"/>
        <v>27.606000000000002</v>
      </c>
      <c r="Z13" s="282">
        <f t="shared" si="5"/>
        <v>31.652000000000001</v>
      </c>
      <c r="AA13" s="282">
        <f t="shared" si="5"/>
        <v>12.736000000000001</v>
      </c>
      <c r="AB13" s="282">
        <f t="shared" si="5"/>
        <v>0</v>
      </c>
    </row>
    <row r="14" spans="1:44" s="282" customFormat="1">
      <c r="C14" s="323" t="s">
        <v>273</v>
      </c>
      <c r="D14" s="325"/>
      <c r="E14" s="305">
        <v>3.6230000000000002</v>
      </c>
      <c r="F14" s="305">
        <v>1.653</v>
      </c>
      <c r="G14" s="305">
        <v>3.29</v>
      </c>
      <c r="H14" s="305">
        <v>5.4420000000000002</v>
      </c>
      <c r="I14" s="305">
        <v>3.5009999999999999</v>
      </c>
      <c r="J14" s="305">
        <v>3.911</v>
      </c>
      <c r="K14" s="305">
        <v>4.1219999999999999</v>
      </c>
      <c r="L14" s="305">
        <v>4.5810000000000004</v>
      </c>
      <c r="M14" s="305">
        <v>3.6789999999999998</v>
      </c>
      <c r="N14" s="305">
        <v>3.84</v>
      </c>
      <c r="V14" s="305">
        <v>3.8420000000000001</v>
      </c>
      <c r="W14" s="305">
        <v>6.5519999999999996</v>
      </c>
      <c r="X14" s="305">
        <v>11.22</v>
      </c>
      <c r="Y14" s="282">
        <f t="shared" si="5"/>
        <v>14.007999999999999</v>
      </c>
      <c r="Z14" s="282">
        <f t="shared" si="5"/>
        <v>16.114999999999998</v>
      </c>
      <c r="AA14" s="282">
        <f t="shared" si="5"/>
        <v>7.5190000000000001</v>
      </c>
      <c r="AB14" s="282">
        <f t="shared" si="5"/>
        <v>0</v>
      </c>
    </row>
    <row r="15" spans="1:44" s="282" customFormat="1">
      <c r="C15" s="316" t="s">
        <v>274</v>
      </c>
      <c r="D15" s="325"/>
      <c r="E15" s="309">
        <f>SUM(E10:E14)</f>
        <v>36.656999999999996</v>
      </c>
      <c r="F15" s="309">
        <f t="shared" ref="F15:N15" si="6">SUM(F10:F14)</f>
        <v>43.032999999999994</v>
      </c>
      <c r="G15" s="309">
        <f t="shared" si="6"/>
        <v>33.052999999999997</v>
      </c>
      <c r="H15" s="309">
        <f t="shared" si="6"/>
        <v>46.314999999999998</v>
      </c>
      <c r="I15" s="309">
        <f t="shared" si="6"/>
        <v>36.069000000000003</v>
      </c>
      <c r="J15" s="309">
        <f t="shared" si="6"/>
        <v>50.268000000000001</v>
      </c>
      <c r="K15" s="309">
        <f t="shared" si="6"/>
        <v>36.381999999999998</v>
      </c>
      <c r="L15" s="309">
        <f t="shared" si="6"/>
        <v>42.258000000000003</v>
      </c>
      <c r="M15" s="309">
        <f t="shared" si="6"/>
        <v>39.355000000000004</v>
      </c>
      <c r="N15" s="309">
        <f t="shared" si="6"/>
        <v>39.447999999999993</v>
      </c>
      <c r="V15" s="309">
        <f t="shared" ref="V15:AB15" si="7">SUM(V10:V14)</f>
        <v>56.025999999999996</v>
      </c>
      <c r="W15" s="309">
        <f t="shared" si="7"/>
        <v>66.062000000000012</v>
      </c>
      <c r="X15" s="309">
        <f t="shared" si="7"/>
        <v>133.18899999999999</v>
      </c>
      <c r="Y15" s="309">
        <f t="shared" si="7"/>
        <v>159.05800000000002</v>
      </c>
      <c r="Z15" s="309">
        <f t="shared" si="7"/>
        <v>164.97700000000003</v>
      </c>
      <c r="AA15" s="309">
        <f t="shared" si="7"/>
        <v>78.803000000000011</v>
      </c>
      <c r="AB15" s="309">
        <f t="shared" si="7"/>
        <v>0</v>
      </c>
    </row>
    <row r="16" spans="1:44" s="282" customFormat="1">
      <c r="C16" s="332" t="s">
        <v>264</v>
      </c>
      <c r="D16" s="325"/>
      <c r="E16" s="314" t="e">
        <f>Financials!#REF!-E15</f>
        <v>#REF!</v>
      </c>
      <c r="F16" s="314" t="e">
        <f>Financials!#REF!-F15</f>
        <v>#REF!</v>
      </c>
      <c r="G16" s="314" t="e">
        <f>Financials!#REF!-G15</f>
        <v>#REF!</v>
      </c>
      <c r="H16" s="314" t="e">
        <f>Financials!#REF!-H15</f>
        <v>#REF!</v>
      </c>
      <c r="I16" s="314" t="e">
        <f>Financials!#REF!-I15</f>
        <v>#REF!</v>
      </c>
      <c r="J16" s="314" t="e">
        <f>Financials!#REF!-J15</f>
        <v>#REF!</v>
      </c>
      <c r="K16" s="314" t="e">
        <f>Financials!#REF!-K15</f>
        <v>#REF!</v>
      </c>
      <c r="L16" s="314" t="e">
        <f>Financials!#REF!-L15</f>
        <v>#REF!</v>
      </c>
      <c r="M16" s="314" t="e">
        <f>Financials!#REF!-M15</f>
        <v>#REF!</v>
      </c>
      <c r="N16" s="314" t="e">
        <f>Financials!#REF!-N15</f>
        <v>#REF!</v>
      </c>
      <c r="V16" s="314" t="e">
        <f>Financials!#REF!-V15</f>
        <v>#REF!</v>
      </c>
      <c r="W16" s="314" t="e">
        <f>Financials!#REF!-W15</f>
        <v>#REF!</v>
      </c>
      <c r="X16" s="314" t="e">
        <f>Financials!#REF!-X15</f>
        <v>#REF!</v>
      </c>
      <c r="Y16" s="314" t="e">
        <f>Financials!#REF!-Y15</f>
        <v>#REF!</v>
      </c>
      <c r="Z16" s="314" t="e">
        <f>Financials!#REF!-Z15</f>
        <v>#REF!</v>
      </c>
      <c r="AA16" s="314" t="e">
        <f>Financials!#REF!-AA15</f>
        <v>#REF!</v>
      </c>
      <c r="AB16" s="314" t="e">
        <f>Financials!#REF!-AB15</f>
        <v>#REF!</v>
      </c>
    </row>
    <row r="17" spans="2:31" s="282" customFormat="1">
      <c r="C17" s="323"/>
      <c r="D17" s="325"/>
      <c r="E17" s="305"/>
      <c r="F17" s="305"/>
      <c r="G17" s="305"/>
      <c r="H17" s="305"/>
      <c r="I17" s="305"/>
      <c r="J17" s="305"/>
      <c r="K17" s="305"/>
      <c r="L17" s="305"/>
      <c r="M17" s="305"/>
      <c r="N17" s="305"/>
      <c r="V17" s="305"/>
      <c r="W17" s="305"/>
      <c r="X17" s="329"/>
      <c r="Y17" s="305"/>
      <c r="Z17" s="305"/>
      <c r="AA17" s="305"/>
      <c r="AB17" s="305"/>
    </row>
    <row r="18" spans="2:31">
      <c r="B18" s="286" t="s">
        <v>137</v>
      </c>
      <c r="C18" s="287" t="s">
        <v>275</v>
      </c>
      <c r="D18" s="287"/>
      <c r="E18" s="286"/>
      <c r="F18" s="286"/>
      <c r="G18" s="286"/>
      <c r="H18" s="286"/>
      <c r="I18" s="286"/>
      <c r="J18" s="286"/>
      <c r="K18" s="286"/>
      <c r="L18" s="286"/>
      <c r="M18" s="286"/>
      <c r="N18" s="286"/>
      <c r="O18" s="286"/>
      <c r="P18" s="286"/>
      <c r="Q18" s="286"/>
      <c r="R18" s="286"/>
      <c r="S18" s="286"/>
      <c r="T18" s="286"/>
      <c r="U18" s="283"/>
      <c r="V18" s="286"/>
      <c r="W18" s="286"/>
      <c r="X18" s="286"/>
      <c r="Y18" s="286"/>
      <c r="Z18" s="286"/>
      <c r="AA18" s="286"/>
      <c r="AB18" s="286"/>
      <c r="AC18" s="286"/>
      <c r="AD18" s="286"/>
      <c r="AE18" s="286"/>
    </row>
    <row r="20" spans="2:31">
      <c r="C20" s="323" t="s">
        <v>270</v>
      </c>
      <c r="E20" s="305">
        <v>63.292999999999999</v>
      </c>
      <c r="F20" s="305">
        <v>66.698999999999998</v>
      </c>
      <c r="G20" s="305">
        <v>56.959000000000003</v>
      </c>
      <c r="H20" s="305">
        <v>62.164000000000001</v>
      </c>
      <c r="I20" s="305">
        <v>61.463999999999999</v>
      </c>
      <c r="J20" s="305">
        <v>63.889000000000003</v>
      </c>
      <c r="K20" s="305">
        <v>60.68</v>
      </c>
      <c r="L20" s="305">
        <v>59.994999999999997</v>
      </c>
      <c r="M20" s="305">
        <v>62.494999999999997</v>
      </c>
      <c r="N20" s="305">
        <v>70.807000000000002</v>
      </c>
      <c r="O20" s="319">
        <f t="shared" ref="O20:T20" si="8">N20</f>
        <v>70.807000000000002</v>
      </c>
      <c r="P20" s="319">
        <f t="shared" si="8"/>
        <v>70.807000000000002</v>
      </c>
      <c r="Q20" s="319">
        <f t="shared" si="8"/>
        <v>70.807000000000002</v>
      </c>
      <c r="R20" s="319">
        <f t="shared" si="8"/>
        <v>70.807000000000002</v>
      </c>
      <c r="S20" s="319">
        <f t="shared" si="8"/>
        <v>70.807000000000002</v>
      </c>
      <c r="T20" s="319">
        <f t="shared" si="8"/>
        <v>70.807000000000002</v>
      </c>
      <c r="V20" s="305">
        <v>166.227</v>
      </c>
      <c r="W20" s="305">
        <v>180.929</v>
      </c>
      <c r="X20" s="305">
        <v>208.37</v>
      </c>
      <c r="Y20" s="282">
        <f t="shared" ref="Y20:AB24" si="9">+SUMIF($E$5:$T$5,Y$5,$E20:$T20)</f>
        <v>249.11500000000001</v>
      </c>
      <c r="Z20" s="282">
        <f t="shared" si="9"/>
        <v>246.02800000000002</v>
      </c>
      <c r="AA20" s="282">
        <f t="shared" si="9"/>
        <v>274.916</v>
      </c>
      <c r="AB20" s="282">
        <f t="shared" si="9"/>
        <v>283.22800000000001</v>
      </c>
      <c r="AC20" s="319">
        <f t="shared" ref="AC20:AE24" si="10">AB20</f>
        <v>283.22800000000001</v>
      </c>
      <c r="AD20" s="319">
        <f t="shared" si="10"/>
        <v>283.22800000000001</v>
      </c>
      <c r="AE20" s="319">
        <f t="shared" si="10"/>
        <v>283.22800000000001</v>
      </c>
    </row>
    <row r="21" spans="2:31">
      <c r="C21" s="323" t="s">
        <v>271</v>
      </c>
      <c r="E21" s="305">
        <v>15.273</v>
      </c>
      <c r="F21" s="305">
        <v>15.436</v>
      </c>
      <c r="G21" s="305">
        <v>15.058</v>
      </c>
      <c r="H21" s="305">
        <v>15.163</v>
      </c>
      <c r="I21" s="305">
        <v>15.914999999999999</v>
      </c>
      <c r="J21" s="305">
        <v>14.582000000000001</v>
      </c>
      <c r="K21" s="305">
        <v>14.569000000000001</v>
      </c>
      <c r="L21" s="305">
        <v>16.111000000000001</v>
      </c>
      <c r="M21" s="305">
        <v>15.590999999999999</v>
      </c>
      <c r="N21" s="305">
        <v>14.616</v>
      </c>
      <c r="O21" s="319">
        <f t="shared" ref="O21:T21" si="11">N21</f>
        <v>14.616</v>
      </c>
      <c r="P21" s="319">
        <f t="shared" si="11"/>
        <v>14.616</v>
      </c>
      <c r="Q21" s="319">
        <f t="shared" si="11"/>
        <v>14.616</v>
      </c>
      <c r="R21" s="319">
        <f t="shared" si="11"/>
        <v>14.616</v>
      </c>
      <c r="S21" s="319">
        <f t="shared" si="11"/>
        <v>14.616</v>
      </c>
      <c r="T21" s="319">
        <f t="shared" si="11"/>
        <v>14.616</v>
      </c>
      <c r="V21" s="305">
        <v>41.404000000000003</v>
      </c>
      <c r="W21" s="305">
        <v>49.219000000000001</v>
      </c>
      <c r="X21" s="305">
        <v>53.151000000000003</v>
      </c>
      <c r="Y21" s="282">
        <f t="shared" si="9"/>
        <v>60.929999999999993</v>
      </c>
      <c r="Z21" s="282">
        <f t="shared" si="9"/>
        <v>61.177000000000007</v>
      </c>
      <c r="AA21" s="282">
        <f t="shared" si="9"/>
        <v>59.439</v>
      </c>
      <c r="AB21" s="282">
        <f t="shared" si="9"/>
        <v>58.463999999999999</v>
      </c>
      <c r="AC21" s="319">
        <f t="shared" si="10"/>
        <v>58.463999999999999</v>
      </c>
      <c r="AD21" s="319">
        <f t="shared" si="10"/>
        <v>58.463999999999999</v>
      </c>
      <c r="AE21" s="319">
        <f t="shared" si="10"/>
        <v>58.463999999999999</v>
      </c>
    </row>
    <row r="22" spans="2:31">
      <c r="C22" s="323" t="s">
        <v>272</v>
      </c>
      <c r="E22" s="305">
        <v>9.7189999999999994</v>
      </c>
      <c r="F22" s="305">
        <v>8.8000000000000007</v>
      </c>
      <c r="G22" s="305">
        <v>9.3019999999999996</v>
      </c>
      <c r="H22" s="305">
        <v>8.907</v>
      </c>
      <c r="I22" s="305">
        <v>9.1419999999999995</v>
      </c>
      <c r="J22" s="305">
        <v>9.2249999999999996</v>
      </c>
      <c r="K22" s="305">
        <v>10.032999999999999</v>
      </c>
      <c r="L22" s="305">
        <v>9.8480000000000008</v>
      </c>
      <c r="M22" s="305">
        <v>10.269</v>
      </c>
      <c r="N22" s="305">
        <v>4.8170000000000002</v>
      </c>
      <c r="O22" s="319">
        <f t="shared" ref="O22:T22" si="12">N22</f>
        <v>4.8170000000000002</v>
      </c>
      <c r="P22" s="319">
        <f t="shared" si="12"/>
        <v>4.8170000000000002</v>
      </c>
      <c r="Q22" s="319">
        <f t="shared" si="12"/>
        <v>4.8170000000000002</v>
      </c>
      <c r="R22" s="319">
        <f t="shared" si="12"/>
        <v>4.8170000000000002</v>
      </c>
      <c r="S22" s="319">
        <f t="shared" si="12"/>
        <v>4.8170000000000002</v>
      </c>
      <c r="T22" s="319">
        <f t="shared" si="12"/>
        <v>4.8170000000000002</v>
      </c>
      <c r="V22" s="305">
        <v>22.306999999999999</v>
      </c>
      <c r="W22" s="305">
        <v>24.384</v>
      </c>
      <c r="X22" s="305">
        <v>30.44</v>
      </c>
      <c r="Y22" s="282">
        <f t="shared" si="9"/>
        <v>36.727999999999994</v>
      </c>
      <c r="Z22" s="282">
        <f t="shared" si="9"/>
        <v>38.247999999999998</v>
      </c>
      <c r="AA22" s="282">
        <f t="shared" si="9"/>
        <v>24.72</v>
      </c>
      <c r="AB22" s="282">
        <f t="shared" si="9"/>
        <v>19.268000000000001</v>
      </c>
      <c r="AC22" s="319">
        <f t="shared" si="10"/>
        <v>19.268000000000001</v>
      </c>
      <c r="AD22" s="319">
        <f t="shared" si="10"/>
        <v>19.268000000000001</v>
      </c>
      <c r="AE22" s="319">
        <f t="shared" si="10"/>
        <v>19.268000000000001</v>
      </c>
    </row>
    <row r="23" spans="2:31">
      <c r="C23" s="281" t="s">
        <v>277</v>
      </c>
      <c r="E23" s="305">
        <v>4.2670000000000003</v>
      </c>
      <c r="F23" s="305">
        <v>5.3879999999999999</v>
      </c>
      <c r="G23" s="305">
        <v>2.9830000000000001</v>
      </c>
      <c r="H23" s="305">
        <v>4.13</v>
      </c>
      <c r="I23" s="305">
        <v>4.0750000000000002</v>
      </c>
      <c r="J23" s="305">
        <v>4.1550000000000002</v>
      </c>
      <c r="K23" s="305">
        <v>3.6850000000000001</v>
      </c>
      <c r="L23" s="305">
        <v>3.657</v>
      </c>
      <c r="M23" s="305">
        <v>4.4470000000000001</v>
      </c>
      <c r="N23" s="305">
        <v>4.577</v>
      </c>
      <c r="O23" s="319">
        <f t="shared" ref="O23:T23" si="13">N23</f>
        <v>4.577</v>
      </c>
      <c r="P23" s="319">
        <f t="shared" si="13"/>
        <v>4.577</v>
      </c>
      <c r="Q23" s="319">
        <f t="shared" si="13"/>
        <v>4.577</v>
      </c>
      <c r="R23" s="319">
        <f t="shared" si="13"/>
        <v>4.577</v>
      </c>
      <c r="S23" s="319">
        <f t="shared" si="13"/>
        <v>4.577</v>
      </c>
      <c r="T23" s="319">
        <f t="shared" si="13"/>
        <v>4.577</v>
      </c>
      <c r="V23" s="305">
        <v>12.5</v>
      </c>
      <c r="W23" s="305">
        <v>13.343999999999999</v>
      </c>
      <c r="X23" s="305">
        <v>13.522</v>
      </c>
      <c r="Y23" s="282">
        <f t="shared" si="9"/>
        <v>16.768000000000001</v>
      </c>
      <c r="Z23" s="282">
        <f t="shared" si="9"/>
        <v>15.572000000000001</v>
      </c>
      <c r="AA23" s="282">
        <f t="shared" si="9"/>
        <v>18.178000000000001</v>
      </c>
      <c r="AB23" s="282">
        <f t="shared" si="9"/>
        <v>18.308</v>
      </c>
      <c r="AC23" s="319">
        <f t="shared" si="10"/>
        <v>18.308</v>
      </c>
      <c r="AD23" s="319">
        <f t="shared" si="10"/>
        <v>18.308</v>
      </c>
      <c r="AE23" s="319">
        <f t="shared" si="10"/>
        <v>18.308</v>
      </c>
    </row>
    <row r="24" spans="2:31">
      <c r="C24" s="281" t="s">
        <v>278</v>
      </c>
      <c r="E24" s="305">
        <v>4.9180000000000001</v>
      </c>
      <c r="F24" s="305">
        <v>4.9359999999999999</v>
      </c>
      <c r="G24" s="305">
        <v>4.0209999999999999</v>
      </c>
      <c r="H24" s="305">
        <v>5.26</v>
      </c>
      <c r="I24" s="305">
        <v>4.5880000000000001</v>
      </c>
      <c r="J24" s="305">
        <v>5.8630000000000004</v>
      </c>
      <c r="K24" s="305">
        <v>4.7240000000000002</v>
      </c>
      <c r="L24" s="305">
        <v>6.1890000000000001</v>
      </c>
      <c r="M24" s="305">
        <v>5.5830000000000002</v>
      </c>
      <c r="N24" s="305">
        <v>5.8150000000000004</v>
      </c>
      <c r="O24" s="319">
        <f t="shared" ref="O24:T24" si="14">N24</f>
        <v>5.8150000000000004</v>
      </c>
      <c r="P24" s="319">
        <f t="shared" si="14"/>
        <v>5.8150000000000004</v>
      </c>
      <c r="Q24" s="319">
        <f t="shared" si="14"/>
        <v>5.8150000000000004</v>
      </c>
      <c r="R24" s="319">
        <f t="shared" si="14"/>
        <v>5.8150000000000004</v>
      </c>
      <c r="S24" s="319">
        <f t="shared" si="14"/>
        <v>5.8150000000000004</v>
      </c>
      <c r="T24" s="319">
        <f t="shared" si="14"/>
        <v>5.8150000000000004</v>
      </c>
      <c r="V24" s="305">
        <v>11.951000000000001</v>
      </c>
      <c r="W24" s="305">
        <v>15.653</v>
      </c>
      <c r="X24" s="305">
        <v>17.786999999999999</v>
      </c>
      <c r="Y24" s="282">
        <f t="shared" si="9"/>
        <v>19.134999999999998</v>
      </c>
      <c r="Z24" s="282">
        <f t="shared" si="9"/>
        <v>21.364000000000001</v>
      </c>
      <c r="AA24" s="282">
        <f t="shared" si="9"/>
        <v>23.028000000000002</v>
      </c>
      <c r="AB24" s="282">
        <f t="shared" si="9"/>
        <v>23.26</v>
      </c>
      <c r="AC24" s="319">
        <f t="shared" si="10"/>
        <v>23.26</v>
      </c>
      <c r="AD24" s="319">
        <f t="shared" si="10"/>
        <v>23.26</v>
      </c>
      <c r="AE24" s="319">
        <f t="shared" si="10"/>
        <v>23.26</v>
      </c>
    </row>
    <row r="25" spans="2:31">
      <c r="C25" s="320" t="s">
        <v>279</v>
      </c>
      <c r="E25" s="331">
        <f t="shared" ref="E25:M25" si="15">SUM(E20:E24)</f>
        <v>97.47</v>
      </c>
      <c r="F25" s="331">
        <f t="shared" si="15"/>
        <v>101.25899999999999</v>
      </c>
      <c r="G25" s="331">
        <f t="shared" si="15"/>
        <v>88.322999999999993</v>
      </c>
      <c r="H25" s="331">
        <f t="shared" si="15"/>
        <v>95.623999999999995</v>
      </c>
      <c r="I25" s="331">
        <f t="shared" si="15"/>
        <v>95.183999999999983</v>
      </c>
      <c r="J25" s="331">
        <f t="shared" si="15"/>
        <v>97.713999999999999</v>
      </c>
      <c r="K25" s="331">
        <f t="shared" si="15"/>
        <v>93.691000000000003</v>
      </c>
      <c r="L25" s="331">
        <f t="shared" si="15"/>
        <v>95.799999999999983</v>
      </c>
      <c r="M25" s="331">
        <f t="shared" si="15"/>
        <v>98.385000000000005</v>
      </c>
      <c r="N25" s="331">
        <f>SUM(N20:N24)</f>
        <v>100.63200000000001</v>
      </c>
      <c r="O25" s="331">
        <f t="shared" ref="O25:T25" si="16">SUM(O20:O24)</f>
        <v>100.63200000000001</v>
      </c>
      <c r="P25" s="331">
        <f t="shared" si="16"/>
        <v>100.63200000000001</v>
      </c>
      <c r="Q25" s="331">
        <f t="shared" si="16"/>
        <v>100.63200000000001</v>
      </c>
      <c r="R25" s="331">
        <f t="shared" si="16"/>
        <v>100.63200000000001</v>
      </c>
      <c r="S25" s="331">
        <f t="shared" si="16"/>
        <v>100.63200000000001</v>
      </c>
      <c r="T25" s="331">
        <f t="shared" si="16"/>
        <v>100.63200000000001</v>
      </c>
      <c r="V25" s="331">
        <f t="shared" ref="V25:AE25" si="17">SUM(V20:V24)</f>
        <v>254.38899999999998</v>
      </c>
      <c r="W25" s="331">
        <f t="shared" si="17"/>
        <v>283.529</v>
      </c>
      <c r="X25" s="331">
        <f t="shared" si="17"/>
        <v>323.27</v>
      </c>
      <c r="Y25" s="331">
        <f t="shared" si="17"/>
        <v>382.67600000000004</v>
      </c>
      <c r="Z25" s="331">
        <f t="shared" si="17"/>
        <v>382.38900000000001</v>
      </c>
      <c r="AA25" s="331">
        <f t="shared" si="17"/>
        <v>400.28100000000006</v>
      </c>
      <c r="AB25" s="331">
        <f t="shared" si="17"/>
        <v>402.52800000000002</v>
      </c>
      <c r="AC25" s="331">
        <f t="shared" si="17"/>
        <v>402.52800000000002</v>
      </c>
      <c r="AD25" s="331">
        <f t="shared" si="17"/>
        <v>402.52800000000002</v>
      </c>
      <c r="AE25" s="331">
        <f t="shared" si="17"/>
        <v>402.52800000000002</v>
      </c>
    </row>
    <row r="26" spans="2:31">
      <c r="C26" s="332" t="s">
        <v>264</v>
      </c>
      <c r="D26" s="325"/>
      <c r="E26" s="314" t="e">
        <f>Financials!#REF!-E25</f>
        <v>#REF!</v>
      </c>
      <c r="F26" s="314" t="e">
        <f>Financials!#REF!-F25</f>
        <v>#REF!</v>
      </c>
      <c r="G26" s="314" t="e">
        <f>Financials!#REF!-G25</f>
        <v>#REF!</v>
      </c>
      <c r="H26" s="314" t="e">
        <f>Financials!#REF!-H25</f>
        <v>#REF!</v>
      </c>
      <c r="I26" s="314" t="e">
        <f>Financials!#REF!-I25</f>
        <v>#REF!</v>
      </c>
      <c r="J26" s="314" t="e">
        <f>Financials!#REF!-J25</f>
        <v>#REF!</v>
      </c>
      <c r="K26" s="314" t="e">
        <f>Financials!#REF!-K25</f>
        <v>#REF!</v>
      </c>
      <c r="L26" s="314" t="e">
        <f>Financials!#REF!-L25</f>
        <v>#REF!</v>
      </c>
      <c r="M26" s="314" t="e">
        <f>Financials!#REF!-M25</f>
        <v>#REF!</v>
      </c>
      <c r="N26" s="314" t="e">
        <f>Financials!#REF!-N25</f>
        <v>#REF!</v>
      </c>
      <c r="O26" s="314" t="e">
        <f>Financials!#REF!-O25</f>
        <v>#REF!</v>
      </c>
      <c r="P26" s="314" t="e">
        <f>Financials!#REF!-P25</f>
        <v>#REF!</v>
      </c>
      <c r="Q26" s="314" t="e">
        <f>Financials!#REF!-Q25</f>
        <v>#REF!</v>
      </c>
      <c r="R26" s="314" t="e">
        <f>Financials!#REF!-R25</f>
        <v>#REF!</v>
      </c>
      <c r="S26" s="314" t="e">
        <f>Financials!#REF!-S25</f>
        <v>#REF!</v>
      </c>
      <c r="T26" s="314" t="e">
        <f>Financials!#REF!-T25</f>
        <v>#REF!</v>
      </c>
      <c r="U26" s="282"/>
      <c r="V26" s="314" t="e">
        <f>Financials!#REF!-V25</f>
        <v>#REF!</v>
      </c>
      <c r="W26" s="314" t="e">
        <f>Financials!#REF!-W25</f>
        <v>#REF!</v>
      </c>
      <c r="X26" s="314" t="e">
        <f>Financials!#REF!-X25</f>
        <v>#REF!</v>
      </c>
      <c r="Y26" s="314" t="e">
        <f>Financials!#REF!-Y25</f>
        <v>#REF!</v>
      </c>
      <c r="Z26" s="314" t="e">
        <f>Financials!#REF!-Z25</f>
        <v>#REF!</v>
      </c>
      <c r="AA26" s="314" t="e">
        <f>Financials!#REF!-AA25</f>
        <v>#REF!</v>
      </c>
      <c r="AB26" s="314" t="e">
        <f>Financials!#REF!-AB25</f>
        <v>#REF!</v>
      </c>
      <c r="AC26" s="314" t="e">
        <f>Financials!#REF!-AC25</f>
        <v>#REF!</v>
      </c>
      <c r="AD26" s="314" t="e">
        <f>Financials!#REF!-AD25</f>
        <v>#REF!</v>
      </c>
      <c r="AE26" s="314" t="e">
        <f>Financials!#REF!-AE25</f>
        <v>#REF!</v>
      </c>
    </row>
    <row r="28" spans="2:31">
      <c r="C28" s="281" t="s">
        <v>266</v>
      </c>
      <c r="E28" s="317" t="e">
        <f>Financials!#REF!</f>
        <v>#REF!</v>
      </c>
      <c r="F28" s="317" t="e">
        <f>Financials!#REF!</f>
        <v>#REF!</v>
      </c>
      <c r="G28" s="317" t="e">
        <f>Financials!#REF!</f>
        <v>#REF!</v>
      </c>
      <c r="H28" s="317" t="e">
        <f>Financials!#REF!</f>
        <v>#REF!</v>
      </c>
      <c r="I28" s="317" t="e">
        <f>Financials!#REF!</f>
        <v>#REF!</v>
      </c>
      <c r="J28" s="317" t="e">
        <f>Financials!#REF!</f>
        <v>#REF!</v>
      </c>
      <c r="K28" s="317" t="e">
        <f>Financials!#REF!</f>
        <v>#REF!</v>
      </c>
      <c r="L28" s="317" t="e">
        <f>Financials!#REF!</f>
        <v>#REF!</v>
      </c>
      <c r="M28" s="317" t="e">
        <f>Financials!#REF!</f>
        <v>#REF!</v>
      </c>
      <c r="N28" s="317" t="e">
        <f>Financials!#REF!</f>
        <v>#REF!</v>
      </c>
      <c r="O28" s="283" t="e">
        <f t="shared" ref="O28:T28" si="18">O29*O$25</f>
        <v>#REF!</v>
      </c>
      <c r="P28" s="283" t="e">
        <f t="shared" si="18"/>
        <v>#REF!</v>
      </c>
      <c r="Q28" s="283" t="e">
        <f t="shared" si="18"/>
        <v>#REF!</v>
      </c>
      <c r="R28" s="283" t="e">
        <f t="shared" si="18"/>
        <v>#REF!</v>
      </c>
      <c r="S28" s="283" t="e">
        <f t="shared" si="18"/>
        <v>#REF!</v>
      </c>
      <c r="T28" s="283" t="e">
        <f t="shared" si="18"/>
        <v>#REF!</v>
      </c>
      <c r="V28" s="317" t="e">
        <f>Financials!#REF!</f>
        <v>#REF!</v>
      </c>
      <c r="W28" s="317" t="e">
        <f>Financials!#REF!</f>
        <v>#REF!</v>
      </c>
      <c r="X28" s="317" t="e">
        <f>Financials!#REF!</f>
        <v>#REF!</v>
      </c>
      <c r="Y28" s="317" t="e">
        <f>Financials!#REF!</f>
        <v>#REF!</v>
      </c>
      <c r="Z28" s="317" t="e">
        <f>Financials!#REF!</f>
        <v>#REF!</v>
      </c>
      <c r="AA28" s="317" t="e">
        <f>Financials!#REF!</f>
        <v>#REF!</v>
      </c>
      <c r="AB28" s="317" t="e">
        <f>Financials!#REF!</f>
        <v>#REF!</v>
      </c>
      <c r="AC28" s="283" t="e">
        <f>AC29*AC25</f>
        <v>#REF!</v>
      </c>
      <c r="AD28" s="283" t="e">
        <f>AD29*AD25</f>
        <v>#REF!</v>
      </c>
      <c r="AE28" s="283" t="e">
        <f>AE29*AE25</f>
        <v>#REF!</v>
      </c>
    </row>
    <row r="29" spans="2:31">
      <c r="C29" s="335" t="s">
        <v>281</v>
      </c>
      <c r="E29" s="334" t="e">
        <f>E28/#REF!</f>
        <v>#REF!</v>
      </c>
      <c r="F29" s="334" t="e">
        <f>F28/#REF!</f>
        <v>#REF!</v>
      </c>
      <c r="G29" s="334" t="e">
        <f>G28/#REF!</f>
        <v>#REF!</v>
      </c>
      <c r="H29" s="334" t="e">
        <f>H28/#REF!</f>
        <v>#REF!</v>
      </c>
      <c r="I29" s="334" t="e">
        <f>I28/#REF!</f>
        <v>#REF!</v>
      </c>
      <c r="J29" s="334" t="e">
        <f>J28/#REF!</f>
        <v>#REF!</v>
      </c>
      <c r="K29" s="334" t="e">
        <f>K28/#REF!</f>
        <v>#REF!</v>
      </c>
      <c r="L29" s="334" t="e">
        <f>L28/#REF!</f>
        <v>#REF!</v>
      </c>
      <c r="M29" s="334" t="e">
        <f>M28/#REF!</f>
        <v>#REF!</v>
      </c>
      <c r="N29" s="334" t="e">
        <f>N28/#REF!</f>
        <v>#REF!</v>
      </c>
      <c r="O29" s="333" t="e">
        <f t="shared" ref="O29:T29" si="19">N29</f>
        <v>#REF!</v>
      </c>
      <c r="P29" s="333" t="e">
        <f t="shared" si="19"/>
        <v>#REF!</v>
      </c>
      <c r="Q29" s="333" t="e">
        <f t="shared" si="19"/>
        <v>#REF!</v>
      </c>
      <c r="R29" s="333" t="e">
        <f t="shared" si="19"/>
        <v>#REF!</v>
      </c>
      <c r="S29" s="333" t="e">
        <f t="shared" si="19"/>
        <v>#REF!</v>
      </c>
      <c r="T29" s="333" t="e">
        <f t="shared" si="19"/>
        <v>#REF!</v>
      </c>
      <c r="V29" s="334" t="e">
        <f t="shared" ref="V29:AB29" si="20">V28/V25</f>
        <v>#REF!</v>
      </c>
      <c r="W29" s="334" t="e">
        <f t="shared" si="20"/>
        <v>#REF!</v>
      </c>
      <c r="X29" s="334" t="e">
        <f t="shared" si="20"/>
        <v>#REF!</v>
      </c>
      <c r="Y29" s="334" t="e">
        <f t="shared" si="20"/>
        <v>#REF!</v>
      </c>
      <c r="Z29" s="334" t="e">
        <f t="shared" si="20"/>
        <v>#REF!</v>
      </c>
      <c r="AA29" s="334" t="e">
        <f t="shared" si="20"/>
        <v>#REF!</v>
      </c>
      <c r="AB29" s="334" t="e">
        <f t="shared" si="20"/>
        <v>#REF!</v>
      </c>
      <c r="AC29" s="333" t="e">
        <f>AB29</f>
        <v>#REF!</v>
      </c>
      <c r="AD29" s="333" t="e">
        <f>AC29</f>
        <v>#REF!</v>
      </c>
      <c r="AE29" s="333" t="e">
        <f>AD29</f>
        <v>#REF!</v>
      </c>
    </row>
    <row r="30" spans="2:31">
      <c r="P30" s="330"/>
      <c r="Q30" s="330"/>
    </row>
    <row r="31" spans="2:31">
      <c r="C31" s="281" t="s">
        <v>267</v>
      </c>
      <c r="E31" s="317" t="e">
        <f>Financials!#REF!</f>
        <v>#REF!</v>
      </c>
      <c r="F31" s="317" t="e">
        <f>Financials!#REF!</f>
        <v>#REF!</v>
      </c>
      <c r="G31" s="317" t="e">
        <f>Financials!#REF!</f>
        <v>#REF!</v>
      </c>
      <c r="H31" s="317" t="e">
        <f>Financials!#REF!</f>
        <v>#REF!</v>
      </c>
      <c r="I31" s="317" t="e">
        <f>Financials!#REF!</f>
        <v>#REF!</v>
      </c>
      <c r="J31" s="317" t="e">
        <f>Financials!#REF!</f>
        <v>#REF!</v>
      </c>
      <c r="K31" s="317" t="e">
        <f>Financials!#REF!</f>
        <v>#REF!</v>
      </c>
      <c r="L31" s="317" t="e">
        <f>Financials!#REF!</f>
        <v>#REF!</v>
      </c>
      <c r="M31" s="317" t="e">
        <f>Financials!#REF!</f>
        <v>#REF!</v>
      </c>
      <c r="N31" s="317" t="e">
        <f>Financials!#REF!</f>
        <v>#REF!</v>
      </c>
      <c r="O31" s="283" t="e">
        <f t="shared" ref="O31:T31" si="21">O32*O$25</f>
        <v>#REF!</v>
      </c>
      <c r="P31" s="283" t="e">
        <f t="shared" si="21"/>
        <v>#REF!</v>
      </c>
      <c r="Q31" s="283" t="e">
        <f t="shared" si="21"/>
        <v>#REF!</v>
      </c>
      <c r="R31" s="283" t="e">
        <f t="shared" si="21"/>
        <v>#REF!</v>
      </c>
      <c r="S31" s="283" t="e">
        <f t="shared" si="21"/>
        <v>#REF!</v>
      </c>
      <c r="T31" s="283" t="e">
        <f t="shared" si="21"/>
        <v>#REF!</v>
      </c>
      <c r="V31" s="317" t="e">
        <f>Financials!#REF!</f>
        <v>#REF!</v>
      </c>
      <c r="W31" s="317" t="e">
        <f>Financials!#REF!</f>
        <v>#REF!</v>
      </c>
      <c r="X31" s="317" t="e">
        <f>Financials!#REF!</f>
        <v>#REF!</v>
      </c>
      <c r="Y31" s="317" t="e">
        <f>Financials!#REF!</f>
        <v>#REF!</v>
      </c>
      <c r="Z31" s="317" t="e">
        <f>Financials!#REF!</f>
        <v>#REF!</v>
      </c>
      <c r="AA31" s="317" t="e">
        <f>Financials!#REF!</f>
        <v>#REF!</v>
      </c>
      <c r="AB31" s="317" t="e">
        <f>Financials!#REF!</f>
        <v>#REF!</v>
      </c>
      <c r="AC31" s="283" t="e">
        <f>AC32*AC$25</f>
        <v>#REF!</v>
      </c>
      <c r="AD31" s="283" t="e">
        <f>AD32*AD$25</f>
        <v>#REF!</v>
      </c>
      <c r="AE31" s="283" t="e">
        <f>AE32*AE$25</f>
        <v>#REF!</v>
      </c>
    </row>
    <row r="32" spans="2:31">
      <c r="C32" s="335" t="s">
        <v>281</v>
      </c>
      <c r="E32" s="334" t="e">
        <f t="shared" ref="E32:N32" si="22">E31/E$25</f>
        <v>#REF!</v>
      </c>
      <c r="F32" s="334" t="e">
        <f t="shared" si="22"/>
        <v>#REF!</v>
      </c>
      <c r="G32" s="334" t="e">
        <f t="shared" si="22"/>
        <v>#REF!</v>
      </c>
      <c r="H32" s="334" t="e">
        <f t="shared" si="22"/>
        <v>#REF!</v>
      </c>
      <c r="I32" s="334" t="e">
        <f t="shared" si="22"/>
        <v>#REF!</v>
      </c>
      <c r="J32" s="334" t="e">
        <f t="shared" si="22"/>
        <v>#REF!</v>
      </c>
      <c r="K32" s="334" t="e">
        <f t="shared" si="22"/>
        <v>#REF!</v>
      </c>
      <c r="L32" s="334" t="e">
        <f t="shared" si="22"/>
        <v>#REF!</v>
      </c>
      <c r="M32" s="334" t="e">
        <f t="shared" si="22"/>
        <v>#REF!</v>
      </c>
      <c r="N32" s="334" t="e">
        <f t="shared" si="22"/>
        <v>#REF!</v>
      </c>
      <c r="O32" s="333" t="e">
        <f t="shared" ref="O32:T32" si="23">N32</f>
        <v>#REF!</v>
      </c>
      <c r="P32" s="333" t="e">
        <f t="shared" si="23"/>
        <v>#REF!</v>
      </c>
      <c r="Q32" s="333" t="e">
        <f t="shared" si="23"/>
        <v>#REF!</v>
      </c>
      <c r="R32" s="333" t="e">
        <f t="shared" si="23"/>
        <v>#REF!</v>
      </c>
      <c r="S32" s="333" t="e">
        <f t="shared" si="23"/>
        <v>#REF!</v>
      </c>
      <c r="T32" s="333" t="e">
        <f t="shared" si="23"/>
        <v>#REF!</v>
      </c>
      <c r="V32" s="334" t="e">
        <f t="shared" ref="V32:AB32" si="24">V31/V$25</f>
        <v>#REF!</v>
      </c>
      <c r="W32" s="334" t="e">
        <f t="shared" si="24"/>
        <v>#REF!</v>
      </c>
      <c r="X32" s="334" t="e">
        <f t="shared" si="24"/>
        <v>#REF!</v>
      </c>
      <c r="Y32" s="334" t="e">
        <f t="shared" si="24"/>
        <v>#REF!</v>
      </c>
      <c r="Z32" s="334" t="e">
        <f t="shared" si="24"/>
        <v>#REF!</v>
      </c>
      <c r="AA32" s="334" t="e">
        <f t="shared" si="24"/>
        <v>#REF!</v>
      </c>
      <c r="AB32" s="334" t="e">
        <f t="shared" si="24"/>
        <v>#REF!</v>
      </c>
      <c r="AC32" s="333" t="e">
        <f>AB32</f>
        <v>#REF!</v>
      </c>
      <c r="AD32" s="333" t="e">
        <f>AC32</f>
        <v>#REF!</v>
      </c>
      <c r="AE32" s="333" t="e">
        <f>AD32</f>
        <v>#REF!</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A7340-CAC0-4A04-9EAE-494601967255}">
  <sheetPr codeName="Sheet3">
    <pageSetUpPr fitToPage="1"/>
  </sheetPr>
  <dimension ref="C1:W51"/>
  <sheetViews>
    <sheetView showGridLines="0" view="pageBreakPreview" zoomScale="60" zoomScaleNormal="75" workbookViewId="0">
      <selection activeCell="H4" sqref="H4"/>
    </sheetView>
  </sheetViews>
  <sheetFormatPr defaultColWidth="9.19921875" defaultRowHeight="18"/>
  <cols>
    <col min="1" max="1" width="1.73046875" style="234" customWidth="1"/>
    <col min="2" max="2" width="2.46484375" style="234" customWidth="1"/>
    <col min="3" max="3" width="30.73046875" style="6" customWidth="1"/>
    <col min="4" max="4" width="15.46484375" style="6" customWidth="1"/>
    <col min="5" max="5" width="14.265625" style="6" customWidth="1"/>
    <col min="6" max="12" width="11.73046875" style="6" customWidth="1"/>
    <col min="13" max="13" width="11.796875" style="6" customWidth="1"/>
    <col min="14" max="14" width="10.46484375" style="6" customWidth="1"/>
    <col min="15" max="15" width="17.73046875" style="6" customWidth="1"/>
    <col min="16" max="16" width="18" style="6" customWidth="1"/>
    <col min="17" max="18" width="15.73046875" style="6" customWidth="1"/>
    <col min="19" max="19" width="19.19921875" style="6" customWidth="1"/>
    <col min="20" max="20" width="16.73046875" style="6" customWidth="1"/>
    <col min="21" max="21" width="16.19921875" style="6" customWidth="1"/>
    <col min="22" max="26" width="16.19921875" style="234" customWidth="1"/>
    <col min="27" max="16384" width="9.19921875" style="234"/>
  </cols>
  <sheetData>
    <row r="1" spans="3:23" ht="20.25" customHeight="1" thickBot="1">
      <c r="C1" s="634"/>
      <c r="D1" s="634"/>
      <c r="E1" s="634"/>
      <c r="F1" s="634"/>
      <c r="G1" s="634"/>
      <c r="H1" s="634"/>
      <c r="I1" s="634"/>
      <c r="J1" s="634"/>
      <c r="K1" s="634"/>
      <c r="L1" s="634"/>
      <c r="M1" s="634"/>
      <c r="N1" s="634"/>
      <c r="O1" s="634"/>
      <c r="P1" s="634"/>
      <c r="Q1" s="634"/>
      <c r="R1" s="634"/>
      <c r="S1" s="634"/>
      <c r="T1" s="634"/>
      <c r="U1" s="634"/>
    </row>
    <row r="2" spans="3:23" ht="21.4" thickBot="1">
      <c r="C2" s="236" t="str">
        <f ca="1">'One Pager - 1'!D2</f>
        <v>Hecla Mining Co</v>
      </c>
      <c r="D2" s="730" t="str">
        <f>+'One Pager - 1'!$C$2</f>
        <v>CREDIT SUMMARY</v>
      </c>
      <c r="E2" s="731"/>
      <c r="F2" s="731"/>
      <c r="G2" s="731"/>
      <c r="H2" s="731"/>
      <c r="I2" s="731"/>
      <c r="J2" s="731"/>
      <c r="K2" s="731"/>
      <c r="L2" s="731"/>
      <c r="M2" s="731"/>
      <c r="N2" s="731"/>
      <c r="O2" s="731"/>
      <c r="P2" s="731"/>
      <c r="Q2" s="731"/>
      <c r="R2" s="732"/>
      <c r="S2" s="732"/>
      <c r="T2" s="733" t="str">
        <f ca="1">+'One Pager - 1'!W2</f>
        <v>Period Ending: 3/31/2022</v>
      </c>
      <c r="U2" s="234"/>
    </row>
    <row r="3" spans="3:23" ht="18.75" customHeight="1">
      <c r="C3" s="688" t="s">
        <v>1</v>
      </c>
      <c r="D3" s="734" t="str">
        <f>+'One Pager - 1'!$I$3</f>
        <v>Metals &amp; Mining</v>
      </c>
      <c r="E3" s="24"/>
      <c r="F3" s="647" t="s">
        <v>770</v>
      </c>
      <c r="G3" s="24"/>
      <c r="H3" s="735" t="s">
        <v>25</v>
      </c>
      <c r="I3" s="736"/>
      <c r="J3" s="24"/>
      <c r="K3" s="24"/>
      <c r="N3" s="647" t="s">
        <v>771</v>
      </c>
      <c r="O3" s="24"/>
      <c r="P3" s="735" t="s">
        <v>729</v>
      </c>
      <c r="Q3" s="682"/>
      <c r="R3" s="24"/>
      <c r="S3" s="737" t="str">
        <f>+'One Pager - 1'!V3</f>
        <v>Last report date:</v>
      </c>
      <c r="T3" s="738" t="str">
        <f ca="1">+'One Pager - 1'!W3</f>
        <v>3/31/2022</v>
      </c>
      <c r="U3" s="634"/>
      <c r="V3" s="234" t="s">
        <v>4</v>
      </c>
      <c r="W3" s="343">
        <f>IF(ISERROR(_xll.BDP(#REF!&amp;" EQUITY","px_last")),0,1)</f>
        <v>0</v>
      </c>
    </row>
    <row r="4" spans="3:23" ht="18.75" customHeight="1">
      <c r="C4" s="344" t="s">
        <v>5</v>
      </c>
      <c r="D4" s="739" t="str">
        <f ca="1">+'One Pager - 1'!I4</f>
        <v>Precious Metals</v>
      </c>
      <c r="F4" s="234" t="s">
        <v>741</v>
      </c>
      <c r="H4" s="740" t="s">
        <v>132</v>
      </c>
      <c r="I4" s="741"/>
      <c r="N4" s="234" t="s">
        <v>772</v>
      </c>
      <c r="P4" s="742">
        <v>0.06</v>
      </c>
      <c r="Q4" s="743"/>
      <c r="S4" s="744" t="str">
        <f>+'One Pager - 1'!V4</f>
        <v>Next report date:</v>
      </c>
      <c r="T4" s="745" t="str">
        <f ca="1">+'One Pager - 1'!W4</f>
        <v>6/30/2022</v>
      </c>
      <c r="U4" s="634"/>
    </row>
    <row r="5" spans="3:23" ht="18.75" customHeight="1" thickBot="1">
      <c r="C5" s="340" t="str">
        <f>+'One Pager - 1'!Q3</f>
        <v>Position Type:</v>
      </c>
      <c r="D5" s="746" t="str">
        <f>+'One Pager - 1'!S3</f>
        <v>Stable Value Income</v>
      </c>
      <c r="E5" s="672"/>
      <c r="F5" s="59" t="s">
        <v>773</v>
      </c>
      <c r="G5" s="669"/>
      <c r="H5" s="764">
        <v>300</v>
      </c>
      <c r="I5" s="748"/>
      <c r="J5" s="12"/>
      <c r="K5" s="669"/>
      <c r="N5" s="59"/>
      <c r="O5" s="669"/>
      <c r="P5" s="747"/>
      <c r="Q5" s="749"/>
      <c r="R5" s="750"/>
      <c r="S5" s="751" t="str">
        <f>+'One Pager - 1'!V5</f>
        <v>Fiscal year end:</v>
      </c>
      <c r="T5" s="752" t="str">
        <f ca="1">+'One Pager - 1'!W5</f>
        <v>December</v>
      </c>
      <c r="U5" s="634"/>
    </row>
    <row r="6" spans="3:23" ht="18.399999999999999" thickBot="1">
      <c r="C6" s="753" t="s">
        <v>774</v>
      </c>
      <c r="D6" s="242"/>
      <c r="E6" s="242"/>
      <c r="F6" s="242"/>
      <c r="G6" s="242"/>
      <c r="H6" s="242"/>
      <c r="I6" s="242"/>
      <c r="J6" s="731"/>
      <c r="K6" s="731"/>
      <c r="L6" s="245" t="s">
        <v>775</v>
      </c>
      <c r="M6" s="245"/>
      <c r="N6" s="245"/>
      <c r="O6" s="245"/>
      <c r="P6" s="245"/>
      <c r="Q6" s="245"/>
      <c r="R6" s="245"/>
      <c r="S6" s="245"/>
      <c r="T6" s="246"/>
      <c r="U6" s="634"/>
    </row>
    <row r="7" spans="3:23">
      <c r="C7" s="664"/>
      <c r="D7" s="663"/>
      <c r="E7" s="662"/>
      <c r="F7" s="838"/>
      <c r="G7" s="838"/>
      <c r="H7" s="838"/>
      <c r="I7" s="838"/>
      <c r="J7" s="838"/>
      <c r="K7" s="838"/>
      <c r="L7" s="754"/>
      <c r="M7" s="661"/>
      <c r="N7" s="660"/>
      <c r="O7" s="659"/>
      <c r="P7" s="659"/>
      <c r="Q7" s="659"/>
      <c r="R7" s="659"/>
      <c r="S7" s="659"/>
      <c r="T7" s="658"/>
      <c r="U7" s="634"/>
    </row>
    <row r="8" spans="3:23" ht="54.75" customHeight="1">
      <c r="C8" s="839"/>
      <c r="D8" s="840"/>
      <c r="E8" s="840"/>
      <c r="F8" s="840"/>
      <c r="G8" s="840"/>
      <c r="H8" s="840"/>
      <c r="I8" s="840"/>
      <c r="J8" s="840"/>
      <c r="K8" s="841"/>
      <c r="L8" s="840"/>
      <c r="M8" s="840"/>
      <c r="N8" s="840"/>
      <c r="O8" s="840"/>
      <c r="P8" s="840"/>
      <c r="Q8" s="840"/>
      <c r="R8" s="840"/>
      <c r="S8" s="840"/>
      <c r="T8" s="841"/>
      <c r="U8" s="29"/>
    </row>
    <row r="9" spans="3:23" ht="54.75" customHeight="1">
      <c r="C9" s="842"/>
      <c r="D9" s="843"/>
      <c r="E9" s="843"/>
      <c r="F9" s="843"/>
      <c r="G9" s="843"/>
      <c r="H9" s="843"/>
      <c r="I9" s="843"/>
      <c r="J9" s="843"/>
      <c r="K9" s="844"/>
      <c r="L9" s="842"/>
      <c r="M9" s="843"/>
      <c r="N9" s="843"/>
      <c r="O9" s="843"/>
      <c r="P9" s="843"/>
      <c r="Q9" s="843"/>
      <c r="R9" s="843"/>
      <c r="S9" s="843"/>
      <c r="T9" s="844"/>
      <c r="U9" s="655"/>
    </row>
    <row r="10" spans="3:23" ht="54.75" customHeight="1">
      <c r="C10" s="842"/>
      <c r="D10" s="843"/>
      <c r="E10" s="843"/>
      <c r="F10" s="843"/>
      <c r="G10" s="843"/>
      <c r="H10" s="843"/>
      <c r="I10" s="843"/>
      <c r="J10" s="843"/>
      <c r="K10" s="844"/>
      <c r="L10" s="842"/>
      <c r="M10" s="843"/>
      <c r="N10" s="843"/>
      <c r="O10" s="843"/>
      <c r="P10" s="843"/>
      <c r="Q10" s="843"/>
      <c r="R10" s="843"/>
      <c r="S10" s="843"/>
      <c r="T10" s="844"/>
      <c r="U10" s="655"/>
    </row>
    <row r="11" spans="3:23" ht="54.75" customHeight="1">
      <c r="C11" s="842"/>
      <c r="D11" s="843"/>
      <c r="E11" s="843"/>
      <c r="F11" s="843"/>
      <c r="G11" s="843"/>
      <c r="H11" s="843"/>
      <c r="I11" s="843"/>
      <c r="J11" s="843"/>
      <c r="K11" s="844"/>
      <c r="L11" s="842"/>
      <c r="M11" s="843"/>
      <c r="N11" s="843"/>
      <c r="O11" s="843"/>
      <c r="P11" s="843"/>
      <c r="Q11" s="843"/>
      <c r="R11" s="843"/>
      <c r="S11" s="843"/>
      <c r="T11" s="844"/>
      <c r="U11" s="634"/>
    </row>
    <row r="12" spans="3:23" ht="54.75" customHeight="1">
      <c r="C12" s="842"/>
      <c r="D12" s="843"/>
      <c r="E12" s="843"/>
      <c r="F12" s="843"/>
      <c r="G12" s="843"/>
      <c r="H12" s="843"/>
      <c r="I12" s="843"/>
      <c r="J12" s="843"/>
      <c r="K12" s="844"/>
      <c r="L12" s="842"/>
      <c r="M12" s="843"/>
      <c r="N12" s="843"/>
      <c r="O12" s="843"/>
      <c r="P12" s="843"/>
      <c r="Q12" s="843"/>
      <c r="R12" s="843"/>
      <c r="S12" s="843"/>
      <c r="T12" s="844"/>
      <c r="U12" s="634"/>
    </row>
    <row r="13" spans="3:23" ht="54.75" customHeight="1">
      <c r="C13" s="842"/>
      <c r="D13" s="843"/>
      <c r="E13" s="843"/>
      <c r="F13" s="843"/>
      <c r="G13" s="843"/>
      <c r="H13" s="843"/>
      <c r="I13" s="843"/>
      <c r="J13" s="843"/>
      <c r="K13" s="844"/>
      <c r="L13" s="842"/>
      <c r="M13" s="843"/>
      <c r="N13" s="843"/>
      <c r="O13" s="843"/>
      <c r="P13" s="843"/>
      <c r="Q13" s="843"/>
      <c r="R13" s="843"/>
      <c r="S13" s="843"/>
      <c r="T13" s="844"/>
      <c r="U13" s="634"/>
    </row>
    <row r="14" spans="3:23" ht="54.75" customHeight="1">
      <c r="C14" s="842"/>
      <c r="D14" s="843"/>
      <c r="E14" s="843"/>
      <c r="F14" s="843"/>
      <c r="G14" s="843"/>
      <c r="H14" s="843"/>
      <c r="I14" s="843"/>
      <c r="J14" s="843"/>
      <c r="K14" s="844"/>
      <c r="L14" s="842"/>
      <c r="M14" s="843"/>
      <c r="N14" s="843"/>
      <c r="O14" s="843"/>
      <c r="P14" s="843"/>
      <c r="Q14" s="843"/>
      <c r="R14" s="843"/>
      <c r="S14" s="843"/>
      <c r="T14" s="844"/>
      <c r="U14" s="634"/>
    </row>
    <row r="15" spans="3:23" ht="20.2" customHeight="1" thickBot="1">
      <c r="C15" s="654"/>
      <c r="D15" s="653"/>
      <c r="E15" s="653"/>
      <c r="F15" s="653"/>
      <c r="G15" s="653"/>
      <c r="H15" s="653"/>
      <c r="I15" s="653"/>
      <c r="J15" s="653"/>
      <c r="K15" s="652"/>
      <c r="L15" s="654"/>
      <c r="M15" s="653"/>
      <c r="N15" s="653"/>
      <c r="O15" s="653"/>
      <c r="P15" s="653"/>
      <c r="Q15" s="653"/>
      <c r="R15" s="653"/>
      <c r="S15" s="653"/>
      <c r="T15" s="652"/>
      <c r="U15" s="634"/>
    </row>
    <row r="16" spans="3:23" ht="18.399999999999999" thickBot="1">
      <c r="C16" s="753" t="s">
        <v>780</v>
      </c>
      <c r="D16" s="755"/>
      <c r="E16" s="756"/>
      <c r="F16" s="757"/>
      <c r="G16" s="756"/>
      <c r="H16" s="756"/>
      <c r="I16" s="756"/>
      <c r="J16" s="757"/>
      <c r="K16" s="757"/>
      <c r="L16" s="753" t="s">
        <v>776</v>
      </c>
      <c r="M16" s="756"/>
      <c r="N16" s="757"/>
      <c r="O16" s="756"/>
      <c r="P16" s="756"/>
      <c r="Q16" s="756"/>
      <c r="R16" s="757"/>
      <c r="S16" s="757"/>
      <c r="T16" s="758"/>
      <c r="U16" s="634"/>
    </row>
    <row r="17" spans="3:21">
      <c r="C17" s="650"/>
      <c r="D17" s="24"/>
      <c r="E17" s="24"/>
      <c r="F17" s="24"/>
      <c r="G17" s="24"/>
      <c r="H17" s="24"/>
      <c r="I17" s="24"/>
      <c r="J17" s="24"/>
      <c r="K17" s="24"/>
      <c r="L17" s="649"/>
      <c r="M17" s="648"/>
      <c r="N17" s="647"/>
      <c r="O17" s="24"/>
      <c r="P17" s="24"/>
      <c r="Q17" s="24"/>
      <c r="R17" s="24"/>
      <c r="S17" s="24"/>
      <c r="T17" s="646"/>
      <c r="U17" s="634"/>
    </row>
    <row r="18" spans="3:21">
      <c r="C18" s="636"/>
      <c r="D18" s="635"/>
      <c r="E18" s="635"/>
      <c r="F18" s="635"/>
      <c r="G18" s="635"/>
      <c r="H18" s="635"/>
      <c r="I18" s="635"/>
      <c r="J18" s="635"/>
      <c r="K18" s="634"/>
      <c r="L18" s="643"/>
      <c r="M18" s="634"/>
      <c r="N18" s="645"/>
      <c r="T18" s="641"/>
      <c r="U18" s="634"/>
    </row>
    <row r="19" spans="3:21">
      <c r="C19" s="636"/>
      <c r="D19" s="635"/>
      <c r="E19" s="635"/>
      <c r="F19" s="635"/>
      <c r="G19" s="635"/>
      <c r="H19" s="635"/>
      <c r="I19" s="635"/>
      <c r="J19" s="635"/>
      <c r="K19" s="634"/>
      <c r="L19" s="643"/>
      <c r="M19" s="634"/>
      <c r="N19" s="634"/>
      <c r="T19" s="641"/>
      <c r="U19" s="634"/>
    </row>
    <row r="20" spans="3:21">
      <c r="C20" s="636"/>
      <c r="D20" s="635"/>
      <c r="E20" s="635"/>
      <c r="F20" s="635"/>
      <c r="G20" s="635"/>
      <c r="H20" s="635"/>
      <c r="I20" s="635"/>
      <c r="J20" s="635"/>
      <c r="K20" s="634"/>
      <c r="L20" s="643"/>
      <c r="M20" s="634"/>
      <c r="N20" s="634"/>
      <c r="T20" s="641"/>
      <c r="U20" s="634"/>
    </row>
    <row r="21" spans="3:21">
      <c r="C21" s="636"/>
      <c r="D21" s="635"/>
      <c r="E21" s="635"/>
      <c r="F21" s="635"/>
      <c r="G21" s="635"/>
      <c r="H21" s="635"/>
      <c r="I21" s="635"/>
      <c r="J21" s="635"/>
      <c r="K21" s="634"/>
      <c r="L21" s="643"/>
      <c r="M21" s="634"/>
      <c r="N21" s="634"/>
      <c r="T21" s="641"/>
      <c r="U21" s="634"/>
    </row>
    <row r="22" spans="3:21">
      <c r="C22" s="636"/>
      <c r="D22" s="635"/>
      <c r="E22" s="635"/>
      <c r="F22" s="635"/>
      <c r="G22" s="635"/>
      <c r="H22" s="635"/>
      <c r="I22" s="635"/>
      <c r="J22" s="635"/>
      <c r="K22" s="634"/>
      <c r="L22" s="643"/>
      <c r="M22" s="634"/>
      <c r="N22" s="634"/>
      <c r="T22" s="641"/>
      <c r="U22" s="634"/>
    </row>
    <row r="23" spans="3:21">
      <c r="C23" s="636"/>
      <c r="D23" s="635"/>
      <c r="E23" s="635"/>
      <c r="F23" s="635"/>
      <c r="G23" s="635"/>
      <c r="H23" s="635"/>
      <c r="I23" s="635"/>
      <c r="J23" s="635"/>
      <c r="K23" s="634"/>
      <c r="L23" s="643"/>
      <c r="M23" s="634"/>
      <c r="N23" s="634"/>
      <c r="T23" s="641"/>
      <c r="U23" s="634"/>
    </row>
    <row r="24" spans="3:21">
      <c r="C24" s="636"/>
      <c r="D24" s="635"/>
      <c r="E24" s="635"/>
      <c r="F24" s="635"/>
      <c r="G24" s="635"/>
      <c r="H24" s="635"/>
      <c r="I24" s="635"/>
      <c r="J24" s="635"/>
      <c r="K24" s="634"/>
      <c r="L24" s="643"/>
      <c r="M24" s="634"/>
      <c r="N24" s="634"/>
      <c r="T24" s="641"/>
      <c r="U24" s="634"/>
    </row>
    <row r="25" spans="3:21">
      <c r="C25" s="636"/>
      <c r="D25" s="635"/>
      <c r="E25" s="635"/>
      <c r="F25" s="635"/>
      <c r="G25" s="635"/>
      <c r="H25" s="635"/>
      <c r="I25" s="635"/>
      <c r="J25" s="635"/>
      <c r="K25" s="634"/>
      <c r="L25" s="643"/>
      <c r="M25" s="634"/>
      <c r="N25" s="634"/>
      <c r="T25" s="641"/>
      <c r="U25" s="634"/>
    </row>
    <row r="26" spans="3:21">
      <c r="C26" s="636"/>
      <c r="D26" s="635"/>
      <c r="E26" s="635"/>
      <c r="F26" s="635"/>
      <c r="G26" s="635"/>
      <c r="H26" s="635"/>
      <c r="I26" s="635"/>
      <c r="J26" s="635"/>
      <c r="K26" s="634"/>
      <c r="L26" s="643"/>
      <c r="M26" s="634"/>
      <c r="N26" s="634"/>
      <c r="T26" s="641"/>
      <c r="U26" s="634"/>
    </row>
    <row r="27" spans="3:21">
      <c r="C27" s="636"/>
      <c r="D27" s="635"/>
      <c r="E27" s="635"/>
      <c r="F27" s="635"/>
      <c r="G27" s="635"/>
      <c r="H27" s="635"/>
      <c r="I27" s="635"/>
      <c r="J27" s="635"/>
      <c r="K27" s="634"/>
      <c r="L27" s="643"/>
      <c r="M27" s="634"/>
      <c r="N27" s="634"/>
      <c r="T27" s="641"/>
    </row>
    <row r="28" spans="3:21">
      <c r="C28" s="636"/>
      <c r="D28" s="635"/>
      <c r="E28" s="635"/>
      <c r="F28" s="635"/>
      <c r="G28" s="635"/>
      <c r="H28" s="635"/>
      <c r="I28" s="635"/>
      <c r="J28" s="635"/>
      <c r="K28" s="634"/>
      <c r="L28" s="643"/>
      <c r="M28" s="634"/>
      <c r="N28" s="634"/>
      <c r="T28" s="641"/>
    </row>
    <row r="29" spans="3:21">
      <c r="C29" s="636"/>
      <c r="D29" s="635"/>
      <c r="E29" s="635"/>
      <c r="F29" s="635"/>
      <c r="G29" s="635"/>
      <c r="H29" s="635"/>
      <c r="I29" s="635"/>
      <c r="J29" s="635"/>
      <c r="K29" s="634"/>
      <c r="L29" s="642"/>
      <c r="M29" s="634"/>
      <c r="N29" s="634"/>
      <c r="T29" s="641"/>
      <c r="U29" s="633"/>
    </row>
    <row r="30" spans="3:21">
      <c r="C30" s="636"/>
      <c r="D30" s="635"/>
      <c r="E30" s="635"/>
      <c r="F30" s="635"/>
      <c r="G30" s="635"/>
      <c r="H30" s="635"/>
      <c r="I30" s="635"/>
      <c r="J30" s="635"/>
      <c r="K30" s="634"/>
      <c r="L30" s="638"/>
      <c r="M30" s="634"/>
      <c r="N30" s="634"/>
      <c r="T30" s="637"/>
      <c r="U30" s="633"/>
    </row>
    <row r="31" spans="3:21">
      <c r="C31" s="636"/>
      <c r="D31" s="635"/>
      <c r="E31" s="635"/>
      <c r="F31" s="635"/>
      <c r="G31" s="635"/>
      <c r="H31" s="635"/>
      <c r="I31" s="635"/>
      <c r="J31" s="635"/>
      <c r="K31" s="634"/>
      <c r="L31" s="638"/>
      <c r="M31" s="634"/>
      <c r="N31" s="634"/>
      <c r="T31" s="637"/>
      <c r="U31" s="633"/>
    </row>
    <row r="32" spans="3:21">
      <c r="C32" s="636"/>
      <c r="D32" s="635"/>
      <c r="E32" s="635"/>
      <c r="F32" s="635"/>
      <c r="G32" s="635"/>
      <c r="H32" s="635"/>
      <c r="I32" s="635"/>
      <c r="J32" s="635"/>
      <c r="K32" s="634"/>
      <c r="L32" s="638"/>
      <c r="M32" s="634"/>
      <c r="N32" s="634"/>
      <c r="T32" s="637"/>
      <c r="U32" s="633"/>
    </row>
    <row r="33" spans="3:21">
      <c r="C33" s="636"/>
      <c r="D33" s="635"/>
      <c r="E33" s="635"/>
      <c r="F33" s="635"/>
      <c r="G33" s="635"/>
      <c r="H33" s="635"/>
      <c r="I33" s="635"/>
      <c r="J33" s="635"/>
      <c r="K33" s="634"/>
      <c r="L33" s="638"/>
      <c r="M33" s="634"/>
      <c r="N33" s="634"/>
      <c r="T33" s="637"/>
      <c r="U33" s="633"/>
    </row>
    <row r="34" spans="3:21">
      <c r="C34" s="636"/>
      <c r="D34" s="635"/>
      <c r="E34" s="635"/>
      <c r="F34" s="635"/>
      <c r="G34" s="635"/>
      <c r="H34" s="635"/>
      <c r="I34" s="635"/>
      <c r="J34" s="635"/>
      <c r="K34" s="634"/>
      <c r="L34" s="638"/>
      <c r="M34" s="634"/>
      <c r="N34" s="634"/>
      <c r="T34" s="637"/>
      <c r="U34" s="633"/>
    </row>
    <row r="35" spans="3:21">
      <c r="C35" s="636"/>
      <c r="D35" s="635"/>
      <c r="E35" s="635"/>
      <c r="F35" s="635"/>
      <c r="G35" s="635"/>
      <c r="H35" s="635"/>
      <c r="I35" s="635"/>
      <c r="J35" s="635"/>
      <c r="K35" s="634"/>
      <c r="L35" s="638"/>
      <c r="M35" s="634"/>
      <c r="N35" s="634"/>
      <c r="T35" s="637"/>
      <c r="U35" s="633"/>
    </row>
    <row r="36" spans="3:21">
      <c r="C36" s="636"/>
      <c r="D36" s="635"/>
      <c r="E36" s="635"/>
      <c r="F36" s="635"/>
      <c r="G36" s="635"/>
      <c r="H36" s="635"/>
      <c r="I36" s="635"/>
      <c r="J36" s="635"/>
      <c r="K36" s="634"/>
      <c r="L36" s="638"/>
      <c r="M36" s="634"/>
      <c r="N36" s="634"/>
      <c r="T36" s="637"/>
      <c r="U36" s="633"/>
    </row>
    <row r="37" spans="3:21" ht="18.399999999999999" thickBot="1">
      <c r="C37" s="636"/>
      <c r="D37" s="635"/>
      <c r="E37" s="635"/>
      <c r="F37" s="635"/>
      <c r="G37" s="635"/>
      <c r="H37" s="635"/>
      <c r="I37" s="635"/>
      <c r="J37" s="635"/>
      <c r="K37" s="634"/>
      <c r="L37" s="58"/>
      <c r="M37" s="59"/>
      <c r="N37" s="59"/>
      <c r="O37" s="59"/>
      <c r="P37" s="59"/>
      <c r="Q37" s="59"/>
      <c r="R37" s="59"/>
      <c r="S37" s="59"/>
      <c r="T37" s="61"/>
      <c r="U37" s="633"/>
    </row>
    <row r="38" spans="3:21" ht="18.399999999999999" thickBot="1">
      <c r="C38" s="759" t="s">
        <v>777</v>
      </c>
      <c r="D38" s="760"/>
      <c r="E38" s="761"/>
      <c r="F38" s="762"/>
      <c r="G38" s="761"/>
      <c r="H38" s="761"/>
      <c r="I38" s="761"/>
      <c r="J38" s="762"/>
      <c r="K38" s="762"/>
      <c r="L38" s="759" t="s">
        <v>778</v>
      </c>
      <c r="M38" s="761"/>
      <c r="N38" s="762"/>
      <c r="O38" s="761"/>
      <c r="P38" s="761"/>
      <c r="Q38" s="761"/>
      <c r="R38" s="762"/>
      <c r="S38" s="762"/>
      <c r="T38" s="763"/>
    </row>
    <row r="39" spans="3:21">
      <c r="C39" s="650"/>
      <c r="D39" s="24"/>
      <c r="E39" s="24"/>
      <c r="F39" s="24"/>
      <c r="G39" s="24"/>
      <c r="H39" s="24"/>
      <c r="I39" s="24"/>
      <c r="J39" s="24"/>
      <c r="K39" s="24"/>
      <c r="L39" s="650"/>
      <c r="M39" s="24"/>
      <c r="N39" s="24"/>
      <c r="O39" s="24"/>
      <c r="P39" s="24"/>
      <c r="Q39" s="24"/>
      <c r="R39" s="24"/>
      <c r="S39" s="24"/>
      <c r="T39" s="622"/>
    </row>
    <row r="40" spans="3:21">
      <c r="C40" s="34"/>
      <c r="L40" s="34"/>
      <c r="T40" s="30"/>
    </row>
    <row r="41" spans="3:21">
      <c r="C41" s="34"/>
      <c r="L41" s="34"/>
      <c r="T41" s="30"/>
    </row>
    <row r="42" spans="3:21">
      <c r="C42" s="34"/>
      <c r="L42" s="34"/>
      <c r="T42" s="30"/>
    </row>
    <row r="43" spans="3:21">
      <c r="C43" s="34"/>
      <c r="L43" s="34"/>
      <c r="T43" s="30"/>
    </row>
    <row r="44" spans="3:21">
      <c r="C44" s="34"/>
      <c r="L44" s="34"/>
      <c r="T44" s="30"/>
    </row>
    <row r="45" spans="3:21">
      <c r="C45" s="34"/>
      <c r="L45" s="34"/>
      <c r="T45" s="30"/>
    </row>
    <row r="46" spans="3:21">
      <c r="C46" s="34"/>
      <c r="L46" s="34"/>
      <c r="T46" s="30"/>
    </row>
    <row r="47" spans="3:21">
      <c r="C47" s="34"/>
      <c r="L47" s="34"/>
      <c r="T47" s="30"/>
    </row>
    <row r="48" spans="3:21">
      <c r="C48" s="34"/>
      <c r="L48" s="34"/>
      <c r="T48" s="30"/>
    </row>
    <row r="49" spans="3:20">
      <c r="C49" s="34"/>
      <c r="L49" s="34"/>
      <c r="T49" s="30"/>
    </row>
    <row r="50" spans="3:20">
      <c r="C50" s="34"/>
      <c r="L50" s="34"/>
      <c r="T50" s="30"/>
    </row>
    <row r="51" spans="3:20" ht="18.399999999999999" thickBot="1">
      <c r="C51" s="602"/>
      <c r="D51" s="12"/>
      <c r="E51" s="12"/>
      <c r="F51" s="12"/>
      <c r="G51" s="12"/>
      <c r="H51" s="12"/>
      <c r="I51" s="12"/>
      <c r="J51" s="12"/>
      <c r="K51" s="12"/>
      <c r="L51" s="602"/>
      <c r="M51" s="12"/>
      <c r="N51" s="12"/>
      <c r="O51" s="12"/>
      <c r="P51" s="12"/>
      <c r="Q51" s="12"/>
      <c r="R51" s="12"/>
      <c r="S51" s="12"/>
      <c r="T51" s="57"/>
    </row>
  </sheetData>
  <mergeCells count="3">
    <mergeCell ref="F7:K7"/>
    <mergeCell ref="C8:K14"/>
    <mergeCell ref="L8:T14"/>
  </mergeCells>
  <pageMargins left="0" right="0" top="0" bottom="0" header="0" footer="0"/>
  <pageSetup scale="51" orientation="landscape" horizontalDpi="4294967293" verticalDpi="4294967293"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DE44A-E453-49AE-9B4D-F6F642F56A4F}">
  <sheetPr>
    <tabColor rgb="FF0070C0"/>
  </sheetPr>
  <dimension ref="A1"/>
  <sheetViews>
    <sheetView workbookViewId="0"/>
  </sheetViews>
  <sheetFormatPr defaultRowHeight="14.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E169D-C175-41E4-B966-1586F8C2E04D}">
  <sheetPr codeName="Sheet5"/>
  <dimension ref="A1:AN92"/>
  <sheetViews>
    <sheetView showGridLines="0" workbookViewId="0">
      <pane xSplit="5" ySplit="5" topLeftCell="F6" activePane="bottomRight" state="frozen"/>
      <selection activeCell="Z67" sqref="Z67"/>
      <selection pane="topRight" activeCell="Z67" sqref="Z67"/>
      <selection pane="bottomLeft" activeCell="Z67" sqref="Z67"/>
      <selection pane="bottomRight" activeCell="B1" sqref="B1"/>
    </sheetView>
  </sheetViews>
  <sheetFormatPr defaultColWidth="9.19921875" defaultRowHeight="10.5" outlineLevelRow="1" outlineLevelCol="1"/>
  <cols>
    <col min="1" max="2" width="1.73046875" style="195" customWidth="1"/>
    <col min="3" max="3" width="30.73046875" style="195" customWidth="1"/>
    <col min="4" max="5" width="17.73046875" style="195" hidden="1" customWidth="1" outlineLevel="1"/>
    <col min="6" max="6" width="9.19921875" style="195" customWidth="1" collapsed="1"/>
    <col min="7" max="13" width="9.19921875" style="195"/>
    <col min="14" max="17" width="9.19921875" style="195" customWidth="1" outlineLevel="1"/>
    <col min="18" max="16384" width="9.19921875" style="195"/>
  </cols>
  <sheetData>
    <row r="1" spans="1:40">
      <c r="A1" s="194" t="str">
        <f ca="1">+'One Pager - 1'!$D$2</f>
        <v>Hecla Mining Co</v>
      </c>
    </row>
    <row r="2" spans="1:40">
      <c r="A2" s="306" t="str">
        <f>+Financials!$A$2</f>
        <v>(All Values in US$ millions)</v>
      </c>
      <c r="F2" s="368"/>
      <c r="N2" s="368"/>
      <c r="O2" s="368"/>
      <c r="P2" s="368"/>
      <c r="Q2" s="368"/>
    </row>
    <row r="3" spans="1:40" hidden="1" outlineLevel="1">
      <c r="F3" s="196" t="s">
        <v>138</v>
      </c>
      <c r="G3" s="197" t="s">
        <v>139</v>
      </c>
      <c r="H3" s="197" t="s">
        <v>140</v>
      </c>
      <c r="I3" s="197" t="s">
        <v>141</v>
      </c>
      <c r="J3" s="197" t="s">
        <v>142</v>
      </c>
      <c r="K3" s="197" t="s">
        <v>142</v>
      </c>
      <c r="L3" s="197" t="s">
        <v>143</v>
      </c>
      <c r="M3" s="197"/>
      <c r="N3" s="196" t="s">
        <v>144</v>
      </c>
      <c r="O3" s="196" t="s">
        <v>145</v>
      </c>
      <c r="P3" s="196" t="s">
        <v>146</v>
      </c>
      <c r="Q3" s="196" t="s">
        <v>147</v>
      </c>
      <c r="R3" s="197" t="s">
        <v>148</v>
      </c>
      <c r="S3" s="197" t="s">
        <v>149</v>
      </c>
      <c r="T3" s="197" t="s">
        <v>150</v>
      </c>
      <c r="U3" s="197" t="s">
        <v>151</v>
      </c>
      <c r="V3" s="197" t="s">
        <v>152</v>
      </c>
      <c r="W3" s="198"/>
    </row>
    <row r="4" spans="1:40" collapsed="1">
      <c r="F4" s="199"/>
      <c r="G4" s="200"/>
      <c r="H4" s="200"/>
      <c r="I4" s="200"/>
      <c r="J4" s="200"/>
      <c r="K4" s="200"/>
      <c r="L4" s="200"/>
      <c r="M4" s="200"/>
      <c r="N4" s="199"/>
      <c r="O4" s="199"/>
      <c r="P4" s="199"/>
      <c r="Q4" s="199"/>
      <c r="R4" s="200"/>
      <c r="S4" s="200"/>
      <c r="T4" s="200"/>
      <c r="U4" s="200"/>
      <c r="V4" s="200"/>
      <c r="W4" s="198"/>
    </row>
    <row r="5" spans="1:40">
      <c r="B5" s="201" t="s">
        <v>137</v>
      </c>
      <c r="C5" s="369" t="s">
        <v>73</v>
      </c>
      <c r="D5" s="369" t="s">
        <v>153</v>
      </c>
      <c r="E5" s="369" t="s">
        <v>154</v>
      </c>
      <c r="F5" s="201" t="s">
        <v>155</v>
      </c>
      <c r="G5" s="201" t="s">
        <v>156</v>
      </c>
      <c r="H5" s="201" t="s">
        <v>157</v>
      </c>
      <c r="I5" s="201" t="s">
        <v>306</v>
      </c>
      <c r="J5" s="201" t="s">
        <v>799</v>
      </c>
      <c r="K5" s="201" t="s">
        <v>158</v>
      </c>
      <c r="L5" s="201" t="s">
        <v>307</v>
      </c>
      <c r="M5" s="202" t="s">
        <v>800</v>
      </c>
      <c r="N5" s="201" t="s">
        <v>235</v>
      </c>
      <c r="O5" s="201" t="s">
        <v>297</v>
      </c>
      <c r="P5" s="201" t="s">
        <v>308</v>
      </c>
      <c r="Q5" s="201" t="s">
        <v>635</v>
      </c>
      <c r="R5" s="201" t="s">
        <v>785</v>
      </c>
      <c r="S5" s="201" t="s">
        <v>801</v>
      </c>
      <c r="T5" s="201" t="s">
        <v>802</v>
      </c>
      <c r="U5" s="201" t="s">
        <v>803</v>
      </c>
      <c r="V5" s="201" t="s">
        <v>804</v>
      </c>
      <c r="W5" s="198"/>
    </row>
    <row r="6" spans="1:40">
      <c r="F6" s="203"/>
      <c r="G6" s="203"/>
      <c r="H6" s="203"/>
      <c r="I6" s="203"/>
      <c r="J6" s="203"/>
      <c r="K6" s="203"/>
      <c r="L6" s="203"/>
      <c r="M6" s="203"/>
      <c r="N6" s="203"/>
      <c r="O6" s="203"/>
      <c r="P6" s="203"/>
      <c r="Q6" s="203"/>
      <c r="R6" s="203"/>
      <c r="S6" s="203"/>
      <c r="T6" s="203"/>
      <c r="U6" s="203"/>
      <c r="V6" s="203"/>
      <c r="W6" s="198"/>
    </row>
    <row r="7" spans="1:40">
      <c r="C7" s="204" t="s">
        <v>75</v>
      </c>
      <c r="D7" s="204" t="s">
        <v>159</v>
      </c>
      <c r="E7" s="204" t="s">
        <v>160</v>
      </c>
      <c r="F7" s="551">
        <f>Segment!AA10</f>
        <v>577.77499999999998</v>
      </c>
      <c r="G7" s="551">
        <f>Segment!AB10</f>
        <v>567.13699999999994</v>
      </c>
      <c r="H7" s="551">
        <f>Segment!AC10</f>
        <v>673.26599999999996</v>
      </c>
      <c r="I7" s="551">
        <f>Segment!AD10</f>
        <v>691.87299999999993</v>
      </c>
      <c r="J7" s="551">
        <f>Segment!AE10</f>
        <v>807.47299999999996</v>
      </c>
      <c r="K7" s="205">
        <f>+IFERROR(SUM(R7:U7)," NA")</f>
        <v>783.12000000000012</v>
      </c>
      <c r="L7" s="551">
        <f ca="1">Segment!AF10</f>
        <v>824.43286087268825</v>
      </c>
      <c r="M7" s="551">
        <f ca="1">Segment!AG10</f>
        <v>864.99732002093822</v>
      </c>
      <c r="N7" s="551">
        <f>Segment!N10</f>
        <v>166.35499999999999</v>
      </c>
      <c r="O7" s="551">
        <f>Segment!O10</f>
        <v>199.70299999999997</v>
      </c>
      <c r="P7" s="551">
        <f>Segment!P10</f>
        <v>188.89</v>
      </c>
      <c r="Q7" s="551">
        <f>Segment!Q10</f>
        <v>210.852</v>
      </c>
      <c r="R7" s="551">
        <f>Segment!R10</f>
        <v>217.983</v>
      </c>
      <c r="S7" s="551">
        <f>Segment!S10</f>
        <v>193.56</v>
      </c>
      <c r="T7" s="551">
        <f>Segment!T10</f>
        <v>185.07800000000003</v>
      </c>
      <c r="U7" s="551">
        <f>Segment!U10</f>
        <v>186.499</v>
      </c>
      <c r="V7" s="551">
        <f ca="1">Segment!V10</f>
        <v>223.35683536261519</v>
      </c>
      <c r="AG7" s="779"/>
      <c r="AH7" s="779"/>
      <c r="AI7" s="779"/>
      <c r="AJ7" s="779"/>
      <c r="AK7" s="779"/>
      <c r="AL7" s="779"/>
      <c r="AM7" s="779"/>
      <c r="AN7" s="779"/>
    </row>
    <row r="8" spans="1:40">
      <c r="C8" s="204" t="s">
        <v>161</v>
      </c>
      <c r="D8" s="204" t="s">
        <v>162</v>
      </c>
      <c r="E8" s="204"/>
      <c r="F8" s="551">
        <f>Segment!AA12</f>
        <v>269.86099999999999</v>
      </c>
      <c r="G8" s="551">
        <f>Segment!AB12</f>
        <v>253.0929999999999</v>
      </c>
      <c r="H8" s="551">
        <f>Segment!AC12</f>
        <v>228.25799999999992</v>
      </c>
      <c r="I8" s="551">
        <f>Segment!AD12</f>
        <v>290.98199999999997</v>
      </c>
      <c r="J8" s="551">
        <f ca="1">Segment!AE12</f>
        <v>368.18799999999999</v>
      </c>
      <c r="K8" s="205">
        <f t="shared" ref="K8:K21" ca="1" si="0">+IFERROR(SUM(R8:U8)," NA")</f>
        <v>345.46200000000005</v>
      </c>
      <c r="L8" s="551">
        <f ca="1">Segment!AF12</f>
        <v>414.93386087268823</v>
      </c>
      <c r="M8" s="551">
        <f ca="1">Segment!AG12</f>
        <v>432.79732002093823</v>
      </c>
      <c r="N8" s="551">
        <f>Segment!N12</f>
        <v>73.388999999999996</v>
      </c>
      <c r="O8" s="551">
        <f>Segment!O12</f>
        <v>90.605999999999966</v>
      </c>
      <c r="P8" s="551">
        <f>Segment!P12</f>
        <v>78.326000000000022</v>
      </c>
      <c r="Q8" s="551">
        <f>Segment!Q12</f>
        <v>103.654</v>
      </c>
      <c r="R8" s="551">
        <f>Segment!R12</f>
        <v>103.428</v>
      </c>
      <c r="S8" s="551">
        <f>Segment!S12</f>
        <v>77.113000000000014</v>
      </c>
      <c r="T8" s="551">
        <f ca="1">Segment!T12</f>
        <v>83.993000000000052</v>
      </c>
      <c r="U8" s="551">
        <f ca="1">Segment!U12</f>
        <v>80.927999999999983</v>
      </c>
      <c r="V8" s="551">
        <f ca="1">Segment!V12</f>
        <v>121.65579339853389</v>
      </c>
      <c r="AG8" s="779"/>
      <c r="AH8" s="779"/>
      <c r="AI8" s="779"/>
      <c r="AJ8" s="779"/>
      <c r="AK8" s="779"/>
      <c r="AL8" s="779"/>
      <c r="AM8" s="779"/>
      <c r="AN8" s="779"/>
    </row>
    <row r="9" spans="1:40">
      <c r="C9" s="204" t="s">
        <v>163</v>
      </c>
      <c r="D9" s="204"/>
      <c r="E9" s="204"/>
      <c r="F9" s="551">
        <f>Segment!AA14</f>
        <v>29.279999999999998</v>
      </c>
      <c r="G9" s="551">
        <f>Segment!AB14</f>
        <v>30.263999999999999</v>
      </c>
      <c r="H9" s="551">
        <f>Segment!AC14</f>
        <v>30.164000000000001</v>
      </c>
      <c r="I9" s="551">
        <f>Segment!AD14</f>
        <v>29.103000000000002</v>
      </c>
      <c r="J9" s="551">
        <f>Segment!AE14</f>
        <v>28.488</v>
      </c>
      <c r="K9" s="205">
        <f t="shared" si="0"/>
        <v>28.004000000000001</v>
      </c>
      <c r="L9" s="551">
        <f ca="1">Segment!AF14</f>
        <v>33.539330695636558</v>
      </c>
      <c r="M9" s="551">
        <f ca="1">Segment!AG14</f>
        <v>33.675013399895306</v>
      </c>
      <c r="N9" s="551">
        <f>Segment!N14</f>
        <v>5.7700000000000005</v>
      </c>
      <c r="O9" s="551">
        <f>Segment!O14</f>
        <v>8.911999999999999</v>
      </c>
      <c r="P9" s="551">
        <f>Segment!P14</f>
        <v>6.7009999999999996</v>
      </c>
      <c r="Q9" s="551">
        <f>Segment!Q14</f>
        <v>7.5069999999999997</v>
      </c>
      <c r="R9" s="551">
        <f>Segment!R14</f>
        <v>8.3019999999999996</v>
      </c>
      <c r="S9" s="551">
        <f>Segment!S14</f>
        <v>7.402000000000001</v>
      </c>
      <c r="T9" s="551">
        <f>Segment!T14</f>
        <v>5.2770000000000001</v>
      </c>
      <c r="U9" s="551">
        <f>Segment!U14</f>
        <v>7.0230000000000006</v>
      </c>
      <c r="V9" s="551">
        <f ca="1">Segment!V14</f>
        <v>11.301068625957694</v>
      </c>
      <c r="AG9" s="779"/>
      <c r="AH9" s="779"/>
      <c r="AI9" s="779"/>
      <c r="AJ9" s="779"/>
      <c r="AK9" s="779"/>
      <c r="AL9" s="779"/>
      <c r="AM9" s="779"/>
      <c r="AN9" s="779"/>
    </row>
    <row r="10" spans="1:40">
      <c r="C10" s="204" t="s">
        <v>164</v>
      </c>
      <c r="D10" s="204" t="s">
        <v>165</v>
      </c>
      <c r="E10" s="204" t="s">
        <v>166</v>
      </c>
      <c r="F10" s="551">
        <f>Segment!AA28</f>
        <v>74.648000000000025</v>
      </c>
      <c r="G10" s="551">
        <f>Segment!AB28</f>
        <v>-7.2980000000000871</v>
      </c>
      <c r="H10" s="551">
        <f>Segment!AC28</f>
        <v>-40.54300000000012</v>
      </c>
      <c r="I10" s="551">
        <f>Segment!AD28</f>
        <v>91.86699999999999</v>
      </c>
      <c r="J10" s="551">
        <f ca="1">Segment!AE28</f>
        <v>97.41799999999995</v>
      </c>
      <c r="K10" s="205">
        <f t="shared" ca="1" si="0"/>
        <v>72.391000000000048</v>
      </c>
      <c r="L10" s="551">
        <f ca="1">Segment!AF28</f>
        <v>163.4606256907791</v>
      </c>
      <c r="M10" s="551">
        <f ca="1">Segment!AG28</f>
        <v>175.48930511756862</v>
      </c>
      <c r="N10" s="551">
        <f>Segment!N28</f>
        <v>24.550999999999995</v>
      </c>
      <c r="O10" s="551">
        <f>Segment!O28</f>
        <v>42.389999999999972</v>
      </c>
      <c r="P10" s="551">
        <f>Segment!P28</f>
        <v>27.690000000000019</v>
      </c>
      <c r="Q10" s="551">
        <f>Segment!Q28</f>
        <v>44.812999999999988</v>
      </c>
      <c r="R10" s="551">
        <f>Segment!R28</f>
        <v>31.841999999999999</v>
      </c>
      <c r="S10" s="551">
        <f>Segment!S28</f>
        <v>-1.7339999999999876</v>
      </c>
      <c r="T10" s="551">
        <f ca="1">Segment!T28</f>
        <v>22.49700000000005</v>
      </c>
      <c r="U10" s="551">
        <f ca="1">Segment!U28</f>
        <v>19.78599999999998</v>
      </c>
      <c r="V10" s="551">
        <f ca="1">Segment!V28</f>
        <v>50.624624008835816</v>
      </c>
      <c r="AG10" s="779"/>
      <c r="AH10" s="779"/>
      <c r="AI10" s="779"/>
      <c r="AJ10" s="779"/>
      <c r="AK10" s="779"/>
      <c r="AL10" s="779"/>
      <c r="AM10" s="779"/>
      <c r="AN10" s="779"/>
    </row>
    <row r="11" spans="1:40">
      <c r="C11" s="204" t="s">
        <v>79</v>
      </c>
      <c r="D11" s="204" t="s">
        <v>79</v>
      </c>
      <c r="E11" s="204" t="s">
        <v>167</v>
      </c>
      <c r="F11" s="551">
        <f>Segment!AA20</f>
        <v>202.899</v>
      </c>
      <c r="G11" s="551">
        <f>Segment!AB20</f>
        <v>179.06399999999991</v>
      </c>
      <c r="H11" s="551">
        <f>Segment!AC20</f>
        <v>176.89799999999991</v>
      </c>
      <c r="I11" s="551">
        <f>Segment!AD20</f>
        <v>234.39599999999996</v>
      </c>
      <c r="J11" s="551">
        <f ca="1">Segment!AE20</f>
        <v>271.84999999999997</v>
      </c>
      <c r="K11" s="205">
        <f t="shared" ca="1" si="0"/>
        <v>243.95400000000004</v>
      </c>
      <c r="L11" s="551">
        <f ca="1">Segment!AF20</f>
        <v>320.68530010730842</v>
      </c>
      <c r="M11" s="551">
        <f ca="1">Segment!AG20</f>
        <v>337.7346574933311</v>
      </c>
      <c r="N11" s="551">
        <f>Segment!N20</f>
        <v>62.583999999999996</v>
      </c>
      <c r="O11" s="551">
        <f>Segment!O20</f>
        <v>78.653999999999968</v>
      </c>
      <c r="P11" s="551">
        <f>Segment!P20</f>
        <v>57.884000000000022</v>
      </c>
      <c r="Q11" s="551">
        <f>Segment!Q20</f>
        <v>86.094999999999999</v>
      </c>
      <c r="R11" s="551">
        <f>Segment!R20</f>
        <v>77.795000000000002</v>
      </c>
      <c r="S11" s="551">
        <f>Segment!S20</f>
        <v>49.711000000000013</v>
      </c>
      <c r="T11" s="551">
        <f ca="1">Segment!T20</f>
        <v>58.249000000000052</v>
      </c>
      <c r="U11" s="551">
        <f ca="1">Segment!U20</f>
        <v>58.198999999999984</v>
      </c>
      <c r="V11" s="551">
        <f ca="1">Segment!V20</f>
        <v>95.270746234641166</v>
      </c>
      <c r="AG11" s="779"/>
      <c r="AH11" s="779"/>
      <c r="AI11" s="779"/>
      <c r="AJ11" s="779"/>
      <c r="AK11" s="779"/>
      <c r="AL11" s="779"/>
      <c r="AM11" s="779"/>
      <c r="AN11" s="779"/>
    </row>
    <row r="12" spans="1:40">
      <c r="C12" s="204"/>
      <c r="D12" s="204"/>
      <c r="E12" s="204"/>
      <c r="F12" s="551"/>
      <c r="G12" s="551"/>
      <c r="H12" s="551"/>
      <c r="I12" s="551"/>
      <c r="J12" s="551"/>
      <c r="K12" s="205"/>
      <c r="L12" s="551"/>
      <c r="M12" s="551"/>
      <c r="N12" s="551"/>
      <c r="O12" s="551"/>
      <c r="P12" s="551"/>
      <c r="Q12" s="551"/>
      <c r="R12" s="551"/>
      <c r="S12" s="551"/>
      <c r="T12" s="551"/>
      <c r="U12" s="551"/>
      <c r="V12" s="551"/>
      <c r="AG12" s="779"/>
      <c r="AH12" s="779"/>
      <c r="AI12" s="779"/>
      <c r="AJ12" s="779"/>
      <c r="AK12" s="779"/>
      <c r="AL12" s="779"/>
      <c r="AM12" s="779"/>
      <c r="AN12" s="779"/>
    </row>
    <row r="13" spans="1:40">
      <c r="C13" s="204" t="s">
        <v>168</v>
      </c>
      <c r="D13" s="204" t="s">
        <v>169</v>
      </c>
      <c r="E13" s="204" t="s">
        <v>170</v>
      </c>
      <c r="F13" s="551">
        <f>Financials!AA92</f>
        <v>17.840000000000018</v>
      </c>
      <c r="G13" s="551">
        <f>Financials!AB92</f>
        <v>-42.711999999999975</v>
      </c>
      <c r="H13" s="551">
        <f>Financials!AC92</f>
        <v>-0.55499999999994998</v>
      </c>
      <c r="I13" s="551">
        <f>Financials!AD92</f>
        <v>89.777000000000001</v>
      </c>
      <c r="J13" s="551">
        <f>Financials!AE92</f>
        <v>110.42000000000004</v>
      </c>
      <c r="K13" s="205">
        <f t="shared" si="0"/>
        <v>110.32800000000005</v>
      </c>
      <c r="L13" s="551">
        <f ca="1">Financials!AF92</f>
        <v>113.42982326124138</v>
      </c>
      <c r="M13" s="551">
        <f ca="1">Financials!AG92</f>
        <v>114.40967671768115</v>
      </c>
      <c r="N13" s="551">
        <f>Financials!N92</f>
        <v>26.707000000000004</v>
      </c>
      <c r="O13" s="551">
        <f>Financials!O92</f>
        <v>49.745999999999995</v>
      </c>
      <c r="P13" s="551">
        <f>Financials!P92</f>
        <v>28.267000000000003</v>
      </c>
      <c r="Q13" s="551">
        <f>Financials!Q92</f>
        <v>16.523000000000007</v>
      </c>
      <c r="R13" s="551">
        <f>Financials!R92</f>
        <v>54.40600000000002</v>
      </c>
      <c r="S13" s="551">
        <f>Financials!S92</f>
        <v>15.643000000000008</v>
      </c>
      <c r="T13" s="551">
        <f>Financials!T92</f>
        <v>23.848000000000013</v>
      </c>
      <c r="U13" s="551">
        <f>Financials!U92</f>
        <v>16.430999999999997</v>
      </c>
      <c r="V13" s="551">
        <f ca="1">Financials!V92</f>
        <v>37.312318554874935</v>
      </c>
      <c r="AG13" s="779"/>
      <c r="AH13" s="779"/>
      <c r="AI13" s="779"/>
      <c r="AJ13" s="779"/>
      <c r="AK13" s="779"/>
      <c r="AL13" s="779"/>
      <c r="AM13" s="779"/>
      <c r="AN13" s="779"/>
    </row>
    <row r="14" spans="1:40">
      <c r="C14" s="204"/>
      <c r="D14" s="204"/>
      <c r="E14" s="204"/>
      <c r="F14" s="551"/>
      <c r="G14" s="551"/>
      <c r="H14" s="551"/>
      <c r="I14" s="551"/>
      <c r="J14" s="551"/>
      <c r="K14" s="205"/>
      <c r="L14" s="551"/>
      <c r="M14" s="551"/>
      <c r="N14" s="551"/>
      <c r="O14" s="551"/>
      <c r="P14" s="551"/>
      <c r="Q14" s="551"/>
      <c r="R14" s="551"/>
      <c r="S14" s="551"/>
      <c r="T14" s="551"/>
      <c r="U14" s="551"/>
      <c r="V14" s="551"/>
      <c r="AG14" s="779"/>
      <c r="AH14" s="779"/>
      <c r="AI14" s="779"/>
      <c r="AJ14" s="779"/>
      <c r="AK14" s="779"/>
      <c r="AL14" s="779"/>
      <c r="AM14" s="779"/>
      <c r="AN14" s="779"/>
    </row>
    <row r="15" spans="1:40">
      <c r="C15" s="204" t="s">
        <v>171</v>
      </c>
      <c r="D15" s="204" t="s">
        <v>172</v>
      </c>
      <c r="E15" s="204"/>
      <c r="F15" s="551">
        <f>Segment!AA30</f>
        <v>37.125</v>
      </c>
      <c r="G15" s="551">
        <f>Segment!AB30</f>
        <v>40.944000000000003</v>
      </c>
      <c r="H15" s="551">
        <f>Segment!AC30</f>
        <v>45.591999999999999</v>
      </c>
      <c r="I15" s="551">
        <f>Segment!AD30</f>
        <v>45.000999999999998</v>
      </c>
      <c r="J15" s="551">
        <f>Segment!AE30</f>
        <v>41.945</v>
      </c>
      <c r="K15" s="205">
        <f t="shared" si="0"/>
        <v>41.606999999999999</v>
      </c>
      <c r="L15" s="551">
        <f ca="1">Segment!AF30</f>
        <v>38.120461812500004</v>
      </c>
      <c r="M15" s="551">
        <f ca="1">Segment!AG30</f>
        <v>36.95261575</v>
      </c>
      <c r="N15" s="551">
        <f>Segment!N30</f>
        <v>11.829000000000001</v>
      </c>
      <c r="O15" s="551">
        <f>Segment!O30</f>
        <v>10.779</v>
      </c>
      <c r="P15" s="551">
        <f>Segment!P30</f>
        <v>10.65</v>
      </c>
      <c r="Q15" s="551">
        <f>Segment!Q30</f>
        <v>10.744</v>
      </c>
      <c r="R15" s="551">
        <f>Segment!R30</f>
        <v>10.271000000000001</v>
      </c>
      <c r="S15" s="551">
        <f>Segment!S30</f>
        <v>10.468999999999999</v>
      </c>
      <c r="T15" s="551">
        <f>Segment!T30</f>
        <v>10.461</v>
      </c>
      <c r="U15" s="551">
        <f>Segment!U30</f>
        <v>10.406000000000001</v>
      </c>
      <c r="V15" s="551">
        <f ca="1">Segment!V30</f>
        <v>9.2381539374999999</v>
      </c>
      <c r="AG15" s="779"/>
      <c r="AH15" s="779"/>
      <c r="AI15" s="779"/>
      <c r="AJ15" s="779"/>
      <c r="AK15" s="779"/>
      <c r="AL15" s="779"/>
      <c r="AM15" s="779"/>
      <c r="AN15" s="779"/>
    </row>
    <row r="16" spans="1:40">
      <c r="C16" s="204" t="s">
        <v>173</v>
      </c>
      <c r="D16" s="204"/>
      <c r="E16" s="204"/>
      <c r="F16" s="551">
        <f>Segment!AA35</f>
        <v>5.0280000000000005</v>
      </c>
      <c r="G16" s="551">
        <f>Segment!AB35</f>
        <v>-6.0889999999999995</v>
      </c>
      <c r="H16" s="551">
        <f>Segment!AC35</f>
        <v>-24.573</v>
      </c>
      <c r="I16" s="551">
        <f>Segment!AD35</f>
        <v>8.1989999999999998</v>
      </c>
      <c r="J16" s="551">
        <f>Segment!AE35</f>
        <v>-32.451000000000001</v>
      </c>
      <c r="K16" s="205">
        <f t="shared" si="0"/>
        <v>-28.680999999999997</v>
      </c>
      <c r="L16" s="551">
        <f ca="1">Segment!AF35</f>
        <v>31.111116390430503</v>
      </c>
      <c r="M16" s="551">
        <f ca="1">Segment!AG35</f>
        <v>28.184457581167422</v>
      </c>
      <c r="N16" s="551">
        <f>Segment!N35</f>
        <v>2.6459999999999999</v>
      </c>
      <c r="O16" s="551">
        <f>Segment!O35</f>
        <v>5.181</v>
      </c>
      <c r="P16" s="551">
        <f>Segment!P35</f>
        <v>0.77700000000000014</v>
      </c>
      <c r="Q16" s="551">
        <f>Segment!Q35</f>
        <v>1.8610000000000002</v>
      </c>
      <c r="R16" s="551">
        <f>Segment!R35</f>
        <v>-4.1340000000000003</v>
      </c>
      <c r="S16" s="551">
        <f>Segment!S35</f>
        <v>-4.5330000000000004</v>
      </c>
      <c r="T16" s="551">
        <f>Segment!T35</f>
        <v>-25.645</v>
      </c>
      <c r="U16" s="551">
        <f>Segment!U35</f>
        <v>5.6310000000000002</v>
      </c>
      <c r="V16" s="551">
        <f ca="1">Segment!V35</f>
        <v>9.0862688954880859</v>
      </c>
      <c r="AG16" s="779"/>
      <c r="AH16" s="779"/>
      <c r="AI16" s="779"/>
      <c r="AJ16" s="779"/>
      <c r="AK16" s="779"/>
      <c r="AL16" s="779"/>
      <c r="AM16" s="779"/>
      <c r="AN16" s="779"/>
    </row>
    <row r="17" spans="3:40">
      <c r="C17" s="204" t="s">
        <v>174</v>
      </c>
      <c r="D17" s="204" t="s">
        <v>175</v>
      </c>
      <c r="E17" s="204" t="s">
        <v>176</v>
      </c>
      <c r="F17" s="551">
        <f>-Financials!AA213</f>
        <v>98.037999999999997</v>
      </c>
      <c r="G17" s="551">
        <f>-Financials!AB213</f>
        <v>136.93299999999999</v>
      </c>
      <c r="H17" s="551">
        <f>-Financials!AC213</f>
        <v>121.42100000000001</v>
      </c>
      <c r="I17" s="551">
        <f>-Financials!AD213</f>
        <v>91.016000000000005</v>
      </c>
      <c r="J17" s="551">
        <f>-Financials!AE213</f>
        <v>109.917</v>
      </c>
      <c r="K17" s="205">
        <f t="shared" si="0"/>
        <v>109.982</v>
      </c>
      <c r="L17" s="551">
        <f ca="1">-Financials!AF213</f>
        <v>135.1807655143345</v>
      </c>
      <c r="M17" s="551">
        <f ca="1">-Financials!AG213</f>
        <v>134.39989280083753</v>
      </c>
      <c r="N17" s="551">
        <f>-Financials!N213</f>
        <v>10.818999999999999</v>
      </c>
      <c r="O17" s="551">
        <f>-Financials!O213</f>
        <v>23.692999999999998</v>
      </c>
      <c r="P17" s="551">
        <f>-Financials!P213</f>
        <v>36.634000000000007</v>
      </c>
      <c r="Q17" s="551">
        <f>-Financials!Q213</f>
        <v>21.413</v>
      </c>
      <c r="R17" s="551">
        <f>-Financials!R213</f>
        <v>31.898</v>
      </c>
      <c r="S17" s="551">
        <f>-Financials!S213</f>
        <v>27.098999999999997</v>
      </c>
      <c r="T17" s="551">
        <f>-Financials!T213</f>
        <v>29.507000000000005</v>
      </c>
      <c r="U17" s="551">
        <f>-Financials!U213</f>
        <v>21.478000000000002</v>
      </c>
      <c r="V17" s="551">
        <f ca="1">-Financials!V213</f>
        <v>37.913911032813431</v>
      </c>
      <c r="AG17" s="779"/>
      <c r="AH17" s="779"/>
      <c r="AI17" s="779"/>
      <c r="AJ17" s="779"/>
      <c r="AK17" s="779"/>
      <c r="AL17" s="779"/>
      <c r="AM17" s="779"/>
      <c r="AN17" s="779"/>
    </row>
    <row r="18" spans="3:40">
      <c r="C18" s="204" t="s">
        <v>177</v>
      </c>
      <c r="D18" s="204" t="s">
        <v>178</v>
      </c>
      <c r="E18" s="204"/>
      <c r="F18" s="551">
        <f>-Financials!AA222</f>
        <v>3.976</v>
      </c>
      <c r="G18" s="551">
        <f>-Financials!AB222</f>
        <v>4.3929999999999998</v>
      </c>
      <c r="H18" s="551">
        <f>-Financials!AC222</f>
        <v>4.9139999999999997</v>
      </c>
      <c r="I18" s="551">
        <f>-Financials!AD222</f>
        <v>8.6</v>
      </c>
      <c r="J18" s="551">
        <f>-Financials!AE222</f>
        <v>20.672000000000001</v>
      </c>
      <c r="K18" s="205">
        <f t="shared" si="0"/>
        <v>19.493000000000002</v>
      </c>
      <c r="L18" s="551">
        <f>-Financials!AF222</f>
        <v>14.036</v>
      </c>
      <c r="M18" s="551">
        <f>-Financials!AG222</f>
        <v>14.036</v>
      </c>
      <c r="N18" s="551">
        <f>-Financials!N222</f>
        <v>1.3179999999999998</v>
      </c>
      <c r="O18" s="551">
        <f>-Financials!O222</f>
        <v>1.3290000000000002</v>
      </c>
      <c r="P18" s="551">
        <f>-Financials!P222</f>
        <v>4.6489999999999991</v>
      </c>
      <c r="Q18" s="551">
        <f>-Financials!Q222</f>
        <v>4.6879999999999997</v>
      </c>
      <c r="R18" s="551">
        <f>-Financials!R222</f>
        <v>6.0270000000000001</v>
      </c>
      <c r="S18" s="551">
        <f>-Financials!S222</f>
        <v>6.0399999999999991</v>
      </c>
      <c r="T18" s="551">
        <f>-Financials!T222</f>
        <v>3.9170000000000016</v>
      </c>
      <c r="U18" s="551">
        <f>-Financials!U222</f>
        <v>3.5089999999999999</v>
      </c>
      <c r="V18" s="551">
        <f>-Financials!V222</f>
        <v>3.5089999999999999</v>
      </c>
      <c r="AG18" s="779"/>
      <c r="AH18" s="779"/>
      <c r="AI18" s="779"/>
      <c r="AJ18" s="779"/>
      <c r="AK18" s="779"/>
      <c r="AL18" s="779"/>
      <c r="AM18" s="779"/>
      <c r="AN18" s="779"/>
    </row>
    <row r="19" spans="3:40">
      <c r="C19" s="204" t="s">
        <v>179</v>
      </c>
      <c r="D19" s="204" t="s">
        <v>180</v>
      </c>
      <c r="E19" s="204"/>
      <c r="F19" s="551">
        <f>-Financials!AA226</f>
        <v>2.8679999999999999</v>
      </c>
      <c r="G19" s="551">
        <f>-Financials!AB226</f>
        <v>2.694</v>
      </c>
      <c r="H19" s="551">
        <f>-Financials!AC226</f>
        <v>2.2309999999999999</v>
      </c>
      <c r="I19" s="551">
        <f>-Financials!AD226</f>
        <v>2.7450000000000001</v>
      </c>
      <c r="J19" s="551">
        <f>-Financials!AE226</f>
        <v>4.5250000000000004</v>
      </c>
      <c r="K19" s="205">
        <f t="shared" si="0"/>
        <v>6.4460000000000006</v>
      </c>
      <c r="L19" s="551">
        <f>-Financials!AF226</f>
        <v>1.921</v>
      </c>
      <c r="M19" s="551">
        <f>-Financials!AG226</f>
        <v>0</v>
      </c>
      <c r="N19" s="551">
        <f>-Financials!N226</f>
        <v>2.7450000000000001</v>
      </c>
      <c r="O19" s="551">
        <f>-Financials!O226</f>
        <v>0</v>
      </c>
      <c r="P19" s="551">
        <f>-Financials!P226</f>
        <v>0</v>
      </c>
      <c r="Q19" s="551">
        <f>-Financials!Q226</f>
        <v>0</v>
      </c>
      <c r="R19" s="551">
        <f>-Financials!R226</f>
        <v>4.5250000000000004</v>
      </c>
      <c r="S19" s="551">
        <f>-Financials!S226</f>
        <v>0</v>
      </c>
      <c r="T19" s="551">
        <f>-Financials!T226</f>
        <v>0</v>
      </c>
      <c r="U19" s="551">
        <f>-Financials!U226</f>
        <v>1.921</v>
      </c>
      <c r="V19" s="551">
        <f>-Financials!V226</f>
        <v>0</v>
      </c>
      <c r="AG19" s="779"/>
      <c r="AH19" s="779"/>
      <c r="AI19" s="779"/>
      <c r="AJ19" s="779"/>
      <c r="AK19" s="779"/>
      <c r="AL19" s="779"/>
      <c r="AM19" s="779"/>
      <c r="AN19" s="779"/>
    </row>
    <row r="20" spans="3:40">
      <c r="C20" s="204" t="s">
        <v>181</v>
      </c>
      <c r="D20" s="204"/>
      <c r="E20" s="204"/>
      <c r="F20" s="551">
        <f>-Financials!AA225</f>
        <v>0.47</v>
      </c>
      <c r="G20" s="551">
        <f>-Financials!AB225</f>
        <v>106.036</v>
      </c>
      <c r="H20" s="551">
        <f>-Financials!AC225</f>
        <v>279.5</v>
      </c>
      <c r="I20" s="551">
        <f>-Financials!AD225</f>
        <v>716.5</v>
      </c>
      <c r="J20" s="551">
        <f>-Financials!AE225</f>
        <v>0</v>
      </c>
      <c r="K20" s="205">
        <f t="shared" si="0"/>
        <v>0</v>
      </c>
      <c r="L20" s="551">
        <f ca="1">-Financials!AF225</f>
        <v>0</v>
      </c>
      <c r="M20" s="551">
        <f ca="1">-Financials!AG225</f>
        <v>0</v>
      </c>
      <c r="N20" s="551">
        <f>-Financials!N225</f>
        <v>160</v>
      </c>
      <c r="O20" s="551">
        <f>-Financials!O225</f>
        <v>50</v>
      </c>
      <c r="P20" s="551">
        <f>-Financials!P225</f>
        <v>0</v>
      </c>
      <c r="Q20" s="551">
        <f>-Financials!Q225</f>
        <v>0</v>
      </c>
      <c r="R20" s="551">
        <f>-Financials!R225</f>
        <v>0</v>
      </c>
      <c r="S20" s="551">
        <f>-Financials!S225</f>
        <v>0</v>
      </c>
      <c r="T20" s="551">
        <f>-Financials!T225</f>
        <v>0</v>
      </c>
      <c r="U20" s="551">
        <f>-Financials!U225</f>
        <v>0</v>
      </c>
      <c r="V20" s="551">
        <f ca="1">-Financials!V225</f>
        <v>0</v>
      </c>
      <c r="AG20" s="779"/>
      <c r="AH20" s="779"/>
      <c r="AI20" s="779"/>
      <c r="AJ20" s="779"/>
      <c r="AK20" s="779"/>
      <c r="AL20" s="779"/>
      <c r="AM20" s="779"/>
      <c r="AN20" s="779"/>
    </row>
    <row r="21" spans="3:40">
      <c r="C21" s="204" t="s">
        <v>182</v>
      </c>
      <c r="D21" s="204"/>
      <c r="E21" s="204"/>
      <c r="F21" s="549">
        <f>SUM(F15:F20)</f>
        <v>147.505</v>
      </c>
      <c r="G21" s="549">
        <f t="shared" ref="G21:J21" si="1">SUM(G15:G20)</f>
        <v>284.911</v>
      </c>
      <c r="H21" s="549">
        <f t="shared" si="1"/>
        <v>429.08499999999998</v>
      </c>
      <c r="I21" s="549">
        <f t="shared" si="1"/>
        <v>872.06100000000004</v>
      </c>
      <c r="J21" s="549">
        <f t="shared" si="1"/>
        <v>144.608</v>
      </c>
      <c r="K21" s="549">
        <f t="shared" si="0"/>
        <v>148.84700000000001</v>
      </c>
      <c r="L21" s="549">
        <f t="shared" ref="L21:N21" ca="1" si="2">SUM(L15:L20)</f>
        <v>220.369343717265</v>
      </c>
      <c r="M21" s="549">
        <f t="shared" ref="M21" ca="1" si="3">SUM(M15:M20)</f>
        <v>213.57296613200495</v>
      </c>
      <c r="N21" s="549">
        <f t="shared" si="2"/>
        <v>189.357</v>
      </c>
      <c r="O21" s="549">
        <f t="shared" ref="O21:V21" si="4">SUM(O15:O20)</f>
        <v>90.981999999999999</v>
      </c>
      <c r="P21" s="549">
        <f t="shared" si="4"/>
        <v>52.710000000000008</v>
      </c>
      <c r="Q21" s="549">
        <f t="shared" si="4"/>
        <v>38.706000000000003</v>
      </c>
      <c r="R21" s="549">
        <f t="shared" si="4"/>
        <v>48.586999999999996</v>
      </c>
      <c r="S21" s="549">
        <f t="shared" si="4"/>
        <v>39.074999999999996</v>
      </c>
      <c r="T21" s="549">
        <f t="shared" si="4"/>
        <v>18.240000000000009</v>
      </c>
      <c r="U21" s="549">
        <f t="shared" si="4"/>
        <v>42.945</v>
      </c>
      <c r="V21" s="549">
        <f t="shared" ca="1" si="4"/>
        <v>59.747333865801515</v>
      </c>
      <c r="AG21" s="779"/>
      <c r="AH21" s="779"/>
      <c r="AI21" s="779"/>
      <c r="AJ21" s="779"/>
      <c r="AK21" s="779"/>
      <c r="AL21" s="779"/>
      <c r="AM21" s="779"/>
      <c r="AN21" s="779"/>
    </row>
    <row r="22" spans="3:40">
      <c r="C22" s="204"/>
      <c r="D22" s="204"/>
      <c r="E22" s="204"/>
      <c r="F22" s="550"/>
      <c r="G22" s="550"/>
      <c r="H22" s="550"/>
      <c r="I22" s="550"/>
      <c r="J22" s="550"/>
      <c r="K22" s="205"/>
      <c r="L22" s="550"/>
      <c r="M22" s="550"/>
      <c r="N22" s="550"/>
      <c r="O22" s="550"/>
      <c r="P22" s="550"/>
      <c r="Q22" s="550"/>
      <c r="R22" s="550"/>
      <c r="S22" s="550"/>
      <c r="T22" s="550"/>
      <c r="U22" s="550"/>
      <c r="V22" s="550"/>
      <c r="AG22" s="779"/>
      <c r="AH22" s="779"/>
      <c r="AI22" s="779"/>
      <c r="AJ22" s="779"/>
      <c r="AK22" s="779"/>
      <c r="AL22" s="779"/>
      <c r="AM22" s="779"/>
      <c r="AN22" s="779"/>
    </row>
    <row r="23" spans="3:40">
      <c r="C23" s="204" t="s">
        <v>63</v>
      </c>
      <c r="D23" s="204" t="s">
        <v>183</v>
      </c>
      <c r="E23" s="204"/>
      <c r="F23" s="551">
        <f>Financials!AA142</f>
        <v>502.22899999999998</v>
      </c>
      <c r="G23" s="551">
        <f>Financials!AB142</f>
        <v>532.79899999999998</v>
      </c>
      <c r="H23" s="551">
        <f>Financials!AC142</f>
        <v>504.72899999999998</v>
      </c>
      <c r="I23" s="551">
        <f>Financials!AD142</f>
        <v>507.24200000000002</v>
      </c>
      <c r="J23" s="551">
        <f>Financials!AE142</f>
        <v>508.09500000000003</v>
      </c>
      <c r="K23" s="205">
        <f>+U23</f>
        <v>508.85199999999998</v>
      </c>
      <c r="L23" s="551">
        <f ca="1">Financials!AF142</f>
        <v>509.60247368421057</v>
      </c>
      <c r="M23" s="551">
        <f ca="1">Financials!AG142</f>
        <v>510.60310526315789</v>
      </c>
      <c r="N23" s="551">
        <f>Financials!N142</f>
        <v>518.25199999999995</v>
      </c>
      <c r="O23" s="551">
        <f>Financials!O142</f>
        <v>495.839</v>
      </c>
      <c r="P23" s="551">
        <f>Financials!P142</f>
        <v>507.24200000000002</v>
      </c>
      <c r="Q23" s="551">
        <f>Financials!Q142</f>
        <v>507.99200000000002</v>
      </c>
      <c r="R23" s="551">
        <f>Financials!R142</f>
        <v>508.61099999999999</v>
      </c>
      <c r="S23" s="551">
        <f>Financials!S142</f>
        <v>507.71199999999999</v>
      </c>
      <c r="T23" s="551">
        <f>Financials!T142</f>
        <v>508.09500000000003</v>
      </c>
      <c r="U23" s="551">
        <f>Financials!U142</f>
        <v>508.85199999999998</v>
      </c>
      <c r="V23" s="551">
        <f ca="1">Financials!V142</f>
        <v>509.10215789473688</v>
      </c>
      <c r="AG23" s="779"/>
      <c r="AH23" s="779"/>
      <c r="AI23" s="779"/>
      <c r="AJ23" s="779"/>
      <c r="AK23" s="779"/>
      <c r="AL23" s="779"/>
      <c r="AM23" s="779"/>
      <c r="AN23" s="779"/>
    </row>
    <row r="24" spans="3:40">
      <c r="C24" s="204" t="s">
        <v>68</v>
      </c>
      <c r="D24" s="204" t="s">
        <v>184</v>
      </c>
      <c r="E24" s="204" t="s">
        <v>185</v>
      </c>
      <c r="F24" s="205">
        <f>+F23-F26</f>
        <v>316.12199999999996</v>
      </c>
      <c r="G24" s="205">
        <f t="shared" ref="G24:J24" si="5">+G23-G26</f>
        <v>505.40999999999997</v>
      </c>
      <c r="H24" s="205">
        <f t="shared" si="5"/>
        <v>442.27699999999999</v>
      </c>
      <c r="I24" s="205">
        <f t="shared" si="5"/>
        <v>377.41200000000003</v>
      </c>
      <c r="J24" s="205">
        <f t="shared" si="5"/>
        <v>298.08500000000004</v>
      </c>
      <c r="K24" s="205">
        <f t="shared" ref="K24:K31" si="6">+U24</f>
        <v>296.82299999999998</v>
      </c>
      <c r="L24" s="205">
        <f t="shared" ref="L24:N24" ca="1" si="7">+L23-L26</f>
        <v>211.51565042296897</v>
      </c>
      <c r="M24" s="205">
        <f t="shared" ref="M24" ca="1" si="8">+M23-M26</f>
        <v>112.69460528423519</v>
      </c>
      <c r="N24" s="205">
        <f t="shared" si="7"/>
        <v>442.32899999999995</v>
      </c>
      <c r="O24" s="205">
        <f t="shared" ref="O24:V24" si="9">+O23-O26</f>
        <v>397.17</v>
      </c>
      <c r="P24" s="205">
        <f t="shared" si="9"/>
        <v>377.41200000000003</v>
      </c>
      <c r="Q24" s="205">
        <f t="shared" si="9"/>
        <v>368.24200000000002</v>
      </c>
      <c r="R24" s="205">
        <f t="shared" si="9"/>
        <v>327.11699999999996</v>
      </c>
      <c r="S24" s="205">
        <f t="shared" si="9"/>
        <v>316.80799999999999</v>
      </c>
      <c r="T24" s="205">
        <f t="shared" si="9"/>
        <v>298.08500000000004</v>
      </c>
      <c r="U24" s="205">
        <f t="shared" si="9"/>
        <v>296.82299999999998</v>
      </c>
      <c r="V24" s="205">
        <f t="shared" ca="1" si="9"/>
        <v>263.40783933986165</v>
      </c>
      <c r="AG24" s="779"/>
      <c r="AH24" s="779"/>
      <c r="AI24" s="779"/>
      <c r="AJ24" s="779"/>
      <c r="AK24" s="779"/>
      <c r="AL24" s="779"/>
      <c r="AM24" s="779"/>
      <c r="AN24" s="779"/>
    </row>
    <row r="25" spans="3:40">
      <c r="C25" s="204" t="s">
        <v>186</v>
      </c>
      <c r="D25" s="204" t="s">
        <v>187</v>
      </c>
      <c r="E25" s="204"/>
      <c r="F25" s="551">
        <f>Financials!AA154</f>
        <v>1461.277</v>
      </c>
      <c r="G25" s="551">
        <f>Financials!AB154</f>
        <v>1690.9629999999997</v>
      </c>
      <c r="H25" s="551">
        <f>Financials!AC154</f>
        <v>1692.4229999999995</v>
      </c>
      <c r="I25" s="551">
        <f>Financials!AD154</f>
        <v>1702.3399999999995</v>
      </c>
      <c r="J25" s="551">
        <f>Financials!AE154</f>
        <v>1760.7869999999991</v>
      </c>
      <c r="K25" s="205">
        <f t="shared" si="6"/>
        <v>1728.5429999999992</v>
      </c>
      <c r="L25" s="551">
        <f ca="1">Financials!AF154</f>
        <v>1816.6454404874107</v>
      </c>
      <c r="M25" s="551">
        <f ca="1">Financials!AG154</f>
        <v>1912.4096722738125</v>
      </c>
      <c r="N25" s="551">
        <f>Financials!N154</f>
        <v>1658.6929999999995</v>
      </c>
      <c r="O25" s="551">
        <f>Financials!O154</f>
        <v>1693.6479999999992</v>
      </c>
      <c r="P25" s="551">
        <f>Financials!P154</f>
        <v>1702.3399999999995</v>
      </c>
      <c r="Q25" s="551">
        <f>Financials!Q154</f>
        <v>1724.8749999999991</v>
      </c>
      <c r="R25" s="551">
        <f>Financials!R154</f>
        <v>1720.6819999999991</v>
      </c>
      <c r="S25" s="551">
        <f>Financials!S154</f>
        <v>1742.9749999999992</v>
      </c>
      <c r="T25" s="551">
        <f>Financials!T154</f>
        <v>1760.7869999999991</v>
      </c>
      <c r="U25" s="551">
        <f>Financials!U154</f>
        <v>1728.5429999999992</v>
      </c>
      <c r="V25" s="551">
        <f ca="1">Financials!V154</f>
        <v>1760.194462402696</v>
      </c>
      <c r="AG25" s="779"/>
      <c r="AH25" s="779"/>
      <c r="AI25" s="779"/>
      <c r="AJ25" s="779"/>
      <c r="AK25" s="779"/>
      <c r="AL25" s="779"/>
      <c r="AM25" s="779"/>
      <c r="AN25" s="779"/>
    </row>
    <row r="26" spans="3:40">
      <c r="C26" s="204" t="s">
        <v>188</v>
      </c>
      <c r="D26" s="204" t="s">
        <v>189</v>
      </c>
      <c r="E26" s="204"/>
      <c r="F26" s="551">
        <f>Financials!AA96</f>
        <v>186.107</v>
      </c>
      <c r="G26" s="551">
        <f>Financials!AB96</f>
        <v>27.388999999999999</v>
      </c>
      <c r="H26" s="551">
        <f>Financials!AC96</f>
        <v>62.451999999999998</v>
      </c>
      <c r="I26" s="551">
        <f>Financials!AD96</f>
        <v>129.83000000000001</v>
      </c>
      <c r="J26" s="551">
        <f>Financials!AE96</f>
        <v>210.01</v>
      </c>
      <c r="K26" s="205">
        <f t="shared" si="6"/>
        <v>212.029</v>
      </c>
      <c r="L26" s="551">
        <f ca="1">Financials!AF96</f>
        <v>298.08682326124159</v>
      </c>
      <c r="M26" s="551">
        <f ca="1">Financials!AG96</f>
        <v>397.90849997892269</v>
      </c>
      <c r="N26" s="551">
        <f>Financials!N96</f>
        <v>75.923000000000002</v>
      </c>
      <c r="O26" s="551">
        <f>Financials!O96</f>
        <v>98.668999999999997</v>
      </c>
      <c r="P26" s="551">
        <f>Financials!P96</f>
        <v>129.83000000000001</v>
      </c>
      <c r="Q26" s="551">
        <f>Financials!Q96</f>
        <v>139.75</v>
      </c>
      <c r="R26" s="551">
        <f>Financials!R96</f>
        <v>181.494</v>
      </c>
      <c r="S26" s="551">
        <f>Financials!S96</f>
        <v>190.904</v>
      </c>
      <c r="T26" s="551">
        <f>Financials!T96</f>
        <v>210.01</v>
      </c>
      <c r="U26" s="551">
        <f>Financials!U96</f>
        <v>212.029</v>
      </c>
      <c r="V26" s="551">
        <f ca="1">Financials!V96</f>
        <v>245.6943185548752</v>
      </c>
      <c r="AG26" s="779"/>
      <c r="AH26" s="779"/>
      <c r="AI26" s="779"/>
      <c r="AJ26" s="779"/>
      <c r="AK26" s="779"/>
      <c r="AL26" s="779"/>
      <c r="AM26" s="779"/>
      <c r="AN26" s="779"/>
    </row>
    <row r="27" spans="3:40">
      <c r="C27" s="204" t="s">
        <v>190</v>
      </c>
      <c r="D27" s="204" t="s">
        <v>191</v>
      </c>
      <c r="E27" s="204"/>
      <c r="F27" s="551">
        <f>Financials!AA119</f>
        <v>2345.1579999999999</v>
      </c>
      <c r="G27" s="551">
        <f>Financials!AB119</f>
        <v>2703.9439999999995</v>
      </c>
      <c r="H27" s="551">
        <f>Financials!AC119</f>
        <v>2637.308</v>
      </c>
      <c r="I27" s="551">
        <f>Financials!AD119</f>
        <v>2667.7240000000002</v>
      </c>
      <c r="J27" s="551">
        <f>Financials!AE119</f>
        <v>2728.808</v>
      </c>
      <c r="K27" s="205">
        <f t="shared" si="6"/>
        <v>2738.8990000000003</v>
      </c>
      <c r="L27" s="551">
        <f ca="1">Financials!AF119</f>
        <v>2829.7895453842298</v>
      </c>
      <c r="M27" s="551">
        <f ca="1">Financials!AG119</f>
        <v>2909.5113627376863</v>
      </c>
      <c r="N27" s="551">
        <f>Financials!N119</f>
        <v>2603.4079999999999</v>
      </c>
      <c r="O27" s="551">
        <f>Financials!O119</f>
        <v>2615.15</v>
      </c>
      <c r="P27" s="551">
        <f>Financials!P119</f>
        <v>2667.7240000000002</v>
      </c>
      <c r="Q27" s="551">
        <f>Financials!Q119</f>
        <v>2655.0769999999998</v>
      </c>
      <c r="R27" s="551">
        <f>Financials!R119</f>
        <v>2671.2379999999998</v>
      </c>
      <c r="S27" s="551">
        <f>Financials!S119</f>
        <v>2674.4170000000004</v>
      </c>
      <c r="T27" s="551">
        <f>Financials!T119</f>
        <v>2728.808</v>
      </c>
      <c r="U27" s="551">
        <f>Financials!U119</f>
        <v>2738.8990000000003</v>
      </c>
      <c r="V27" s="551">
        <f ca="1">Financials!V119</f>
        <v>2771.0713923382291</v>
      </c>
      <c r="AG27" s="779"/>
      <c r="AH27" s="779"/>
      <c r="AI27" s="779"/>
      <c r="AJ27" s="779"/>
      <c r="AK27" s="779"/>
      <c r="AL27" s="779"/>
      <c r="AM27" s="779"/>
      <c r="AN27" s="779"/>
    </row>
    <row r="28" spans="3:40">
      <c r="C28" s="204"/>
      <c r="D28" s="204"/>
      <c r="E28" s="204"/>
      <c r="F28" s="551"/>
      <c r="G28" s="551"/>
      <c r="H28" s="551"/>
      <c r="I28" s="551"/>
      <c r="J28" s="551"/>
      <c r="K28" s="205"/>
      <c r="L28" s="551"/>
      <c r="M28" s="551"/>
      <c r="N28" s="551"/>
      <c r="O28" s="551"/>
      <c r="P28" s="551"/>
      <c r="Q28" s="551"/>
      <c r="R28" s="551"/>
      <c r="S28" s="551"/>
      <c r="T28" s="551"/>
      <c r="U28" s="551"/>
      <c r="V28" s="551"/>
      <c r="AG28" s="779"/>
      <c r="AH28" s="779"/>
      <c r="AI28" s="779"/>
      <c r="AJ28" s="779"/>
      <c r="AK28" s="779"/>
      <c r="AL28" s="779"/>
      <c r="AM28" s="779"/>
      <c r="AN28" s="779"/>
    </row>
    <row r="29" spans="3:40">
      <c r="C29" s="204" t="s">
        <v>192</v>
      </c>
      <c r="D29" s="204"/>
      <c r="E29" s="204"/>
      <c r="F29" s="551">
        <f>Financials!AA98</f>
        <v>32.19</v>
      </c>
      <c r="G29" s="551">
        <f>Financials!AB98</f>
        <v>25.817999999999998</v>
      </c>
      <c r="H29" s="551">
        <f>Financials!AC98</f>
        <v>38.420999999999999</v>
      </c>
      <c r="I29" s="551">
        <f>Financials!AD98</f>
        <v>39.192999999999998</v>
      </c>
      <c r="J29" s="551">
        <f>Financials!AE98</f>
        <v>44.585999999999999</v>
      </c>
      <c r="K29" s="205">
        <f t="shared" si="6"/>
        <v>41.91</v>
      </c>
      <c r="L29" s="551">
        <f ca="1">Financials!AF98</f>
        <v>40.656963001940788</v>
      </c>
      <c r="M29" s="551">
        <f ca="1">Financials!AG98</f>
        <v>37.91769074064387</v>
      </c>
      <c r="N29" s="551">
        <f>Financials!N98</f>
        <v>41.701000000000001</v>
      </c>
      <c r="O29" s="551">
        <f>Financials!O98</f>
        <v>41.449000000000005</v>
      </c>
      <c r="P29" s="551">
        <f>Financials!P98</f>
        <v>39.192999999999998</v>
      </c>
      <c r="Q29" s="551">
        <f>Financials!Q98</f>
        <v>43.749000000000002</v>
      </c>
      <c r="R29" s="551">
        <f>Financials!R98</f>
        <v>50.644999999999996</v>
      </c>
      <c r="S29" s="551">
        <f>Financials!S98</f>
        <v>42.972999999999999</v>
      </c>
      <c r="T29" s="551">
        <f>Financials!T98</f>
        <v>44.585999999999999</v>
      </c>
      <c r="U29" s="551">
        <f>Financials!U98</f>
        <v>41.91</v>
      </c>
      <c r="V29" s="551">
        <f ca="1">Financials!V98</f>
        <v>41.0448845805197</v>
      </c>
      <c r="AG29" s="779"/>
      <c r="AH29" s="779"/>
      <c r="AI29" s="779"/>
      <c r="AJ29" s="779"/>
      <c r="AK29" s="779"/>
      <c r="AL29" s="779"/>
      <c r="AM29" s="779"/>
      <c r="AN29" s="779"/>
    </row>
    <row r="30" spans="3:40">
      <c r="C30" s="204" t="s">
        <v>193</v>
      </c>
      <c r="D30" s="204"/>
      <c r="E30" s="204"/>
      <c r="F30" s="551">
        <f>Financials!AA102</f>
        <v>55.466000000000001</v>
      </c>
      <c r="G30" s="551">
        <f>Financials!AB102</f>
        <v>87.532999999999987</v>
      </c>
      <c r="H30" s="551">
        <f>Financials!AC102</f>
        <v>66.212999999999994</v>
      </c>
      <c r="I30" s="551">
        <f>Financials!AD102</f>
        <v>96.543999999999997</v>
      </c>
      <c r="J30" s="551">
        <f>Financials!AE102</f>
        <v>67.765000000000001</v>
      </c>
      <c r="K30" s="205">
        <f t="shared" si="6"/>
        <v>73.09</v>
      </c>
      <c r="L30" s="551">
        <f ca="1">Financials!AF102</f>
        <v>72.275925716336786</v>
      </c>
      <c r="M30" s="551">
        <f>Financials!AG102</f>
        <v>71.046575342465758</v>
      </c>
      <c r="N30" s="551">
        <f>Financials!N102</f>
        <v>82.542000000000002</v>
      </c>
      <c r="O30" s="551">
        <f>Financials!O102</f>
        <v>87.63</v>
      </c>
      <c r="P30" s="551">
        <f>Financials!P102</f>
        <v>96.543999999999997</v>
      </c>
      <c r="Q30" s="551">
        <f>Financials!Q102</f>
        <v>94.25200000000001</v>
      </c>
      <c r="R30" s="551">
        <f>Financials!R102</f>
        <v>82.962000000000003</v>
      </c>
      <c r="S30" s="551">
        <f>Financials!S102</f>
        <v>58.439</v>
      </c>
      <c r="T30" s="551">
        <f>Financials!T102</f>
        <v>67.765000000000001</v>
      </c>
      <c r="U30" s="551">
        <f>Financials!U102</f>
        <v>73.09</v>
      </c>
      <c r="V30" s="551">
        <f ca="1">Financials!V102</f>
        <v>72.764623336027853</v>
      </c>
      <c r="AG30" s="779"/>
      <c r="AH30" s="779"/>
      <c r="AI30" s="779"/>
      <c r="AJ30" s="779"/>
      <c r="AK30" s="779"/>
      <c r="AL30" s="779"/>
      <c r="AM30" s="779"/>
      <c r="AN30" s="779"/>
    </row>
    <row r="31" spans="3:40">
      <c r="C31" s="204" t="s">
        <v>194</v>
      </c>
      <c r="D31" s="204"/>
      <c r="E31" s="204"/>
      <c r="F31" s="551">
        <f>Financials!AA113</f>
        <v>1999.3109999999999</v>
      </c>
      <c r="G31" s="551">
        <f>Financials!AB113</f>
        <v>2520.0039999999999</v>
      </c>
      <c r="H31" s="551">
        <f>Financials!AC113</f>
        <v>2423.6979999999999</v>
      </c>
      <c r="I31" s="551">
        <f>Financials!AD113</f>
        <v>2345.2190000000001</v>
      </c>
      <c r="J31" s="551">
        <f>Financials!AE113</f>
        <v>2310.81</v>
      </c>
      <c r="K31" s="205">
        <f t="shared" si="6"/>
        <v>2298.8580000000002</v>
      </c>
      <c r="L31" s="551">
        <f ca="1">Financials!AF113</f>
        <v>2302.5587655143349</v>
      </c>
      <c r="M31" s="551">
        <f ca="1">Financials!AG113</f>
        <v>2286.6586583151725</v>
      </c>
      <c r="N31" s="551">
        <f>Financials!N113</f>
        <v>2354.8829999999998</v>
      </c>
      <c r="O31" s="551">
        <f>Financials!O113</f>
        <v>2342.038</v>
      </c>
      <c r="P31" s="551">
        <f>Financials!P113</f>
        <v>2345.2190000000001</v>
      </c>
      <c r="Q31" s="551">
        <f>Financials!Q113</f>
        <v>2320.547</v>
      </c>
      <c r="R31" s="551">
        <f>Financials!R113</f>
        <v>2305.3589999999999</v>
      </c>
      <c r="S31" s="551">
        <f>Financials!S113</f>
        <v>2331.018</v>
      </c>
      <c r="T31" s="551">
        <f>Financials!T113</f>
        <v>2310.81</v>
      </c>
      <c r="U31" s="551">
        <f>Financials!U113</f>
        <v>2298.8580000000002</v>
      </c>
      <c r="V31" s="551">
        <f ca="1">Financials!V113</f>
        <v>2295.2102794085249</v>
      </c>
      <c r="AG31" s="779"/>
      <c r="AH31" s="779"/>
      <c r="AI31" s="779"/>
      <c r="AJ31" s="779"/>
      <c r="AK31" s="779"/>
      <c r="AL31" s="779"/>
      <c r="AM31" s="779"/>
      <c r="AN31" s="779"/>
    </row>
    <row r="32" spans="3:40">
      <c r="C32" s="204" t="s">
        <v>195</v>
      </c>
      <c r="D32" s="204" t="s">
        <v>196</v>
      </c>
      <c r="E32" s="204"/>
      <c r="F32" s="549">
        <f>SUM(F29:F31)</f>
        <v>2086.9670000000001</v>
      </c>
      <c r="G32" s="549">
        <f t="shared" ref="G32:J32" si="10">SUM(G29:G31)</f>
        <v>2633.355</v>
      </c>
      <c r="H32" s="549">
        <f t="shared" si="10"/>
        <v>2528.3319999999999</v>
      </c>
      <c r="I32" s="549">
        <f t="shared" si="10"/>
        <v>2480.9560000000001</v>
      </c>
      <c r="J32" s="549">
        <f t="shared" si="10"/>
        <v>2423.1610000000001</v>
      </c>
      <c r="K32" s="549">
        <f>+U32</f>
        <v>2413.8580000000002</v>
      </c>
      <c r="L32" s="549">
        <f t="shared" ref="L32:N32" ca="1" si="11">SUM(L29:L31)</f>
        <v>2415.4916542326127</v>
      </c>
      <c r="M32" s="549">
        <f t="shared" ref="M32" ca="1" si="12">SUM(M29:M31)</f>
        <v>2395.6229243982821</v>
      </c>
      <c r="N32" s="549">
        <f t="shared" si="11"/>
        <v>2479.1259999999997</v>
      </c>
      <c r="O32" s="549">
        <f t="shared" ref="O32:V32" si="13">SUM(O29:O31)</f>
        <v>2471.1170000000002</v>
      </c>
      <c r="P32" s="549">
        <f t="shared" si="13"/>
        <v>2480.9560000000001</v>
      </c>
      <c r="Q32" s="549">
        <f t="shared" si="13"/>
        <v>2458.5480000000002</v>
      </c>
      <c r="R32" s="549">
        <f t="shared" si="13"/>
        <v>2438.9659999999999</v>
      </c>
      <c r="S32" s="549">
        <f t="shared" si="13"/>
        <v>2432.4299999999998</v>
      </c>
      <c r="T32" s="549">
        <f t="shared" si="13"/>
        <v>2423.1610000000001</v>
      </c>
      <c r="U32" s="549">
        <f t="shared" si="13"/>
        <v>2413.8580000000002</v>
      </c>
      <c r="V32" s="549">
        <f t="shared" ca="1" si="13"/>
        <v>2409.0197873250727</v>
      </c>
      <c r="AG32" s="779"/>
      <c r="AH32" s="779"/>
      <c r="AI32" s="779"/>
      <c r="AJ32" s="779"/>
      <c r="AK32" s="779"/>
      <c r="AL32" s="779"/>
      <c r="AM32" s="779"/>
      <c r="AN32" s="779"/>
    </row>
    <row r="33" spans="3:40">
      <c r="C33" s="204"/>
      <c r="D33" s="204"/>
      <c r="E33" s="204"/>
      <c r="F33" s="205"/>
      <c r="G33" s="205"/>
      <c r="H33" s="205"/>
      <c r="I33" s="205"/>
      <c r="J33" s="205"/>
      <c r="K33" s="205"/>
      <c r="L33" s="198"/>
      <c r="M33" s="198"/>
      <c r="N33" s="205"/>
      <c r="O33" s="205"/>
      <c r="P33" s="205"/>
      <c r="Q33" s="205"/>
      <c r="R33" s="205"/>
      <c r="S33" s="205"/>
      <c r="T33" s="205"/>
      <c r="U33" s="205"/>
      <c r="V33" s="198"/>
      <c r="AG33" s="779"/>
      <c r="AH33" s="779"/>
      <c r="AI33" s="779"/>
      <c r="AJ33" s="779"/>
      <c r="AK33" s="779"/>
      <c r="AL33" s="779"/>
      <c r="AM33" s="779"/>
      <c r="AN33" s="779"/>
    </row>
    <row r="34" spans="3:40">
      <c r="C34" s="204" t="s">
        <v>236</v>
      </c>
      <c r="D34" s="204"/>
      <c r="E34" s="204"/>
      <c r="F34" s="591"/>
      <c r="G34" s="712">
        <v>0.21</v>
      </c>
      <c r="H34" s="712">
        <v>0.21</v>
      </c>
      <c r="I34" s="712">
        <v>0.21</v>
      </c>
      <c r="J34" s="712">
        <v>0.21</v>
      </c>
      <c r="K34" s="206">
        <f>+U34</f>
        <v>0.21</v>
      </c>
      <c r="L34" s="712">
        <v>0.21</v>
      </c>
      <c r="M34" s="712">
        <v>0.21</v>
      </c>
      <c r="N34" s="712">
        <v>0.21</v>
      </c>
      <c r="O34" s="712">
        <v>0.21</v>
      </c>
      <c r="P34" s="712">
        <v>0.21</v>
      </c>
      <c r="Q34" s="712">
        <v>0.21</v>
      </c>
      <c r="R34" s="712">
        <v>0.21</v>
      </c>
      <c r="S34" s="712">
        <v>0.21</v>
      </c>
      <c r="T34" s="712">
        <v>0.21</v>
      </c>
      <c r="U34" s="712">
        <v>0.21</v>
      </c>
      <c r="V34" s="712">
        <v>0.21</v>
      </c>
      <c r="AG34" s="779"/>
      <c r="AH34" s="779"/>
      <c r="AI34" s="779"/>
      <c r="AJ34" s="779"/>
      <c r="AK34" s="779"/>
      <c r="AL34" s="779"/>
      <c r="AM34" s="779"/>
      <c r="AN34" s="779"/>
    </row>
    <row r="35" spans="3:40">
      <c r="C35" s="204"/>
      <c r="D35" s="204"/>
      <c r="E35" s="204"/>
      <c r="F35" s="205"/>
      <c r="G35" s="205"/>
      <c r="H35" s="205"/>
      <c r="I35" s="205"/>
      <c r="J35" s="205"/>
      <c r="K35" s="198"/>
      <c r="L35" s="198"/>
      <c r="M35" s="198"/>
      <c r="N35" s="205"/>
      <c r="O35" s="205"/>
      <c r="P35" s="205"/>
      <c r="Q35" s="205"/>
      <c r="R35" s="205"/>
      <c r="S35" s="205"/>
      <c r="T35" s="205"/>
      <c r="U35" s="205"/>
      <c r="V35" s="198"/>
    </row>
    <row r="36" spans="3:40" s="194" customFormat="1">
      <c r="C36" s="207" t="s">
        <v>75</v>
      </c>
      <c r="D36" s="207"/>
      <c r="E36" s="207"/>
      <c r="F36" s="208"/>
      <c r="G36" s="208">
        <f t="shared" ref="G36:V36" si="14">+G7</f>
        <v>567.13699999999994</v>
      </c>
      <c r="H36" s="208">
        <f t="shared" si="14"/>
        <v>673.26599999999996</v>
      </c>
      <c r="I36" s="208">
        <f t="shared" si="14"/>
        <v>691.87299999999993</v>
      </c>
      <c r="J36" s="208">
        <f t="shared" si="14"/>
        <v>807.47299999999996</v>
      </c>
      <c r="K36" s="208">
        <f t="shared" si="14"/>
        <v>783.12000000000012</v>
      </c>
      <c r="L36" s="208">
        <f t="shared" ca="1" si="14"/>
        <v>824.43286087268825</v>
      </c>
      <c r="M36" s="208">
        <f t="shared" ca="1" si="14"/>
        <v>864.99732002093822</v>
      </c>
      <c r="N36" s="208">
        <f t="shared" si="14"/>
        <v>166.35499999999999</v>
      </c>
      <c r="O36" s="208">
        <f t="shared" si="14"/>
        <v>199.70299999999997</v>
      </c>
      <c r="P36" s="208">
        <f t="shared" si="14"/>
        <v>188.89</v>
      </c>
      <c r="Q36" s="208">
        <f t="shared" si="14"/>
        <v>210.852</v>
      </c>
      <c r="R36" s="208">
        <f t="shared" si="14"/>
        <v>217.983</v>
      </c>
      <c r="S36" s="208">
        <f t="shared" si="14"/>
        <v>193.56</v>
      </c>
      <c r="T36" s="208">
        <f t="shared" si="14"/>
        <v>185.07800000000003</v>
      </c>
      <c r="U36" s="208">
        <f t="shared" si="14"/>
        <v>186.499</v>
      </c>
      <c r="V36" s="208">
        <f t="shared" ca="1" si="14"/>
        <v>223.35683536261519</v>
      </c>
    </row>
    <row r="37" spans="3:40">
      <c r="C37" s="204" t="s">
        <v>76</v>
      </c>
      <c r="D37" s="204"/>
      <c r="E37" s="204"/>
      <c r="F37" s="205"/>
      <c r="G37" s="206">
        <f>IFERROR(G36/F7-1," NA")</f>
        <v>-1.8412011596209643E-2</v>
      </c>
      <c r="H37" s="206">
        <f>IFERROR(H36/G36-1," NA")</f>
        <v>0.18713115173229755</v>
      </c>
      <c r="I37" s="206">
        <f>IFERROR(I36/H36-1," NA")</f>
        <v>2.7636922108052353E-2</v>
      </c>
      <c r="J37" s="206">
        <f>IFERROR(J36/I36-1," NA")</f>
        <v>0.16708268714055907</v>
      </c>
      <c r="K37" s="206">
        <f>+K36/SUM(N36:Q36)-1</f>
        <v>2.2616871245756398E-2</v>
      </c>
      <c r="L37" s="206">
        <f ca="1">IFERROR(L36/J36-1," NA")</f>
        <v>2.1003625969770345E-2</v>
      </c>
      <c r="M37" s="206">
        <f ca="1">IFERROR(M36/L36-1," NA")</f>
        <v>4.9202865476894342E-2</v>
      </c>
      <c r="N37" s="205"/>
      <c r="O37" s="205"/>
      <c r="P37" s="205"/>
      <c r="Q37" s="205"/>
      <c r="R37" s="206">
        <f>IFERROR(R36/N36-1," NA")</f>
        <v>0.31034835141715011</v>
      </c>
      <c r="S37" s="206">
        <f>IFERROR(S36/O36-1," NA")</f>
        <v>-3.0760679609219577E-2</v>
      </c>
      <c r="T37" s="206">
        <f>IFERROR(T36/P36-1," NA")</f>
        <v>-2.0181057758483556E-2</v>
      </c>
      <c r="U37" s="206">
        <f>IFERROR(U36/Q36-1," NA")</f>
        <v>-0.11549807447878135</v>
      </c>
      <c r="V37" s="206">
        <f ca="1">IFERROR(V36/R36-1," NA")</f>
        <v>2.4652543375470515E-2</v>
      </c>
    </row>
    <row r="38" spans="3:40">
      <c r="C38" s="204" t="s">
        <v>77</v>
      </c>
      <c r="D38" s="204"/>
      <c r="E38" s="204" t="s">
        <v>197</v>
      </c>
      <c r="F38" s="209"/>
      <c r="G38" s="370">
        <f t="shared" ref="G38:M40" si="15">IFERROR(G8/G$7," NA")</f>
        <v>0.44626430650795124</v>
      </c>
      <c r="H38" s="370">
        <f t="shared" si="15"/>
        <v>0.33903093279624985</v>
      </c>
      <c r="I38" s="370">
        <f t="shared" si="15"/>
        <v>0.42057140544579713</v>
      </c>
      <c r="J38" s="370">
        <f t="shared" ca="1" si="15"/>
        <v>0.45597561776059387</v>
      </c>
      <c r="K38" s="370">
        <f t="shared" ca="1" si="15"/>
        <v>0.44113545816733069</v>
      </c>
      <c r="L38" s="370">
        <f t="shared" ca="1" si="15"/>
        <v>0.50329612096425613</v>
      </c>
      <c r="M38" s="370">
        <f t="shared" ca="1" si="15"/>
        <v>0.50034527275814211</v>
      </c>
      <c r="N38" s="209"/>
      <c r="O38" s="209"/>
      <c r="P38" s="209"/>
      <c r="Q38" s="209"/>
      <c r="R38" s="370">
        <f t="shared" ref="R38:V40" si="16">IFERROR(R8/R$7," NA")</f>
        <v>0.47447736750113539</v>
      </c>
      <c r="S38" s="370">
        <f t="shared" si="16"/>
        <v>0.39839326307088246</v>
      </c>
      <c r="T38" s="370">
        <f t="shared" ca="1" si="16"/>
        <v>0.45382487383697706</v>
      </c>
      <c r="U38" s="370">
        <f t="shared" ca="1" si="16"/>
        <v>0.43393262162263596</v>
      </c>
      <c r="V38" s="370">
        <f t="shared" ca="1" si="16"/>
        <v>0.54467011587546998</v>
      </c>
    </row>
    <row r="39" spans="3:40">
      <c r="C39" s="204" t="s">
        <v>78</v>
      </c>
      <c r="D39" s="204"/>
      <c r="E39" s="204"/>
      <c r="F39" s="210"/>
      <c r="G39" s="206">
        <f t="shared" si="15"/>
        <v>5.3362767726316575E-2</v>
      </c>
      <c r="H39" s="206">
        <f t="shared" si="15"/>
        <v>4.4802500051985404E-2</v>
      </c>
      <c r="I39" s="206">
        <f t="shared" si="15"/>
        <v>4.2064078234011162E-2</v>
      </c>
      <c r="J39" s="206">
        <f t="shared" si="15"/>
        <v>3.5280436621410255E-2</v>
      </c>
      <c r="K39" s="206">
        <f t="shared" si="15"/>
        <v>3.5759525998569817E-2</v>
      </c>
      <c r="L39" s="206">
        <f t="shared" ca="1" si="15"/>
        <v>4.0681700460282619E-2</v>
      </c>
      <c r="M39" s="206">
        <f t="shared" ca="1" si="15"/>
        <v>3.8930771946299403E-2</v>
      </c>
      <c r="N39" s="209"/>
      <c r="O39" s="209"/>
      <c r="P39" s="209"/>
      <c r="Q39" s="209"/>
      <c r="R39" s="206">
        <f t="shared" si="16"/>
        <v>3.8085538780547101E-2</v>
      </c>
      <c r="S39" s="206">
        <f t="shared" si="16"/>
        <v>3.8241372184335612E-2</v>
      </c>
      <c r="T39" s="206">
        <f t="shared" si="16"/>
        <v>2.851230292093063E-2</v>
      </c>
      <c r="U39" s="206">
        <f t="shared" si="16"/>
        <v>3.7657038375540894E-2</v>
      </c>
      <c r="V39" s="206">
        <f t="shared" ca="1" si="16"/>
        <v>5.0596475400498234E-2</v>
      </c>
    </row>
    <row r="40" spans="3:40">
      <c r="C40" s="204" t="s">
        <v>237</v>
      </c>
      <c r="D40" s="204"/>
      <c r="E40" s="204"/>
      <c r="F40" s="210"/>
      <c r="G40" s="206">
        <f t="shared" si="15"/>
        <v>-1.28681429707462E-2</v>
      </c>
      <c r="H40" s="206">
        <f t="shared" si="15"/>
        <v>-6.0218398077431685E-2</v>
      </c>
      <c r="I40" s="206">
        <f t="shared" si="15"/>
        <v>0.13278014895797349</v>
      </c>
      <c r="J40" s="206">
        <f t="shared" ca="1" si="15"/>
        <v>0.12064552003596399</v>
      </c>
      <c r="K40" s="206">
        <f t="shared" ca="1" si="15"/>
        <v>9.243921748901833E-2</v>
      </c>
      <c r="L40" s="206">
        <f t="shared" ca="1" si="15"/>
        <v>0.1982703910149225</v>
      </c>
      <c r="M40" s="206">
        <f t="shared" ca="1" si="15"/>
        <v>0.20287843795090685</v>
      </c>
      <c r="N40" s="209"/>
      <c r="O40" s="209"/>
      <c r="P40" s="209"/>
      <c r="Q40" s="209"/>
      <c r="R40" s="206">
        <f t="shared" si="16"/>
        <v>0.14607561140088904</v>
      </c>
      <c r="S40" s="206">
        <f t="shared" si="16"/>
        <v>-8.9584624922504005E-3</v>
      </c>
      <c r="T40" s="206">
        <f t="shared" ca="1" si="16"/>
        <v>0.12155415554522983</v>
      </c>
      <c r="U40" s="206">
        <f t="shared" ca="1" si="16"/>
        <v>0.10609172167142977</v>
      </c>
      <c r="V40" s="206">
        <f t="shared" ca="1" si="16"/>
        <v>0.22665356950750037</v>
      </c>
    </row>
    <row r="41" spans="3:40" s="194" customFormat="1">
      <c r="C41" s="207" t="s">
        <v>79</v>
      </c>
      <c r="D41" s="207"/>
      <c r="E41" s="207"/>
      <c r="F41" s="211"/>
      <c r="G41" s="208">
        <f t="shared" ref="G41:M41" si="17">+G11</f>
        <v>179.06399999999991</v>
      </c>
      <c r="H41" s="208">
        <f t="shared" si="17"/>
        <v>176.89799999999991</v>
      </c>
      <c r="I41" s="208">
        <f t="shared" si="17"/>
        <v>234.39599999999996</v>
      </c>
      <c r="J41" s="208">
        <f t="shared" ca="1" si="17"/>
        <v>271.84999999999997</v>
      </c>
      <c r="K41" s="208">
        <f t="shared" ca="1" si="17"/>
        <v>243.95400000000004</v>
      </c>
      <c r="L41" s="208">
        <f t="shared" ca="1" si="17"/>
        <v>320.68530010730842</v>
      </c>
      <c r="M41" s="208">
        <f t="shared" ca="1" si="17"/>
        <v>337.7346574933311</v>
      </c>
      <c r="N41" s="212"/>
      <c r="O41" s="212"/>
      <c r="P41" s="212"/>
      <c r="Q41" s="212"/>
      <c r="R41" s="208">
        <f>+R11</f>
        <v>77.795000000000002</v>
      </c>
      <c r="S41" s="208">
        <f>+S11</f>
        <v>49.711000000000013</v>
      </c>
      <c r="T41" s="208">
        <f ca="1">+T11</f>
        <v>58.249000000000052</v>
      </c>
      <c r="U41" s="208">
        <f ca="1">+U11</f>
        <v>58.198999999999984</v>
      </c>
      <c r="V41" s="208">
        <f ca="1">+V11</f>
        <v>95.270746234641166</v>
      </c>
    </row>
    <row r="42" spans="3:40">
      <c r="C42" s="204" t="s">
        <v>80</v>
      </c>
      <c r="D42" s="204"/>
      <c r="E42" s="204"/>
      <c r="F42" s="210"/>
      <c r="G42" s="206">
        <f t="shared" ref="G42:M42" si="18">IFERROR(G11/G$7," NA")</f>
        <v>0.31573323553215527</v>
      </c>
      <c r="H42" s="206">
        <f t="shared" si="18"/>
        <v>0.2627460765878567</v>
      </c>
      <c r="I42" s="206">
        <f t="shared" si="18"/>
        <v>0.33878471916088643</v>
      </c>
      <c r="J42" s="206">
        <f t="shared" ca="1" si="18"/>
        <v>0.33666760374650295</v>
      </c>
      <c r="K42" s="206">
        <f t="shared" ca="1" si="18"/>
        <v>0.31151547655531719</v>
      </c>
      <c r="L42" s="206">
        <f t="shared" ca="1" si="18"/>
        <v>0.38897685345517752</v>
      </c>
      <c r="M42" s="206">
        <f t="shared" ca="1" si="18"/>
        <v>0.39044590043950178</v>
      </c>
      <c r="N42" s="209"/>
      <c r="O42" s="209"/>
      <c r="P42" s="209"/>
      <c r="Q42" s="209"/>
      <c r="R42" s="206">
        <f>IFERROR(R11/R$7," NA")</f>
        <v>0.35688562869581575</v>
      </c>
      <c r="S42" s="206">
        <f>IFERROR(S11/S$7," NA")</f>
        <v>0.25682475718123587</v>
      </c>
      <c r="T42" s="206">
        <f ca="1">IFERROR(T11/T$7," NA")</f>
        <v>0.31472676385091714</v>
      </c>
      <c r="U42" s="206">
        <f ca="1">IFERROR(U11/U$7," NA")</f>
        <v>0.31206065448072101</v>
      </c>
      <c r="V42" s="206">
        <f ca="1">IFERROR(V11/V$7," NA")</f>
        <v>0.42654054477433423</v>
      </c>
    </row>
    <row r="43" spans="3:40">
      <c r="C43" s="204" t="s">
        <v>81</v>
      </c>
      <c r="D43" s="204"/>
      <c r="E43" s="204"/>
      <c r="F43" s="210"/>
      <c r="G43" s="206">
        <f t="shared" ref="G43:M43" si="19">IFERROR(G17/G$7," NA")</f>
        <v>0.24144607034984494</v>
      </c>
      <c r="H43" s="206">
        <f t="shared" si="19"/>
        <v>0.1803462524470269</v>
      </c>
      <c r="I43" s="206">
        <f t="shared" si="19"/>
        <v>0.13155015443585746</v>
      </c>
      <c r="J43" s="206">
        <f t="shared" si="19"/>
        <v>0.13612467537614262</v>
      </c>
      <c r="K43" s="206">
        <f t="shared" si="19"/>
        <v>0.14044080089896821</v>
      </c>
      <c r="L43" s="206">
        <f t="shared" ca="1" si="19"/>
        <v>0.16396819186857906</v>
      </c>
      <c r="M43" s="206">
        <f t="shared" ca="1" si="19"/>
        <v>0.15537608000633371</v>
      </c>
      <c r="N43" s="209"/>
      <c r="O43" s="209"/>
      <c r="P43" s="209"/>
      <c r="Q43" s="209"/>
      <c r="R43" s="206">
        <f>IFERROR(R17/R$7," NA")</f>
        <v>0.14633251216838009</v>
      </c>
      <c r="S43" s="206">
        <f>IFERROR(S17/S$7," NA")</f>
        <v>0.14000309981401113</v>
      </c>
      <c r="T43" s="206">
        <f>IFERROR(T17/T$7," NA")</f>
        <v>0.15943007812922119</v>
      </c>
      <c r="U43" s="206">
        <f>IFERROR(U17/U$7," NA")</f>
        <v>0.11516415637617361</v>
      </c>
      <c r="V43" s="206">
        <f ca="1">IFERROR(V17/V$7," NA")</f>
        <v>0.16974591787737761</v>
      </c>
    </row>
    <row r="44" spans="3:40">
      <c r="C44" s="204" t="s">
        <v>82</v>
      </c>
      <c r="D44" s="204"/>
      <c r="E44" s="204"/>
      <c r="F44" s="210"/>
      <c r="G44" s="206">
        <f t="shared" ref="G44:M44" si="20">IFERROR(G13/G$7," NA")</f>
        <v>-7.531160901157917E-2</v>
      </c>
      <c r="H44" s="206">
        <f t="shared" si="20"/>
        <v>-8.2433985972847287E-4</v>
      </c>
      <c r="I44" s="206">
        <f t="shared" si="20"/>
        <v>0.12975936335136654</v>
      </c>
      <c r="J44" s="206">
        <f t="shared" si="20"/>
        <v>0.13674760642151509</v>
      </c>
      <c r="K44" s="206">
        <f t="shared" si="20"/>
        <v>0.1408826233527429</v>
      </c>
      <c r="L44" s="206">
        <f t="shared" ca="1" si="20"/>
        <v>0.13758527667270848</v>
      </c>
      <c r="M44" s="206">
        <f t="shared" ca="1" si="20"/>
        <v>0.13226593200879713</v>
      </c>
      <c r="N44" s="209"/>
      <c r="O44" s="209"/>
      <c r="P44" s="209"/>
      <c r="Q44" s="209"/>
      <c r="R44" s="206">
        <f>IFERROR(R13/R$7," NA")</f>
        <v>0.24958827064495864</v>
      </c>
      <c r="S44" s="206">
        <f>IFERROR(S13/S$7," NA")</f>
        <v>8.0817317627609048E-2</v>
      </c>
      <c r="T44" s="206">
        <f>IFERROR(T13/T$7," NA")</f>
        <v>0.12885378056819291</v>
      </c>
      <c r="U44" s="206">
        <f>IFERROR(U13/U$7," NA")</f>
        <v>8.8102349074257763E-2</v>
      </c>
      <c r="V44" s="206">
        <f ca="1">IFERROR(V13/V$7," NA")</f>
        <v>0.16705250365093668</v>
      </c>
    </row>
    <row r="45" spans="3:40">
      <c r="C45" s="204" t="s">
        <v>83</v>
      </c>
      <c r="D45" s="204"/>
      <c r="E45" s="204"/>
      <c r="F45" s="210"/>
      <c r="G45" s="206">
        <f t="shared" ref="G45:M45" si="21">IFERROR(G13/G$23," NA")</f>
        <v>-8.0165315625592343E-2</v>
      </c>
      <c r="H45" s="206">
        <f t="shared" si="21"/>
        <v>-1.0995999833573065E-3</v>
      </c>
      <c r="I45" s="206">
        <f t="shared" si="21"/>
        <v>0.1769904700320557</v>
      </c>
      <c r="J45" s="206">
        <f t="shared" si="21"/>
        <v>0.2173215638807704</v>
      </c>
      <c r="K45" s="206">
        <f t="shared" si="21"/>
        <v>0.21681746362400078</v>
      </c>
      <c r="L45" s="206">
        <f t="shared" ca="1" si="21"/>
        <v>0.22258491494594146</v>
      </c>
      <c r="M45" s="206">
        <f t="shared" ca="1" si="21"/>
        <v>0.22406772606429012</v>
      </c>
      <c r="N45" s="198"/>
      <c r="O45" s="198"/>
      <c r="P45" s="198"/>
      <c r="Q45" s="198"/>
      <c r="R45" s="206">
        <f>IFERROR(SUM(O13:R13)/R$23," NA")</f>
        <v>0.29284069750752545</v>
      </c>
      <c r="S45" s="206">
        <f>IFERROR(SUM(P13:S13)/S$23," NA")</f>
        <v>0.22618925690155053</v>
      </c>
      <c r="T45" s="206">
        <f>IFERROR(SUM(Q13:T13)/T$23," NA")</f>
        <v>0.2173215638807704</v>
      </c>
      <c r="U45" s="206">
        <f>IFERROR(SUM(R13:U13)/U$23," NA")</f>
        <v>0.21681746362400078</v>
      </c>
      <c r="V45" s="206">
        <f ca="1">IFERROR(SUM(S13:V13)/V$23," NA")</f>
        <v>0.18313479349689243</v>
      </c>
    </row>
    <row r="46" spans="3:40">
      <c r="C46" s="204" t="s">
        <v>84</v>
      </c>
      <c r="D46" s="213"/>
      <c r="E46" s="213"/>
      <c r="F46" s="214"/>
      <c r="G46" s="206">
        <f t="shared" ref="G46:M46" si="22">IFERROR(SUM(G18,G19)/G$23," NA")</f>
        <v>1.3301451391612972E-2</v>
      </c>
      <c r="H46" s="206">
        <f t="shared" si="22"/>
        <v>1.415611149745705E-2</v>
      </c>
      <c r="I46" s="206">
        <f t="shared" si="22"/>
        <v>2.2366050129918262E-2</v>
      </c>
      <c r="J46" s="206">
        <f t="shared" si="22"/>
        <v>4.9591119770908985E-2</v>
      </c>
      <c r="K46" s="206">
        <f t="shared" si="22"/>
        <v>5.0975529230503185E-2</v>
      </c>
      <c r="L46" s="206">
        <f t="shared" ca="1" si="22"/>
        <v>3.131264235166998E-2</v>
      </c>
      <c r="M46" s="206">
        <f t="shared" ca="1" si="22"/>
        <v>2.7489061181416113E-2</v>
      </c>
      <c r="N46" s="198"/>
      <c r="O46" s="198"/>
      <c r="P46" s="198"/>
      <c r="Q46" s="198"/>
      <c r="R46" s="206">
        <f>IFERROR(SUM(O18:R18,O19:R19)/R$23," NA")</f>
        <v>4.1717540517212576E-2</v>
      </c>
      <c r="S46" s="206">
        <f>IFERROR(SUM(P18:S18,P19:S19)/S$23," NA")</f>
        <v>5.1070291818983996E-2</v>
      </c>
      <c r="T46" s="206">
        <f>IFERROR(SUM(Q18:T18,Q19:T19)/T$23," NA")</f>
        <v>4.9591119770908985E-2</v>
      </c>
      <c r="U46" s="206">
        <f>IFERROR(SUM(R18:U18,R19:U19)/U$23," NA")</f>
        <v>5.0975529230503178E-2</v>
      </c>
      <c r="V46" s="206">
        <f ca="1">IFERROR(SUM(S18:V18,S19:V19)/V$23," NA")</f>
        <v>3.7116322739898858E-2</v>
      </c>
    </row>
    <row r="47" spans="3:40">
      <c r="C47" s="204" t="s">
        <v>85</v>
      </c>
      <c r="D47" s="204"/>
      <c r="E47" s="204"/>
      <c r="F47" s="210"/>
      <c r="G47" s="206">
        <f>IFERROR(G$10*(1-G$34)/AVERAGE(G27,F27)," NA")</f>
        <v>-2.2837407523159841E-3</v>
      </c>
      <c r="H47" s="206">
        <f>IFERROR(H$10*(1-H$34)/AVERAGE(H27,G27)," NA")</f>
        <v>-1.199305705853238E-2</v>
      </c>
      <c r="I47" s="206">
        <f>IFERROR(I$10*(1-I$34)/AVERAGE(I27,H27)," NA")</f>
        <v>2.7360788775637919E-2</v>
      </c>
      <c r="J47" s="206">
        <f ca="1">IFERROR(J$10*(1-J$34)/AVERAGE(J27,I27)," NA")</f>
        <v>2.8522102713372202E-2</v>
      </c>
      <c r="K47" s="206">
        <f ca="1">IFERROR(K$10*(1-K$34)/AVERAGE(K27,Q27)," NA")</f>
        <v>2.1204725419616266E-2</v>
      </c>
      <c r="L47" s="206">
        <f ca="1">IFERROR(L$10*(1-L$34)/AVERAGE(L27,J27)," NA")</f>
        <v>4.6462760882174756E-2</v>
      </c>
      <c r="M47" s="206">
        <f ca="1">IFERROR(M$10*(1-M$34)/AVERAGE(M27,L27)," NA")</f>
        <v>4.8311302460788921E-2</v>
      </c>
      <c r="N47" s="198"/>
      <c r="O47" s="198"/>
      <c r="P47" s="198"/>
      <c r="Q47" s="198"/>
      <c r="R47" s="206">
        <f>IFERROR(SUM(O$10:R$10)*(1-R$34)/AVERAGE(R27,N27)," NA")</f>
        <v>4.3953907048928015E-2</v>
      </c>
      <c r="S47" s="206">
        <f>IFERROR(SUM(P$10:S$10)*(1-S$34)/AVERAGE(S27,O27)," NA")</f>
        <v>3.0650028631833193E-2</v>
      </c>
      <c r="T47" s="206">
        <f ca="1">IFERROR(SUM(Q$10:T$10)*(1-T$34)/AVERAGE(T27,P27)," NA")</f>
        <v>2.852210271337223E-2</v>
      </c>
      <c r="U47" s="206">
        <f ca="1">IFERROR(SUM(R$10:U$10)*(1-U$34)/AVERAGE(U27,Q27)," NA")</f>
        <v>2.1204725419616266E-2</v>
      </c>
      <c r="V47" s="206">
        <f ca="1">IFERROR(SUM(S$10:V$10)*(1-V$34)/AVERAGE(V27,R27)," NA")</f>
        <v>2.6469337839697731E-2</v>
      </c>
    </row>
    <row r="48" spans="3:40">
      <c r="C48" s="213" t="s">
        <v>86</v>
      </c>
      <c r="D48" s="204"/>
      <c r="E48" s="204"/>
      <c r="F48" s="210"/>
      <c r="G48" s="206">
        <f>IFERROR(G$10*(1-G34)/AVERAGE(G25+G24,F25+F24)," NA")</f>
        <v>-2.9017366874597083E-3</v>
      </c>
      <c r="H48" s="206">
        <f>IFERROR(H$10*(1-H34)/AVERAGE(H25+H24,G25+G24)," NA")</f>
        <v>-1.4790316395036567E-2</v>
      </c>
      <c r="I48" s="206">
        <f>IFERROR(I$10*(1-I34)/AVERAGE(I25+I24,H25+H24)," NA")</f>
        <v>3.4440980701642823E-2</v>
      </c>
      <c r="J48" s="206">
        <f ca="1">IFERROR(J$10*(1-J34)/AVERAGE(J25+J24,I25+I24)," NA")</f>
        <v>3.7191211378467814E-2</v>
      </c>
      <c r="K48" s="206">
        <f ca="1">IFERROR(K$10*(1-K34)/AVERAGE(K25+K24,Q25+Q24)," NA")</f>
        <v>2.7771822780378146E-2</v>
      </c>
      <c r="L48" s="206">
        <f ca="1">IFERROR(L$10*(1-L34)/AVERAGE(L25+L24,J25+J24)," NA")</f>
        <v>6.3191998412203285E-2</v>
      </c>
      <c r="M48" s="206">
        <f ca="1">IFERROR(M$10*(1-M34)/AVERAGE(M25+M24,L25+L24)," NA")</f>
        <v>6.8407339978958551E-2</v>
      </c>
      <c r="N48" s="198"/>
      <c r="O48" s="198"/>
      <c r="P48" s="198"/>
      <c r="Q48" s="198"/>
      <c r="R48" s="206">
        <f>IFERROR(SUM(O$10:R$10)*(1-R$34)/AVERAGE(R25+R24,N25+N24)," NA")</f>
        <v>5.5881249154880394E-2</v>
      </c>
      <c r="S48" s="206">
        <f>IFERROR(SUM(P$10:S$10)*(1-S$34)/AVERAGE(S25+S24,O25+O24)," NA")</f>
        <v>3.9060699884185465E-2</v>
      </c>
      <c r="T48" s="206">
        <f ca="1">IFERROR(SUM(Q$10:T$10)*(1-T$34)/AVERAGE(T25+T24,P25+P24)," NA")</f>
        <v>3.7191211378467849E-2</v>
      </c>
      <c r="U48" s="206">
        <f ca="1">IFERROR(SUM(R$10:U$10)*(1-U$34)/AVERAGE(U25+U24,Q25+Q24)," NA")</f>
        <v>2.7771822780378146E-2</v>
      </c>
      <c r="V48" s="206">
        <f ca="1">IFERROR(SUM(S$10:V$10)*(1-V$34)/AVERAGE(V25+V24,R25+R24)," NA")</f>
        <v>3.5382001246672859E-2</v>
      </c>
    </row>
    <row r="49" spans="2:23">
      <c r="C49" s="204" t="s">
        <v>87</v>
      </c>
      <c r="D49" s="204"/>
      <c r="E49" s="204"/>
      <c r="F49" s="210"/>
      <c r="G49" s="371">
        <f t="shared" ref="G49:M49" si="23">IFERROR(IF(G11&lt;0,"NM ",G23/G11)," NA")</f>
        <v>2.9754668721797808</v>
      </c>
      <c r="H49" s="371">
        <f t="shared" si="23"/>
        <v>2.8532204999491246</v>
      </c>
      <c r="I49" s="371">
        <f t="shared" si="23"/>
        <v>2.1640386354715955</v>
      </c>
      <c r="J49" s="371">
        <f t="shared" ca="1" si="23"/>
        <v>1.869027036968917</v>
      </c>
      <c r="K49" s="371">
        <f t="shared" ca="1" si="23"/>
        <v>2.085852250834173</v>
      </c>
      <c r="L49" s="371">
        <f t="shared" ca="1" si="23"/>
        <v>1.5891045629895921</v>
      </c>
      <c r="M49" s="371">
        <f t="shared" ca="1" si="23"/>
        <v>1.511846930524861</v>
      </c>
      <c r="N49" s="198"/>
      <c r="O49" s="198"/>
      <c r="P49" s="198"/>
      <c r="Q49" s="198"/>
      <c r="R49" s="371">
        <f>IFERROR(IF(SUM(O$11:R$11)&lt;0,"NM ",R23/SUM(O$11:R$11))," NA")</f>
        <v>1.6929547179357449</v>
      </c>
      <c r="S49" s="371">
        <f t="shared" ref="S49:V50" si="24">IFERROR(IF(SUM(P$11:S$11)&lt;0,"NM ",S23/SUM(P$11:S$11))," NA")</f>
        <v>1.8701291047387516</v>
      </c>
      <c r="T49" s="371">
        <f t="shared" ca="1" si="24"/>
        <v>1.8690270369689166</v>
      </c>
      <c r="U49" s="371">
        <f t="shared" ca="1" si="24"/>
        <v>2.085852250834173</v>
      </c>
      <c r="V49" s="371">
        <f t="shared" ca="1" si="24"/>
        <v>1.9473765523139897</v>
      </c>
    </row>
    <row r="50" spans="2:23">
      <c r="C50" s="204" t="s">
        <v>88</v>
      </c>
      <c r="D50" s="204"/>
      <c r="E50" s="204"/>
      <c r="F50" s="215"/>
      <c r="G50" s="216">
        <f t="shared" ref="G50:M50" si="25">IFERROR(IF(G11&lt;0,"NM ",G24/G11)," NA")</f>
        <v>2.8225103873475419</v>
      </c>
      <c r="H50" s="216">
        <f t="shared" si="25"/>
        <v>2.5001808952051476</v>
      </c>
      <c r="I50" s="216">
        <f t="shared" si="25"/>
        <v>1.6101469308349976</v>
      </c>
      <c r="J50" s="216">
        <f t="shared" ca="1" si="25"/>
        <v>1.0965054257862794</v>
      </c>
      <c r="K50" s="216">
        <f t="shared" ca="1" si="25"/>
        <v>1.2167170860080176</v>
      </c>
      <c r="L50" s="216">
        <f t="shared" ca="1" si="25"/>
        <v>0.65957388864469668</v>
      </c>
      <c r="M50" s="216">
        <f t="shared" ca="1" si="25"/>
        <v>0.33367794149601143</v>
      </c>
      <c r="N50" s="198"/>
      <c r="O50" s="198"/>
      <c r="P50" s="198"/>
      <c r="Q50" s="198"/>
      <c r="R50" s="216">
        <f>IFERROR(IF(SUM(O$11:R$11)&lt;0,"NM ",R24/SUM(O$11:R$11))," NA")</f>
        <v>1.0888365931271384</v>
      </c>
      <c r="S50" s="216">
        <f t="shared" si="24"/>
        <v>1.1669447667458606</v>
      </c>
      <c r="T50" s="216">
        <f t="shared" ca="1" si="24"/>
        <v>1.0965054257862792</v>
      </c>
      <c r="U50" s="216">
        <f t="shared" ca="1" si="24"/>
        <v>1.2167170860080176</v>
      </c>
      <c r="V50" s="216">
        <f t="shared" ca="1" si="24"/>
        <v>1.0075664423567354</v>
      </c>
    </row>
    <row r="51" spans="2:23">
      <c r="C51" s="204" t="s">
        <v>90</v>
      </c>
      <c r="D51" s="204"/>
      <c r="E51" s="204"/>
      <c r="F51" s="216"/>
      <c r="G51" s="216">
        <f t="shared" ref="G51:M51" si="26">IFERROR(IF(G11&lt;0,"NM ",G11/G15)," NA")</f>
        <v>4.3733880422039837</v>
      </c>
      <c r="H51" s="216">
        <f t="shared" si="26"/>
        <v>3.8800228110194754</v>
      </c>
      <c r="I51" s="216">
        <f t="shared" si="26"/>
        <v>5.2086842514610776</v>
      </c>
      <c r="J51" s="216">
        <f t="shared" ca="1" si="26"/>
        <v>6.4811062105137669</v>
      </c>
      <c r="K51" s="216">
        <f t="shared" ca="1" si="26"/>
        <v>5.8632922344797764</v>
      </c>
      <c r="L51" s="216">
        <f t="shared" ca="1" si="26"/>
        <v>8.412419075210499</v>
      </c>
      <c r="M51" s="216">
        <f t="shared" ca="1" si="26"/>
        <v>9.1396684818809106</v>
      </c>
      <c r="N51" s="198"/>
      <c r="O51" s="198"/>
      <c r="P51" s="198"/>
      <c r="Q51" s="198"/>
      <c r="R51" s="216">
        <f>IFERROR(IF(SUM(O11:R11)&lt;0,"NM ",SUM(O11:R11)/SUM(O15:R15))," NA")</f>
        <v>7.0782207143530291</v>
      </c>
      <c r="S51" s="216">
        <f>IFERROR(IF(SUM(P11:S11)&lt;0,"NM ",SUM(P11:S11)/SUM(P15:S15))," NA")</f>
        <v>6.4433711491906775</v>
      </c>
      <c r="T51" s="216">
        <f ca="1">IFERROR(IF(SUM(Q11:T11)&lt;0,"NM ",SUM(Q11:T11)/SUM(Q15:T15))," NA")</f>
        <v>6.4811062105137687</v>
      </c>
      <c r="U51" s="216">
        <f ca="1">IFERROR(IF(SUM(R11:U11)&lt;0,"NM ",SUM(R11:U11)/SUM(R15:U15))," NA")</f>
        <v>5.8632922344797764</v>
      </c>
      <c r="V51" s="216">
        <f ca="1">IFERROR(IF(SUM(S11:V11)&lt;0,"NM ",SUM(S11:V11)/SUM(S15:V15))," NA")</f>
        <v>6.4432581055749152</v>
      </c>
    </row>
    <row r="52" spans="2:23">
      <c r="C52" s="204" t="s">
        <v>93</v>
      </c>
      <c r="D52" s="204"/>
      <c r="E52" s="204"/>
      <c r="F52" s="210"/>
      <c r="G52" s="216" t="str">
        <f t="shared" ref="G52:M52" si="27">IFERROR(IF(G10&lt;0,"NM ",G10/G15)," NA")</f>
        <v xml:space="preserve">NM </v>
      </c>
      <c r="H52" s="216" t="str">
        <f t="shared" si="27"/>
        <v xml:space="preserve">NM </v>
      </c>
      <c r="I52" s="216">
        <f t="shared" si="27"/>
        <v>2.0414435234772559</v>
      </c>
      <c r="J52" s="216">
        <f t="shared" ca="1" si="27"/>
        <v>2.3225175825485742</v>
      </c>
      <c r="K52" s="216">
        <f t="shared" ca="1" si="27"/>
        <v>1.7398755017184619</v>
      </c>
      <c r="L52" s="216">
        <f t="shared" ca="1" si="27"/>
        <v>4.2880022412839462</v>
      </c>
      <c r="M52" s="216">
        <f t="shared" ca="1" si="27"/>
        <v>4.7490360710816155</v>
      </c>
      <c r="N52" s="198"/>
      <c r="O52" s="198"/>
      <c r="P52" s="198"/>
      <c r="Q52" s="198"/>
      <c r="R52" s="216">
        <f>IFERROR(IF(SUM(O10:R10)&lt;0,"NM ",SUM(O10:R10)/SUM(O15:R15))," NA")</f>
        <v>3.4571435302987452</v>
      </c>
      <c r="S52" s="216">
        <f>IFERROR(IF(SUM(P10:S10)&lt;0,"NM ",SUM(P10:S10)/SUM(P15:S15))," NA")</f>
        <v>2.4353491242227183</v>
      </c>
      <c r="T52" s="216">
        <f ca="1">IFERROR(IF(SUM(Q10:T10)&lt;0,"NM ",SUM(Q10:T10)/SUM(Q15:T15))," NA")</f>
        <v>2.3225175825485764</v>
      </c>
      <c r="U52" s="216">
        <f ca="1">IFERROR(IF(SUM(R10:U10)&lt;0,"NM ",SUM(R10:U10)/SUM(R15:U15))," NA")</f>
        <v>1.7398755017184619</v>
      </c>
      <c r="V52" s="216">
        <f ca="1">IFERROR(IF(SUM(S10:V10)&lt;0,"NM ",SUM(S10:V10)/SUM(S15:V15))," NA")</f>
        <v>2.2470862645535075</v>
      </c>
    </row>
    <row r="53" spans="2:23">
      <c r="C53" s="204" t="s">
        <v>96</v>
      </c>
      <c r="D53" s="204"/>
      <c r="E53" s="204"/>
      <c r="F53" s="210"/>
      <c r="G53" s="216">
        <f t="shared" ref="G53:M53" si="28">IFERROR(IF(G11&lt;0,"NM ",G11/G21)," NA")</f>
        <v>0.6284910024533974</v>
      </c>
      <c r="H53" s="216">
        <f t="shared" si="28"/>
        <v>0.41226796555461021</v>
      </c>
      <c r="I53" s="216">
        <f t="shared" si="28"/>
        <v>0.26878394974663466</v>
      </c>
      <c r="J53" s="216">
        <f t="shared" ca="1" si="28"/>
        <v>1.8799098251825623</v>
      </c>
      <c r="K53" s="216">
        <f t="shared" ca="1" si="28"/>
        <v>1.638958124785854</v>
      </c>
      <c r="L53" s="216">
        <f t="shared" ca="1" si="28"/>
        <v>1.4552173850404044</v>
      </c>
      <c r="M53" s="216">
        <f t="shared" ca="1" si="28"/>
        <v>1.5813549046492354</v>
      </c>
      <c r="N53" s="198"/>
      <c r="O53" s="198"/>
      <c r="P53" s="198"/>
      <c r="Q53" s="198"/>
      <c r="R53" s="216">
        <f>IFERROR(IF(SUM(O11:R11)&lt;0,"NM ",SUM(O11:R11)/SUM(O21:R21))," NA")</f>
        <v>1.3006385696040867</v>
      </c>
      <c r="S53" s="216">
        <f>IFERROR(IF(SUM(P11:S11)&lt;0,"NM ",SUM(P11:S11)/SUM(P21:S21))," NA")</f>
        <v>1.5160153676051777</v>
      </c>
      <c r="T53" s="216">
        <f ca="1">IFERROR(IF(SUM(Q11:T11)&lt;0,"NM ",SUM(Q11:T11)/SUM(Q21:T21))," NA")</f>
        <v>1.8799098251825626</v>
      </c>
      <c r="U53" s="216">
        <f ca="1">IFERROR(IF(SUM(R11:U11)&lt;0,"NM ",SUM(R11:U11)/SUM(R21:U21))," NA")</f>
        <v>1.638958124785854</v>
      </c>
      <c r="V53" s="216">
        <f ca="1">IFERROR(IF(SUM(S11:V11)&lt;0,"NM ",SUM(S11:V11)/SUM(S21:V21))," NA")</f>
        <v>1.6338610232322408</v>
      </c>
    </row>
    <row r="54" spans="2:23">
      <c r="C54" s="204" t="s">
        <v>99</v>
      </c>
      <c r="F54" s="198"/>
      <c r="G54" s="216">
        <f t="shared" ref="G54:M54" si="29">IFERROR(G23/(G23+G25)," NA")</f>
        <v>0.23959353563915564</v>
      </c>
      <c r="H54" s="216">
        <f t="shared" si="29"/>
        <v>0.22971965526281299</v>
      </c>
      <c r="I54" s="216">
        <f t="shared" si="29"/>
        <v>0.22956468689553053</v>
      </c>
      <c r="J54" s="216">
        <f t="shared" si="29"/>
        <v>0.22394068973177109</v>
      </c>
      <c r="K54" s="216">
        <f t="shared" si="29"/>
        <v>0.22743056098721959</v>
      </c>
      <c r="L54" s="216">
        <f t="shared" ca="1" si="29"/>
        <v>0.21906627861101399</v>
      </c>
      <c r="M54" s="216">
        <f t="shared" ca="1" si="29"/>
        <v>0.21073066968396006</v>
      </c>
      <c r="N54" s="217"/>
      <c r="O54" s="217"/>
      <c r="P54" s="217"/>
      <c r="Q54" s="217"/>
      <c r="R54" s="216">
        <f>IFERROR(R23/(R23+R25)," NA")</f>
        <v>0.22814901405961449</v>
      </c>
      <c r="S54" s="216">
        <f>IFERROR(S23/(S23+S25)," NA")</f>
        <v>0.2255809004095195</v>
      </c>
      <c r="T54" s="216">
        <f>IFERROR(T23/(T23+T25)," NA")</f>
        <v>0.22394068973177109</v>
      </c>
      <c r="U54" s="216">
        <f>IFERROR(U23/(U23+U25)," NA")</f>
        <v>0.22743056098721959</v>
      </c>
      <c r="V54" s="216">
        <f ca="1">IFERROR(V23/(V23+V25)," NA")</f>
        <v>0.22434359322670197</v>
      </c>
    </row>
    <row r="55" spans="2:23">
      <c r="C55" s="204" t="s">
        <v>102</v>
      </c>
      <c r="F55" s="198"/>
      <c r="G55" s="216">
        <f t="shared" ref="G55:M55" si="30">IFERROR(G24/G32," NA")</f>
        <v>0.19192626896107814</v>
      </c>
      <c r="H55" s="216">
        <f t="shared" si="30"/>
        <v>0.17492837174864695</v>
      </c>
      <c r="I55" s="216">
        <f t="shared" si="30"/>
        <v>0.15212361686382186</v>
      </c>
      <c r="J55" s="216">
        <f t="shared" si="30"/>
        <v>0.12301493792612213</v>
      </c>
      <c r="K55" s="216">
        <f t="shared" si="30"/>
        <v>0.12296622253670264</v>
      </c>
      <c r="L55" s="216">
        <f t="shared" ca="1" si="30"/>
        <v>8.756629320260112E-2</v>
      </c>
      <c r="M55" s="216">
        <f t="shared" ca="1" si="30"/>
        <v>4.7041879644953363E-2</v>
      </c>
      <c r="N55" s="198"/>
      <c r="O55" s="198"/>
      <c r="P55" s="198"/>
      <c r="Q55" s="198"/>
      <c r="R55" s="216">
        <f>IFERROR(R24/R32," NA")</f>
        <v>0.13412118086106981</v>
      </c>
      <c r="S55" s="216">
        <f>IFERROR(S24/S32," NA")</f>
        <v>0.13024341913230802</v>
      </c>
      <c r="T55" s="216">
        <f>IFERROR(T24/T32," NA")</f>
        <v>0.12301493792612213</v>
      </c>
      <c r="U55" s="216">
        <f>IFERROR(U24/U32," NA")</f>
        <v>0.12296622253670264</v>
      </c>
      <c r="V55" s="216">
        <f ca="1">IFERROR(V24/V32," NA")</f>
        <v>0.10934233115301409</v>
      </c>
    </row>
    <row r="58" spans="2:23">
      <c r="B58" s="218" t="s">
        <v>137</v>
      </c>
      <c r="C58" s="219" t="s">
        <v>198</v>
      </c>
      <c r="D58" s="219" t="s">
        <v>199</v>
      </c>
      <c r="E58" s="219" t="s">
        <v>200</v>
      </c>
      <c r="F58" s="219" t="s">
        <v>201</v>
      </c>
      <c r="G58" s="219" t="s">
        <v>202</v>
      </c>
      <c r="H58" s="219" t="s">
        <v>203</v>
      </c>
      <c r="I58" s="219" t="s">
        <v>204</v>
      </c>
      <c r="J58" s="219" t="s">
        <v>205</v>
      </c>
      <c r="K58" s="219"/>
      <c r="L58" s="219"/>
      <c r="M58" s="219"/>
      <c r="N58" s="219"/>
      <c r="O58" s="219"/>
      <c r="P58" s="219"/>
      <c r="Q58" s="219"/>
      <c r="R58" s="219"/>
      <c r="S58" s="219"/>
      <c r="T58" s="219"/>
      <c r="U58" s="219"/>
      <c r="V58" s="219"/>
      <c r="W58" s="219"/>
    </row>
    <row r="59" spans="2:23">
      <c r="C59" s="194"/>
      <c r="D59" s="194"/>
      <c r="E59" s="194"/>
      <c r="F59" s="194"/>
      <c r="G59" s="194"/>
      <c r="H59" s="194"/>
      <c r="I59" s="194"/>
      <c r="J59" s="194"/>
      <c r="K59" s="194"/>
      <c r="L59" s="194"/>
      <c r="M59" s="194"/>
      <c r="N59" s="194"/>
      <c r="O59" s="194"/>
      <c r="P59" s="194"/>
      <c r="Q59" s="194"/>
      <c r="R59" s="194"/>
      <c r="S59" s="194"/>
      <c r="T59" s="194"/>
      <c r="U59" s="194"/>
      <c r="V59" s="194"/>
      <c r="W59" s="194"/>
    </row>
    <row r="60" spans="2:23">
      <c r="C60" s="220" t="str">
        <f ca="1">IF(BBswitch=1,_xll.BDS('One Pager - 1'!$D$3&amp;" EQUITY","TOP_20_HOLDERS_PUBLIC_FILINGS","cols=10;rows=20"),C60)</f>
        <v>VANGUARD GROUP</v>
      </c>
      <c r="D60" s="195" t="s">
        <v>206</v>
      </c>
      <c r="E60" s="195" t="s">
        <v>212</v>
      </c>
      <c r="F60" s="195">
        <v>51369578</v>
      </c>
      <c r="G60" s="195">
        <v>9.5299999999999994</v>
      </c>
      <c r="H60" s="195">
        <v>22613904</v>
      </c>
      <c r="I60" s="221">
        <v>44651</v>
      </c>
      <c r="J60" s="195" t="s">
        <v>209</v>
      </c>
      <c r="K60" s="195" t="s">
        <v>210</v>
      </c>
      <c r="L60" s="195" t="s">
        <v>213</v>
      </c>
    </row>
    <row r="61" spans="2:23">
      <c r="C61" s="195" t="s">
        <v>809</v>
      </c>
      <c r="D61" s="195" t="s">
        <v>809</v>
      </c>
      <c r="E61" s="195" t="s">
        <v>208</v>
      </c>
      <c r="F61" s="195">
        <v>50451450</v>
      </c>
      <c r="G61" s="195">
        <v>9.36</v>
      </c>
      <c r="H61" s="195">
        <v>3534118</v>
      </c>
      <c r="I61" s="221">
        <v>44651</v>
      </c>
      <c r="J61" s="195" t="s">
        <v>209</v>
      </c>
      <c r="K61" s="195" t="s">
        <v>210</v>
      </c>
      <c r="L61" s="195" t="s">
        <v>214</v>
      </c>
    </row>
    <row r="62" spans="2:23">
      <c r="C62" s="195" t="s">
        <v>300</v>
      </c>
      <c r="D62" s="195" t="s">
        <v>206</v>
      </c>
      <c r="E62" s="195" t="s">
        <v>212</v>
      </c>
      <c r="F62" s="195">
        <v>39825902</v>
      </c>
      <c r="G62" s="195">
        <v>7.39</v>
      </c>
      <c r="H62" s="195">
        <v>-633239</v>
      </c>
      <c r="I62" s="221">
        <v>44651</v>
      </c>
      <c r="J62" s="195" t="s">
        <v>209</v>
      </c>
      <c r="K62" s="195" t="s">
        <v>210</v>
      </c>
      <c r="L62" s="195" t="s">
        <v>214</v>
      </c>
    </row>
    <row r="63" spans="2:23">
      <c r="C63" s="222" t="s">
        <v>645</v>
      </c>
      <c r="D63" s="223" t="s">
        <v>645</v>
      </c>
      <c r="E63" s="195" t="s">
        <v>208</v>
      </c>
      <c r="F63" s="195">
        <v>29195602</v>
      </c>
      <c r="G63" s="195">
        <v>5.42</v>
      </c>
      <c r="H63" s="195">
        <v>441742</v>
      </c>
      <c r="I63" s="221">
        <v>44651</v>
      </c>
      <c r="J63" s="195" t="s">
        <v>209</v>
      </c>
      <c r="K63" s="195" t="s">
        <v>210</v>
      </c>
      <c r="L63" s="195" t="s">
        <v>646</v>
      </c>
    </row>
    <row r="64" spans="2:23">
      <c r="C64" s="195" t="s">
        <v>302</v>
      </c>
      <c r="D64" s="195" t="s">
        <v>206</v>
      </c>
      <c r="E64" s="195" t="s">
        <v>212</v>
      </c>
      <c r="F64" s="195">
        <v>25891945</v>
      </c>
      <c r="G64" s="195">
        <v>4.8</v>
      </c>
      <c r="H64" s="195">
        <v>2085537</v>
      </c>
      <c r="I64" s="221">
        <v>44561</v>
      </c>
      <c r="J64" s="195" t="s">
        <v>209</v>
      </c>
      <c r="K64" s="195" t="s">
        <v>210</v>
      </c>
      <c r="L64" s="195" t="s">
        <v>215</v>
      </c>
    </row>
    <row r="65" spans="3:20">
      <c r="C65" s="195" t="s">
        <v>649</v>
      </c>
      <c r="D65" s="195" t="s">
        <v>649</v>
      </c>
      <c r="E65" s="195" t="s">
        <v>208</v>
      </c>
      <c r="F65" s="195">
        <v>10221400</v>
      </c>
      <c r="G65" s="195">
        <v>1.9</v>
      </c>
      <c r="H65" s="195">
        <v>497956</v>
      </c>
      <c r="I65" s="221">
        <v>44651</v>
      </c>
      <c r="J65" s="195" t="s">
        <v>650</v>
      </c>
      <c r="K65" s="221" t="s">
        <v>651</v>
      </c>
      <c r="L65" s="195" t="s">
        <v>652</v>
      </c>
    </row>
    <row r="66" spans="3:20">
      <c r="C66" s="195" t="s">
        <v>653</v>
      </c>
      <c r="D66" s="195" t="s">
        <v>653</v>
      </c>
      <c r="E66" s="195" t="s">
        <v>208</v>
      </c>
      <c r="F66" s="195">
        <v>9238722</v>
      </c>
      <c r="G66" s="195">
        <v>1.71</v>
      </c>
      <c r="H66" s="195">
        <v>289304</v>
      </c>
      <c r="I66" s="221">
        <v>44651</v>
      </c>
      <c r="J66" s="195" t="s">
        <v>209</v>
      </c>
      <c r="K66" s="195" t="s">
        <v>210</v>
      </c>
      <c r="L66" s="195" t="s">
        <v>215</v>
      </c>
      <c r="N66" s="195" t="s">
        <v>116</v>
      </c>
      <c r="S66" s="221" t="s">
        <v>210</v>
      </c>
    </row>
    <row r="67" spans="3:20">
      <c r="C67" s="222" t="s">
        <v>792</v>
      </c>
      <c r="D67" s="223" t="s">
        <v>792</v>
      </c>
      <c r="E67" s="195" t="s">
        <v>208</v>
      </c>
      <c r="F67" s="195">
        <v>8683067</v>
      </c>
      <c r="G67" s="195">
        <v>1.61</v>
      </c>
      <c r="H67" s="195">
        <v>6457912</v>
      </c>
      <c r="I67" s="221">
        <v>44561</v>
      </c>
      <c r="J67" s="195" t="s">
        <v>782</v>
      </c>
      <c r="K67" s="195" t="s">
        <v>210</v>
      </c>
      <c r="L67" s="195" t="s">
        <v>214</v>
      </c>
      <c r="N67" s="222"/>
      <c r="O67" s="223"/>
      <c r="T67" s="221" t="s">
        <v>210</v>
      </c>
    </row>
    <row r="68" spans="3:20">
      <c r="C68" s="222" t="s">
        <v>787</v>
      </c>
      <c r="D68" s="223" t="s">
        <v>663</v>
      </c>
      <c r="E68" s="195" t="s">
        <v>664</v>
      </c>
      <c r="F68" s="195">
        <v>7282000</v>
      </c>
      <c r="G68" s="195">
        <v>1.35</v>
      </c>
      <c r="H68" s="195">
        <v>6282000</v>
      </c>
      <c r="I68" s="221">
        <v>44377</v>
      </c>
      <c r="J68" s="195" t="s">
        <v>209</v>
      </c>
      <c r="K68" s="195" t="s">
        <v>788</v>
      </c>
      <c r="L68" s="195" t="s">
        <v>788</v>
      </c>
      <c r="N68" s="222"/>
      <c r="O68" s="223"/>
      <c r="T68" s="221" t="s">
        <v>210</v>
      </c>
    </row>
    <row r="69" spans="3:20" s="222" customFormat="1">
      <c r="C69" s="222" t="s">
        <v>656</v>
      </c>
      <c r="D69" s="223" t="s">
        <v>656</v>
      </c>
      <c r="E69" s="195" t="s">
        <v>208</v>
      </c>
      <c r="F69" s="195">
        <v>6626465</v>
      </c>
      <c r="G69" s="195">
        <v>1.23</v>
      </c>
      <c r="H69" s="195">
        <v>1518257</v>
      </c>
      <c r="I69" s="221">
        <v>44561</v>
      </c>
      <c r="J69" s="195" t="s">
        <v>657</v>
      </c>
      <c r="K69" s="195" t="s">
        <v>217</v>
      </c>
      <c r="L69" s="195" t="s">
        <v>216</v>
      </c>
      <c r="M69" s="195"/>
      <c r="N69" s="222" t="s">
        <v>126</v>
      </c>
      <c r="O69" s="223" t="s">
        <v>127</v>
      </c>
      <c r="P69" s="195" t="s">
        <v>128</v>
      </c>
      <c r="Q69" s="195"/>
      <c r="R69" s="195" t="s">
        <v>129</v>
      </c>
      <c r="S69" s="195" t="s">
        <v>210</v>
      </c>
      <c r="T69" s="221"/>
    </row>
    <row r="70" spans="3:20">
      <c r="C70" s="222" t="s">
        <v>647</v>
      </c>
      <c r="D70" s="223" t="s">
        <v>648</v>
      </c>
      <c r="E70" s="195" t="s">
        <v>208</v>
      </c>
      <c r="F70" s="195">
        <v>5752447</v>
      </c>
      <c r="G70" s="195">
        <v>1.07</v>
      </c>
      <c r="H70" s="195">
        <v>946311</v>
      </c>
      <c r="I70" s="221">
        <v>44651</v>
      </c>
      <c r="J70" s="195" t="s">
        <v>209</v>
      </c>
      <c r="K70" s="195" t="s">
        <v>210</v>
      </c>
      <c r="L70" s="195" t="s">
        <v>214</v>
      </c>
      <c r="N70" s="222" t="s">
        <v>214</v>
      </c>
      <c r="O70" s="223"/>
      <c r="S70" s="195" t="s">
        <v>210</v>
      </c>
      <c r="T70" s="221"/>
    </row>
    <row r="71" spans="3:20">
      <c r="C71" s="222" t="s">
        <v>789</v>
      </c>
      <c r="D71" s="223" t="s">
        <v>206</v>
      </c>
      <c r="E71" s="195" t="s">
        <v>212</v>
      </c>
      <c r="F71" s="195">
        <v>5493998</v>
      </c>
      <c r="G71" s="195">
        <v>1.02</v>
      </c>
      <c r="H71" s="195">
        <v>1610328</v>
      </c>
      <c r="I71" s="221">
        <v>44561</v>
      </c>
      <c r="J71" s="195" t="s">
        <v>782</v>
      </c>
      <c r="K71" s="195" t="s">
        <v>210</v>
      </c>
      <c r="L71" s="195" t="s">
        <v>214</v>
      </c>
      <c r="N71" s="222" t="s">
        <v>211</v>
      </c>
      <c r="O71" s="223"/>
      <c r="S71" s="195" t="s">
        <v>210</v>
      </c>
      <c r="T71" s="221"/>
    </row>
    <row r="72" spans="3:20">
      <c r="C72" s="222" t="s">
        <v>659</v>
      </c>
      <c r="D72" s="223" t="s">
        <v>206</v>
      </c>
      <c r="E72" s="195" t="s">
        <v>212</v>
      </c>
      <c r="F72" s="195">
        <v>5408881</v>
      </c>
      <c r="G72" s="195">
        <v>1</v>
      </c>
      <c r="H72" s="195">
        <v>279688</v>
      </c>
      <c r="I72" s="221">
        <v>44651</v>
      </c>
      <c r="J72" s="195" t="s">
        <v>209</v>
      </c>
      <c r="K72" s="195" t="s">
        <v>210</v>
      </c>
      <c r="L72" s="195" t="s">
        <v>214</v>
      </c>
      <c r="N72" s="222" t="s">
        <v>216</v>
      </c>
      <c r="O72" s="223"/>
      <c r="S72" s="195" t="s">
        <v>217</v>
      </c>
      <c r="T72" s="221"/>
    </row>
    <row r="73" spans="3:20">
      <c r="C73" s="222" t="s">
        <v>654</v>
      </c>
      <c r="D73" s="223" t="s">
        <v>654</v>
      </c>
      <c r="E73" s="195" t="s">
        <v>208</v>
      </c>
      <c r="F73" s="195">
        <v>5305248</v>
      </c>
      <c r="G73" s="195">
        <v>0.98</v>
      </c>
      <c r="H73" s="195">
        <v>-1391905</v>
      </c>
      <c r="I73" s="221">
        <v>44651</v>
      </c>
      <c r="J73" s="195" t="s">
        <v>650</v>
      </c>
      <c r="K73" s="195" t="s">
        <v>210</v>
      </c>
      <c r="L73" s="195" t="s">
        <v>655</v>
      </c>
      <c r="N73" s="222" t="s">
        <v>218</v>
      </c>
      <c r="O73" s="223"/>
      <c r="S73" s="195" t="s">
        <v>210</v>
      </c>
      <c r="T73" s="221"/>
    </row>
    <row r="74" spans="3:20">
      <c r="C74" s="222" t="s">
        <v>781</v>
      </c>
      <c r="D74" s="223" t="s">
        <v>781</v>
      </c>
      <c r="E74" s="195" t="s">
        <v>208</v>
      </c>
      <c r="F74" s="195">
        <v>5176465</v>
      </c>
      <c r="G74" s="195">
        <v>0.96</v>
      </c>
      <c r="H74" s="195">
        <v>1285800</v>
      </c>
      <c r="I74" s="221">
        <v>44651</v>
      </c>
      <c r="J74" s="195" t="s">
        <v>782</v>
      </c>
      <c r="K74" s="195" t="s">
        <v>210</v>
      </c>
      <c r="L74" s="195" t="s">
        <v>214</v>
      </c>
      <c r="N74" s="222" t="s">
        <v>211</v>
      </c>
      <c r="O74" s="223"/>
      <c r="S74" s="195" t="s">
        <v>210</v>
      </c>
      <c r="T74" s="221"/>
    </row>
    <row r="75" spans="3:20">
      <c r="C75" s="222" t="s">
        <v>660</v>
      </c>
      <c r="D75" s="223" t="s">
        <v>206</v>
      </c>
      <c r="E75" s="195" t="s">
        <v>212</v>
      </c>
      <c r="F75" s="195">
        <v>4731036</v>
      </c>
      <c r="G75" s="195">
        <v>0.88</v>
      </c>
      <c r="H75" s="195">
        <v>239667</v>
      </c>
      <c r="I75" s="221">
        <v>44651</v>
      </c>
      <c r="J75" s="195" t="s">
        <v>661</v>
      </c>
      <c r="K75" s="195" t="s">
        <v>210</v>
      </c>
      <c r="L75" s="195" t="s">
        <v>662</v>
      </c>
      <c r="N75" s="222" t="s">
        <v>207</v>
      </c>
      <c r="O75" s="223"/>
      <c r="S75" s="195" t="s">
        <v>206</v>
      </c>
      <c r="T75" s="221"/>
    </row>
    <row r="76" spans="3:20">
      <c r="C76" s="222" t="s">
        <v>658</v>
      </c>
      <c r="D76" s="223" t="s">
        <v>206</v>
      </c>
      <c r="E76" s="195" t="s">
        <v>301</v>
      </c>
      <c r="F76" s="195">
        <v>4680799</v>
      </c>
      <c r="G76" s="195">
        <v>0.87</v>
      </c>
      <c r="H76" s="195">
        <v>-145378</v>
      </c>
      <c r="I76" s="221">
        <v>44620</v>
      </c>
      <c r="J76" s="195" t="s">
        <v>207</v>
      </c>
      <c r="K76" s="195" t="s">
        <v>206</v>
      </c>
      <c r="L76" s="195" t="s">
        <v>207</v>
      </c>
      <c r="N76" s="222" t="s">
        <v>214</v>
      </c>
      <c r="O76" s="223"/>
      <c r="S76" s="195" t="s">
        <v>210</v>
      </c>
      <c r="T76" s="221"/>
    </row>
    <row r="77" spans="3:20">
      <c r="C77" s="222" t="s">
        <v>810</v>
      </c>
      <c r="D77" s="223" t="s">
        <v>206</v>
      </c>
      <c r="E77" s="195" t="s">
        <v>212</v>
      </c>
      <c r="F77" s="195">
        <v>3662422</v>
      </c>
      <c r="G77" s="195">
        <v>0.68</v>
      </c>
      <c r="H77" s="195">
        <v>3297791</v>
      </c>
      <c r="I77" s="221">
        <v>44651</v>
      </c>
      <c r="J77" s="195" t="s">
        <v>209</v>
      </c>
      <c r="K77" s="195" t="s">
        <v>811</v>
      </c>
      <c r="L77" s="195" t="s">
        <v>812</v>
      </c>
      <c r="N77" s="222" t="s">
        <v>219</v>
      </c>
      <c r="O77" s="223"/>
      <c r="S77" s="195" t="s">
        <v>220</v>
      </c>
      <c r="T77" s="221"/>
    </row>
    <row r="78" spans="3:20">
      <c r="C78" s="222" t="s">
        <v>793</v>
      </c>
      <c r="D78" s="223" t="s">
        <v>206</v>
      </c>
      <c r="E78" s="195" t="s">
        <v>212</v>
      </c>
      <c r="F78" s="195">
        <v>3303134</v>
      </c>
      <c r="G78" s="195">
        <v>0.61</v>
      </c>
      <c r="H78" s="195">
        <v>67839</v>
      </c>
      <c r="I78" s="221">
        <v>44651</v>
      </c>
      <c r="J78" s="195" t="s">
        <v>209</v>
      </c>
      <c r="K78" s="195" t="s">
        <v>210</v>
      </c>
      <c r="L78" s="195" t="s">
        <v>215</v>
      </c>
      <c r="N78" s="222" t="s">
        <v>214</v>
      </c>
      <c r="O78" s="223"/>
      <c r="S78" s="195" t="s">
        <v>210</v>
      </c>
      <c r="T78" s="221"/>
    </row>
    <row r="79" spans="3:20">
      <c r="C79" s="222" t="s">
        <v>790</v>
      </c>
      <c r="D79" s="223" t="s">
        <v>791</v>
      </c>
      <c r="E79" s="195" t="s">
        <v>208</v>
      </c>
      <c r="F79" s="195">
        <v>2939960</v>
      </c>
      <c r="G79" s="195">
        <v>0.55000000000000004</v>
      </c>
      <c r="H79" s="195">
        <v>-413253</v>
      </c>
      <c r="I79" s="221">
        <v>44561</v>
      </c>
      <c r="J79" s="195" t="s">
        <v>782</v>
      </c>
      <c r="K79" s="195" t="s">
        <v>210</v>
      </c>
      <c r="L79" s="195" t="s">
        <v>214</v>
      </c>
      <c r="N79" s="222" t="s">
        <v>221</v>
      </c>
      <c r="O79" s="223"/>
      <c r="S79" s="195" t="s">
        <v>210</v>
      </c>
      <c r="T79" s="221"/>
    </row>
    <row r="80" spans="3:20">
      <c r="E80" s="224"/>
      <c r="F80" s="224"/>
      <c r="G80" s="224"/>
      <c r="H80" s="224"/>
      <c r="I80" s="224"/>
      <c r="J80" s="224"/>
      <c r="K80" s="221"/>
      <c r="L80" s="221"/>
      <c r="M80" s="221"/>
      <c r="N80" s="221"/>
    </row>
    <row r="81" spans="2:23">
      <c r="B81" s="218" t="s">
        <v>137</v>
      </c>
      <c r="C81" s="219" t="s">
        <v>222</v>
      </c>
      <c r="D81" s="219"/>
      <c r="E81" s="225"/>
      <c r="F81" s="225"/>
      <c r="G81" s="225"/>
      <c r="H81" s="225"/>
      <c r="I81" s="225"/>
      <c r="J81" s="225"/>
      <c r="K81" s="219"/>
      <c r="L81" s="219"/>
      <c r="M81" s="219"/>
      <c r="N81" s="219"/>
      <c r="O81" s="219"/>
      <c r="P81" s="219"/>
      <c r="Q81" s="219"/>
      <c r="R81" s="219"/>
      <c r="S81" s="219"/>
      <c r="V81" s="219"/>
      <c r="W81" s="219"/>
    </row>
    <row r="82" spans="2:23">
      <c r="E82" s="224"/>
      <c r="F82" s="224"/>
      <c r="G82" s="224"/>
      <c r="H82" s="224"/>
      <c r="I82" s="224"/>
      <c r="J82" s="224"/>
      <c r="K82" s="221"/>
      <c r="L82" s="221"/>
      <c r="M82" s="221"/>
      <c r="N82" s="221"/>
    </row>
    <row r="83" spans="2:23">
      <c r="C83" s="220" t="str">
        <f ca="1">IF(BBswitch=1,_xll.BDS('One Pager - 1'!$D$3&amp;" EQUITY","BLOOMBERG_PEERS","cols=1;rows=4"),C83)</f>
        <v>CDE US</v>
      </c>
      <c r="E83" s="224"/>
      <c r="F83" s="224"/>
      <c r="G83" s="224"/>
      <c r="H83" s="224"/>
      <c r="I83" s="224"/>
      <c r="J83" s="224"/>
      <c r="L83" s="221"/>
      <c r="M83" s="221"/>
    </row>
    <row r="84" spans="2:23">
      <c r="C84" s="195" t="s">
        <v>622</v>
      </c>
      <c r="E84" s="224"/>
      <c r="F84" s="226"/>
      <c r="G84" s="224"/>
      <c r="H84" s="224"/>
      <c r="I84" s="224"/>
      <c r="J84" s="224"/>
      <c r="K84" s="221"/>
      <c r="L84" s="221"/>
      <c r="M84" s="221"/>
      <c r="N84" s="221"/>
    </row>
    <row r="85" spans="2:23">
      <c r="C85" s="195" t="s">
        <v>623</v>
      </c>
      <c r="E85" s="224"/>
      <c r="F85" s="224"/>
      <c r="G85" s="224"/>
      <c r="H85" s="224"/>
      <c r="I85" s="224"/>
      <c r="J85" s="224"/>
      <c r="K85" s="221"/>
      <c r="N85" s="221"/>
    </row>
    <row r="86" spans="2:23">
      <c r="C86" s="195" t="s">
        <v>644</v>
      </c>
      <c r="E86" s="224"/>
      <c r="F86" s="224"/>
      <c r="G86" s="224"/>
      <c r="H86" s="224"/>
      <c r="I86" s="224"/>
      <c r="J86" s="224" t="e">
        <f ca="1">_xll.BDS("GE US EQUITY","CIE_DES_BULK","cols=1;rows=4")</f>
        <v>#NAME?</v>
      </c>
      <c r="K86" s="221"/>
      <c r="N86" s="221"/>
    </row>
    <row r="87" spans="2:23">
      <c r="E87" s="224"/>
      <c r="F87" s="224"/>
      <c r="G87" s="224"/>
      <c r="H87" s="224"/>
      <c r="I87" s="224"/>
      <c r="J87" s="224" t="s">
        <v>223</v>
      </c>
      <c r="K87" s="221"/>
      <c r="N87" s="221"/>
    </row>
    <row r="88" spans="2:23">
      <c r="E88" s="224"/>
      <c r="F88" s="224"/>
      <c r="G88" s="224"/>
      <c r="H88" s="224"/>
      <c r="I88" s="224"/>
      <c r="J88" s="224" t="s">
        <v>224</v>
      </c>
      <c r="K88" s="221"/>
      <c r="N88" s="221"/>
    </row>
    <row r="89" spans="2:23">
      <c r="E89" s="224"/>
      <c r="F89" s="224"/>
      <c r="G89" s="224"/>
      <c r="H89" s="224"/>
      <c r="I89" s="224"/>
      <c r="J89" s="224" t="s">
        <v>225</v>
      </c>
      <c r="K89" s="221"/>
      <c r="N89" s="221"/>
    </row>
    <row r="90" spans="2:23">
      <c r="E90" s="224"/>
      <c r="F90" s="224"/>
      <c r="G90" s="224"/>
      <c r="H90" s="224"/>
      <c r="I90" s="224"/>
      <c r="J90" s="224"/>
      <c r="K90" s="221"/>
      <c r="N90" s="221"/>
    </row>
    <row r="91" spans="2:23">
      <c r="E91" s="224"/>
      <c r="F91" s="224"/>
      <c r="G91" s="224"/>
      <c r="H91" s="224"/>
      <c r="I91" s="224"/>
      <c r="J91" s="224"/>
      <c r="K91" s="221"/>
      <c r="N91" s="221"/>
    </row>
    <row r="92" spans="2:23">
      <c r="E92" s="224"/>
      <c r="F92" s="224"/>
      <c r="G92" s="224"/>
      <c r="H92" s="224"/>
      <c r="I92" s="224"/>
      <c r="J92" s="224"/>
      <c r="K92" s="221"/>
      <c r="N92" s="221"/>
    </row>
  </sheetData>
  <pageMargins left="0.7" right="0.7" top="0.75" bottom="0.75" header="0.3" footer="0.3"/>
  <pageSetup orientation="portrait" r:id="rId1"/>
  <ignoredErrors>
    <ignoredError sqref="K33:L33 K7 K34 K12 K14" formulaRange="1"/>
    <ignoredError sqref="K22:K23 K32 K28" formula="1" formulaRange="1"/>
    <ignoredError sqref="K21:L21 L22 K24:K27 K29:K31" 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Z705"/>
  <sheetViews>
    <sheetView showGridLines="0" zoomScaleNormal="100" workbookViewId="0">
      <pane xSplit="4" ySplit="6" topLeftCell="M7" activePane="bottomRight" state="frozen"/>
      <selection activeCell="M22" sqref="M22"/>
      <selection pane="topRight" activeCell="M22" sqref="M22"/>
      <selection pane="bottomLeft" activeCell="M22" sqref="M22"/>
      <selection pane="bottomRight"/>
    </sheetView>
  </sheetViews>
  <sheetFormatPr defaultColWidth="9.19921875" defaultRowHeight="10.5" customHeight="1" outlineLevelRow="1" outlineLevelCol="1"/>
  <cols>
    <col min="1" max="2" width="1.73046875" style="281" customWidth="1"/>
    <col min="3" max="3" width="35.73046875" style="281" customWidth="1" collapsed="1"/>
    <col min="4" max="12" width="9.19921875" style="281" hidden="1" customWidth="1" outlineLevel="1"/>
    <col min="13" max="13" width="9.19921875" style="281" customWidth="1" collapsed="1"/>
    <col min="14" max="21" width="9.19921875" style="281" customWidth="1"/>
    <col min="22" max="24" width="9.19921875" style="281" customWidth="1" outlineLevel="1"/>
    <col min="25" max="25" width="9.19921875" style="305"/>
    <col min="26" max="27" width="9.19921875" style="281"/>
    <col min="28" max="28" width="9.265625" style="281" bestFit="1" customWidth="1"/>
    <col min="29" max="29" width="9.46484375" style="281" bestFit="1" customWidth="1"/>
    <col min="30" max="34" width="9.796875" style="281" bestFit="1" customWidth="1"/>
    <col min="35" max="16384" width="9.19921875" style="281"/>
  </cols>
  <sheetData>
    <row r="1" spans="1:52" ht="10.5" customHeight="1">
      <c r="A1" s="194" t="str">
        <f ca="1">+'One Pager - 1'!$D$2</f>
        <v>Hecla Mining Co</v>
      </c>
      <c r="D1" s="305"/>
      <c r="Y1" s="283"/>
    </row>
    <row r="2" spans="1:52" ht="10.5" customHeight="1">
      <c r="A2" s="376" t="s">
        <v>241</v>
      </c>
      <c r="Y2" s="283"/>
    </row>
    <row r="3" spans="1:52" ht="10.5" customHeight="1">
      <c r="C3" s="390" t="s">
        <v>397</v>
      </c>
      <c r="E3" s="314">
        <f>E158</f>
        <v>0</v>
      </c>
      <c r="F3" s="314">
        <f t="shared" ref="F3:AG3" si="0">F158</f>
        <v>0</v>
      </c>
      <c r="G3" s="314">
        <f t="shared" si="0"/>
        <v>0</v>
      </c>
      <c r="H3" s="314">
        <f t="shared" si="0"/>
        <v>0</v>
      </c>
      <c r="I3" s="314">
        <f t="shared" si="0"/>
        <v>0</v>
      </c>
      <c r="J3" s="314">
        <f t="shared" si="0"/>
        <v>0</v>
      </c>
      <c r="K3" s="314">
        <f t="shared" si="0"/>
        <v>0</v>
      </c>
      <c r="L3" s="314">
        <f t="shared" si="0"/>
        <v>0</v>
      </c>
      <c r="M3" s="314">
        <f t="shared" si="0"/>
        <v>0</v>
      </c>
      <c r="N3" s="314">
        <f t="shared" si="0"/>
        <v>0</v>
      </c>
      <c r="O3" s="314">
        <f t="shared" si="0"/>
        <v>0</v>
      </c>
      <c r="P3" s="314">
        <f t="shared" si="0"/>
        <v>0</v>
      </c>
      <c r="Q3" s="314">
        <f t="shared" si="0"/>
        <v>0</v>
      </c>
      <c r="R3" s="314">
        <f t="shared" si="0"/>
        <v>0</v>
      </c>
      <c r="S3" s="314">
        <f t="shared" si="0"/>
        <v>0</v>
      </c>
      <c r="T3" s="314">
        <f t="shared" si="0"/>
        <v>0</v>
      </c>
      <c r="U3" s="314">
        <f t="shared" ref="U3:X3" si="1">U158</f>
        <v>0</v>
      </c>
      <c r="V3" s="314">
        <f t="shared" ca="1" si="1"/>
        <v>0</v>
      </c>
      <c r="W3" s="314">
        <f t="shared" ca="1" si="1"/>
        <v>0</v>
      </c>
      <c r="X3" s="314">
        <f t="shared" ca="1" si="1"/>
        <v>0</v>
      </c>
      <c r="Y3" s="283"/>
      <c r="Z3" s="314">
        <f t="shared" si="0"/>
        <v>0</v>
      </c>
      <c r="AA3" s="314">
        <f t="shared" si="0"/>
        <v>0</v>
      </c>
      <c r="AB3" s="314">
        <f t="shared" si="0"/>
        <v>0</v>
      </c>
      <c r="AC3" s="314">
        <f t="shared" si="0"/>
        <v>0</v>
      </c>
      <c r="AD3" s="314">
        <f t="shared" si="0"/>
        <v>0</v>
      </c>
      <c r="AE3" s="314">
        <f t="shared" si="0"/>
        <v>0</v>
      </c>
      <c r="AF3" s="314">
        <f t="shared" ca="1" si="0"/>
        <v>0</v>
      </c>
      <c r="AG3" s="314">
        <f t="shared" ca="1" si="0"/>
        <v>0</v>
      </c>
      <c r="AH3" s="314">
        <f t="shared" ref="AH3" ca="1" si="2">AH158</f>
        <v>0</v>
      </c>
    </row>
    <row r="4" spans="1:52" ht="10.5" customHeight="1">
      <c r="C4" s="390" t="s">
        <v>398</v>
      </c>
      <c r="E4" s="314">
        <f>E239</f>
        <v>0</v>
      </c>
      <c r="F4" s="314">
        <f t="shared" ref="F4:AG4" si="3">F239</f>
        <v>0</v>
      </c>
      <c r="G4" s="314">
        <f t="shared" si="3"/>
        <v>0</v>
      </c>
      <c r="H4" s="314">
        <f t="shared" si="3"/>
        <v>0</v>
      </c>
      <c r="I4" s="314">
        <f t="shared" si="3"/>
        <v>0</v>
      </c>
      <c r="J4" s="314">
        <f t="shared" si="3"/>
        <v>0</v>
      </c>
      <c r="K4" s="314">
        <f t="shared" si="3"/>
        <v>0</v>
      </c>
      <c r="L4" s="314">
        <f t="shared" si="3"/>
        <v>0</v>
      </c>
      <c r="M4" s="314">
        <f t="shared" si="3"/>
        <v>0</v>
      </c>
      <c r="N4" s="314">
        <f t="shared" si="3"/>
        <v>0</v>
      </c>
      <c r="O4" s="314">
        <f t="shared" si="3"/>
        <v>0</v>
      </c>
      <c r="P4" s="314">
        <f t="shared" si="3"/>
        <v>0</v>
      </c>
      <c r="Q4" s="314">
        <f t="shared" si="3"/>
        <v>0</v>
      </c>
      <c r="R4" s="314">
        <f t="shared" si="3"/>
        <v>0</v>
      </c>
      <c r="S4" s="408">
        <f t="shared" si="3"/>
        <v>0</v>
      </c>
      <c r="T4" s="314">
        <f t="shared" si="3"/>
        <v>0</v>
      </c>
      <c r="U4" s="314">
        <f t="shared" ref="U4:X4" si="4">U239</f>
        <v>0</v>
      </c>
      <c r="V4" s="314">
        <f t="shared" ca="1" si="4"/>
        <v>0</v>
      </c>
      <c r="W4" s="314">
        <f t="shared" ca="1" si="4"/>
        <v>0</v>
      </c>
      <c r="X4" s="314">
        <f t="shared" ca="1" si="4"/>
        <v>0</v>
      </c>
      <c r="Y4" s="283"/>
      <c r="Z4" s="314">
        <f t="shared" si="3"/>
        <v>0</v>
      </c>
      <c r="AA4" s="314">
        <f t="shared" si="3"/>
        <v>0</v>
      </c>
      <c r="AB4" s="314">
        <f t="shared" si="3"/>
        <v>0</v>
      </c>
      <c r="AC4" s="314">
        <f t="shared" si="3"/>
        <v>0</v>
      </c>
      <c r="AD4" s="314">
        <f t="shared" si="3"/>
        <v>0</v>
      </c>
      <c r="AE4" s="314">
        <f t="shared" si="3"/>
        <v>0</v>
      </c>
      <c r="AF4" s="314">
        <f t="shared" ca="1" si="3"/>
        <v>0</v>
      </c>
      <c r="AG4" s="314">
        <f t="shared" ca="1" si="3"/>
        <v>0</v>
      </c>
      <c r="AH4" s="314">
        <f t="shared" ref="AH4" ca="1" si="5">AH239</f>
        <v>0</v>
      </c>
      <c r="AJ4" s="283"/>
      <c r="AK4" s="283"/>
      <c r="AL4" s="283"/>
      <c r="AM4" s="283"/>
      <c r="AN4" s="283"/>
      <c r="AO4" s="283"/>
      <c r="AP4" s="283"/>
      <c r="AQ4" s="283"/>
      <c r="AR4" s="283"/>
      <c r="AS4" s="283"/>
      <c r="AT4" s="283"/>
      <c r="AU4" s="283"/>
      <c r="AV4" s="283"/>
    </row>
    <row r="5" spans="1:52" ht="10.5" customHeight="1">
      <c r="B5" s="304"/>
      <c r="C5" s="304" t="s">
        <v>57</v>
      </c>
      <c r="D5" s="304"/>
      <c r="E5" s="303">
        <f t="shared" ref="E5:X5" si="6">YEAR(E6)</f>
        <v>2018</v>
      </c>
      <c r="F5" s="302">
        <f t="shared" si="6"/>
        <v>2018</v>
      </c>
      <c r="G5" s="301">
        <f t="shared" si="6"/>
        <v>2018</v>
      </c>
      <c r="H5" s="300">
        <f t="shared" si="6"/>
        <v>2018</v>
      </c>
      <c r="I5" s="303">
        <f t="shared" si="6"/>
        <v>2019</v>
      </c>
      <c r="J5" s="302">
        <f t="shared" si="6"/>
        <v>2019</v>
      </c>
      <c r="K5" s="301">
        <f t="shared" si="6"/>
        <v>2019</v>
      </c>
      <c r="L5" s="300">
        <f t="shared" si="6"/>
        <v>2019</v>
      </c>
      <c r="M5" s="303">
        <f t="shared" si="6"/>
        <v>2020</v>
      </c>
      <c r="N5" s="302">
        <f t="shared" si="6"/>
        <v>2020</v>
      </c>
      <c r="O5" s="301">
        <f t="shared" si="6"/>
        <v>2020</v>
      </c>
      <c r="P5" s="300">
        <f t="shared" si="6"/>
        <v>2020</v>
      </c>
      <c r="Q5" s="303">
        <f t="shared" si="6"/>
        <v>2021</v>
      </c>
      <c r="R5" s="302">
        <f t="shared" si="6"/>
        <v>2021</v>
      </c>
      <c r="S5" s="301">
        <f t="shared" si="6"/>
        <v>2021</v>
      </c>
      <c r="T5" s="300">
        <f t="shared" si="6"/>
        <v>2021</v>
      </c>
      <c r="U5" s="303">
        <f t="shared" si="6"/>
        <v>2022</v>
      </c>
      <c r="V5" s="302">
        <f t="shared" si="6"/>
        <v>2022</v>
      </c>
      <c r="W5" s="301">
        <f t="shared" si="6"/>
        <v>2022</v>
      </c>
      <c r="X5" s="300">
        <f t="shared" si="6"/>
        <v>2022</v>
      </c>
      <c r="Y5" s="486"/>
      <c r="Z5" s="299">
        <f t="shared" ref="Z5:AH5" si="7">YEAR(Z6)</f>
        <v>2016</v>
      </c>
      <c r="AA5" s="299">
        <f t="shared" si="7"/>
        <v>2017</v>
      </c>
      <c r="AB5" s="299">
        <f t="shared" si="7"/>
        <v>2018</v>
      </c>
      <c r="AC5" s="299">
        <f t="shared" si="7"/>
        <v>2019</v>
      </c>
      <c r="AD5" s="299">
        <f t="shared" si="7"/>
        <v>2020</v>
      </c>
      <c r="AE5" s="298">
        <f t="shared" si="7"/>
        <v>2021</v>
      </c>
      <c r="AF5" s="298">
        <f t="shared" si="7"/>
        <v>2022</v>
      </c>
      <c r="AG5" s="298">
        <f t="shared" si="7"/>
        <v>2023</v>
      </c>
      <c r="AH5" s="298">
        <f t="shared" si="7"/>
        <v>2024</v>
      </c>
      <c r="AI5" s="297"/>
      <c r="AJ5" s="296" t="s">
        <v>240</v>
      </c>
      <c r="AK5" s="295"/>
      <c r="AL5" s="295"/>
      <c r="AM5" s="295"/>
      <c r="AN5" s="295"/>
      <c r="AO5" s="295"/>
      <c r="AP5" s="295"/>
      <c r="AQ5" s="295"/>
      <c r="AR5" s="295"/>
      <c r="AS5" s="295"/>
      <c r="AT5" s="295"/>
      <c r="AU5" s="295"/>
      <c r="AV5" s="295"/>
      <c r="AW5" s="295"/>
      <c r="AX5" s="295"/>
      <c r="AY5" s="295"/>
      <c r="AZ5" s="295"/>
    </row>
    <row r="6" spans="1:52" s="288" customFormat="1" ht="10.5" customHeight="1">
      <c r="A6" s="281"/>
      <c r="B6" s="290"/>
      <c r="C6" s="290" t="s">
        <v>239</v>
      </c>
      <c r="D6" s="290"/>
      <c r="E6" s="290">
        <v>43190</v>
      </c>
      <c r="F6" s="290">
        <f t="shared" ref="F6:T6" si="8">+EOMONTH(E6,3)</f>
        <v>43281</v>
      </c>
      <c r="G6" s="290">
        <f t="shared" si="8"/>
        <v>43373</v>
      </c>
      <c r="H6" s="289">
        <f t="shared" si="8"/>
        <v>43465</v>
      </c>
      <c r="I6" s="290">
        <f t="shared" si="8"/>
        <v>43555</v>
      </c>
      <c r="J6" s="290">
        <f t="shared" si="8"/>
        <v>43646</v>
      </c>
      <c r="K6" s="290">
        <f t="shared" si="8"/>
        <v>43738</v>
      </c>
      <c r="L6" s="290">
        <f t="shared" si="8"/>
        <v>43830</v>
      </c>
      <c r="M6" s="290">
        <f t="shared" si="8"/>
        <v>43921</v>
      </c>
      <c r="N6" s="290">
        <f t="shared" si="8"/>
        <v>44012</v>
      </c>
      <c r="O6" s="290">
        <f t="shared" si="8"/>
        <v>44104</v>
      </c>
      <c r="P6" s="290">
        <f t="shared" si="8"/>
        <v>44196</v>
      </c>
      <c r="Q6" s="294">
        <f t="shared" si="8"/>
        <v>44286</v>
      </c>
      <c r="R6" s="294">
        <f t="shared" si="8"/>
        <v>44377</v>
      </c>
      <c r="S6" s="294">
        <f t="shared" si="8"/>
        <v>44469</v>
      </c>
      <c r="T6" s="294">
        <f t="shared" si="8"/>
        <v>44561</v>
      </c>
      <c r="U6" s="294">
        <f t="shared" ref="U6" si="9">+EOMONTH(T6,3)</f>
        <v>44651</v>
      </c>
      <c r="V6" s="294">
        <f t="shared" ref="V6" si="10">+EOMONTH(U6,3)</f>
        <v>44742</v>
      </c>
      <c r="W6" s="294">
        <f t="shared" ref="W6" si="11">+EOMONTH(V6,3)</f>
        <v>44834</v>
      </c>
      <c r="X6" s="294">
        <f t="shared" ref="X6" si="12">+EOMONTH(W6,3)</f>
        <v>44926</v>
      </c>
      <c r="Y6" s="486"/>
      <c r="Z6" s="289">
        <v>42735</v>
      </c>
      <c r="AA6" s="289">
        <f t="shared" ref="AA6:AH6" si="13">EOMONTH(Z6,12)</f>
        <v>43100</v>
      </c>
      <c r="AB6" s="289">
        <f t="shared" si="13"/>
        <v>43465</v>
      </c>
      <c r="AC6" s="289">
        <f t="shared" si="13"/>
        <v>43830</v>
      </c>
      <c r="AD6" s="289">
        <f t="shared" si="13"/>
        <v>44196</v>
      </c>
      <c r="AE6" s="289">
        <f t="shared" si="13"/>
        <v>44561</v>
      </c>
      <c r="AF6" s="289">
        <f t="shared" si="13"/>
        <v>44926</v>
      </c>
      <c r="AG6" s="292">
        <f t="shared" si="13"/>
        <v>45291</v>
      </c>
      <c r="AH6" s="292">
        <f t="shared" si="13"/>
        <v>45657</v>
      </c>
      <c r="AI6" s="291"/>
      <c r="AJ6" s="290">
        <v>43190</v>
      </c>
      <c r="AK6" s="289">
        <f t="shared" ref="AK6:AZ6" si="14">+EOMONTH(AJ6,3)</f>
        <v>43281</v>
      </c>
      <c r="AL6" s="289">
        <f t="shared" si="14"/>
        <v>43373</v>
      </c>
      <c r="AM6" s="289">
        <f t="shared" si="14"/>
        <v>43465</v>
      </c>
      <c r="AN6" s="289">
        <f t="shared" si="14"/>
        <v>43555</v>
      </c>
      <c r="AO6" s="289">
        <f t="shared" si="14"/>
        <v>43646</v>
      </c>
      <c r="AP6" s="289">
        <f t="shared" si="14"/>
        <v>43738</v>
      </c>
      <c r="AQ6" s="289">
        <f t="shared" si="14"/>
        <v>43830</v>
      </c>
      <c r="AR6" s="290">
        <f t="shared" si="14"/>
        <v>43921</v>
      </c>
      <c r="AS6" s="290">
        <f t="shared" si="14"/>
        <v>44012</v>
      </c>
      <c r="AT6" s="290">
        <f t="shared" si="14"/>
        <v>44104</v>
      </c>
      <c r="AU6" s="289">
        <f t="shared" si="14"/>
        <v>44196</v>
      </c>
      <c r="AV6" s="289">
        <f t="shared" si="14"/>
        <v>44286</v>
      </c>
      <c r="AW6" s="289">
        <f t="shared" si="14"/>
        <v>44377</v>
      </c>
      <c r="AX6" s="289">
        <f t="shared" si="14"/>
        <v>44469</v>
      </c>
      <c r="AY6" s="289">
        <f t="shared" si="14"/>
        <v>44561</v>
      </c>
      <c r="AZ6" s="289">
        <f t="shared" si="14"/>
        <v>44651</v>
      </c>
    </row>
    <row r="7" spans="1:52" ht="10.5" customHeight="1">
      <c r="E7" s="283"/>
      <c r="F7" s="283"/>
      <c r="G7" s="283"/>
      <c r="H7" s="283"/>
      <c r="I7" s="283"/>
      <c r="J7" s="283"/>
      <c r="K7" s="283"/>
      <c r="L7" s="283"/>
      <c r="M7" s="283"/>
      <c r="N7" s="283"/>
      <c r="O7" s="283"/>
      <c r="P7" s="283"/>
      <c r="Q7" s="400"/>
      <c r="R7" s="283"/>
      <c r="S7" s="283"/>
      <c r="T7" s="283"/>
      <c r="U7" s="283"/>
      <c r="V7" s="283"/>
      <c r="W7" s="283"/>
      <c r="X7" s="283"/>
      <c r="Y7" s="283"/>
    </row>
    <row r="8" spans="1:52" s="283" customFormat="1" ht="10.5" customHeight="1">
      <c r="B8" s="286" t="s">
        <v>137</v>
      </c>
      <c r="C8" s="287" t="s">
        <v>238</v>
      </c>
      <c r="D8" s="287"/>
      <c r="E8" s="433"/>
      <c r="F8" s="433"/>
      <c r="G8" s="433"/>
      <c r="H8" s="433"/>
      <c r="I8" s="433"/>
      <c r="J8" s="433"/>
      <c r="K8" s="433"/>
      <c r="L8" s="433"/>
      <c r="M8" s="433"/>
      <c r="N8" s="433"/>
      <c r="O8" s="433"/>
      <c r="P8" s="433"/>
      <c r="Q8" s="433"/>
      <c r="R8" s="286"/>
      <c r="S8" s="286"/>
      <c r="T8" s="286"/>
      <c r="U8" s="286"/>
      <c r="V8" s="286"/>
      <c r="W8" s="286"/>
      <c r="X8" s="286"/>
      <c r="Z8" s="286"/>
      <c r="AA8" s="286"/>
      <c r="AB8" s="286"/>
      <c r="AC8" s="286"/>
      <c r="AD8" s="286"/>
      <c r="AE8" s="286"/>
      <c r="AF8" s="286"/>
      <c r="AG8" s="286"/>
      <c r="AH8" s="286"/>
    </row>
    <row r="9" spans="1:52" s="283" customFormat="1" ht="10.5" customHeight="1">
      <c r="Z9" s="284"/>
      <c r="AA9" s="284"/>
      <c r="AB9" s="284"/>
      <c r="AC9" s="284"/>
      <c r="AD9" s="284"/>
      <c r="AE9" s="284"/>
      <c r="AF9" s="284"/>
      <c r="AG9" s="284"/>
      <c r="AH9" s="284"/>
    </row>
    <row r="10" spans="1:52" s="283" customFormat="1" ht="10.5" customHeight="1">
      <c r="C10" s="283" t="s">
        <v>310</v>
      </c>
      <c r="E10" s="305">
        <v>139.709</v>
      </c>
      <c r="F10" s="305">
        <v>147.25899999999999</v>
      </c>
      <c r="G10" s="305">
        <v>143.649</v>
      </c>
      <c r="H10" s="305">
        <v>136.52000000000001</v>
      </c>
      <c r="I10" s="305">
        <v>152.61699999999999</v>
      </c>
      <c r="J10" s="305">
        <v>134.172</v>
      </c>
      <c r="K10" s="305">
        <v>161.53200000000001</v>
      </c>
      <c r="L10" s="305">
        <v>224.94499999999999</v>
      </c>
      <c r="M10" s="305">
        <v>136.92500000000001</v>
      </c>
      <c r="N10" s="305">
        <v>166.35499999999999</v>
      </c>
      <c r="O10" s="305">
        <v>199.703</v>
      </c>
      <c r="P10" s="305">
        <v>188.89</v>
      </c>
      <c r="Q10" s="305">
        <v>210.852</v>
      </c>
      <c r="R10" s="305">
        <v>217.983</v>
      </c>
      <c r="S10" s="305">
        <v>193.56</v>
      </c>
      <c r="T10" s="305">
        <v>185.078</v>
      </c>
      <c r="U10" s="305">
        <v>186.499</v>
      </c>
      <c r="V10" s="317">
        <f ca="1">Segment!V10</f>
        <v>223.35683536261519</v>
      </c>
      <c r="W10" s="317">
        <f ca="1">Segment!W10</f>
        <v>192.83120312647674</v>
      </c>
      <c r="X10" s="317">
        <f ca="1">Segment!X10</f>
        <v>221.74582238359636</v>
      </c>
      <c r="Z10" s="305">
        <v>645.95699999999999</v>
      </c>
      <c r="AA10" s="305">
        <v>577.77499999999998</v>
      </c>
      <c r="AB10" s="283">
        <f>SUMIF($E$5:$X$5,AB$5,$E10:$X10)</f>
        <v>567.13699999999994</v>
      </c>
      <c r="AC10" s="283">
        <f t="shared" ref="AC10:AF12" si="15">SUMIF($E$5:$X$5,AC$5,$E10:$X10)</f>
        <v>673.26600000000008</v>
      </c>
      <c r="AD10" s="283">
        <f t="shared" si="15"/>
        <v>691.87299999999993</v>
      </c>
      <c r="AE10" s="283">
        <f t="shared" si="15"/>
        <v>807.47299999999996</v>
      </c>
      <c r="AF10" s="283">
        <f t="shared" ca="1" si="15"/>
        <v>824.43286087268825</v>
      </c>
      <c r="AG10" s="317">
        <f ca="1">Segment!AG10</f>
        <v>864.99732002093822</v>
      </c>
      <c r="AH10" s="317">
        <f ca="1">Segment!AH10</f>
        <v>929.45453083934945</v>
      </c>
    </row>
    <row r="11" spans="1:52" s="283" customFormat="1" ht="10.5" customHeight="1">
      <c r="C11" s="283" t="s">
        <v>311</v>
      </c>
      <c r="E11" s="305">
        <v>72.869</v>
      </c>
      <c r="F11" s="305">
        <v>80.44</v>
      </c>
      <c r="G11" s="305">
        <v>93.608999999999995</v>
      </c>
      <c r="H11" s="305">
        <v>102.19199999999999</v>
      </c>
      <c r="I11" s="305">
        <v>110.386</v>
      </c>
      <c r="J11" s="305">
        <v>104.938</v>
      </c>
      <c r="K11" s="305">
        <v>95.878</v>
      </c>
      <c r="L11" s="305">
        <v>139.14699999999999</v>
      </c>
      <c r="M11" s="305">
        <v>85.72</v>
      </c>
      <c r="N11" s="305">
        <v>91.558000000000007</v>
      </c>
      <c r="O11" s="305">
        <v>103.02500000000001</v>
      </c>
      <c r="P11" s="305">
        <v>102.36000000000001</v>
      </c>
      <c r="Q11" s="305">
        <v>96.688999999999993</v>
      </c>
      <c r="R11" s="305">
        <v>110.32</v>
      </c>
      <c r="S11" s="305">
        <v>112.542</v>
      </c>
      <c r="T11" s="305">
        <v>98.962000000000003</v>
      </c>
      <c r="U11" s="305">
        <v>105.77200000000001</v>
      </c>
      <c r="V11" s="317">
        <f ca="1">Segment!V97</f>
        <v>101.7010419640813</v>
      </c>
      <c r="W11" s="317">
        <f ca="1">Segment!W97</f>
        <v>101.0947013502539</v>
      </c>
      <c r="X11" s="317">
        <f ca="1">Segment!X97</f>
        <v>101.1322566856648</v>
      </c>
      <c r="Z11" s="305">
        <v>338.32499999999999</v>
      </c>
      <c r="AA11" s="305">
        <v>304.72699999999998</v>
      </c>
      <c r="AB11" s="283">
        <f t="shared" ref="AB11:AB12" si="16">SUMIF($E$5:$X$5,AB$5,$E11:$X11)</f>
        <v>349.11</v>
      </c>
      <c r="AC11" s="283">
        <f t="shared" si="15"/>
        <v>450.34899999999999</v>
      </c>
      <c r="AD11" s="283">
        <f t="shared" si="15"/>
        <v>382.66300000000001</v>
      </c>
      <c r="AE11" s="283">
        <f t="shared" si="15"/>
        <v>418.51299999999998</v>
      </c>
      <c r="AF11" s="283">
        <f t="shared" ca="1" si="15"/>
        <v>409.7</v>
      </c>
      <c r="AG11" s="317">
        <f>Segment!AG97</f>
        <v>432.2</v>
      </c>
      <c r="AH11" s="317">
        <f>Segment!AH97</f>
        <v>466.2</v>
      </c>
    </row>
    <row r="12" spans="1:52" s="283" customFormat="1" ht="10.5" customHeight="1">
      <c r="C12" s="283" t="s">
        <v>312</v>
      </c>
      <c r="E12" s="384">
        <v>28.053999999999998</v>
      </c>
      <c r="F12" s="384">
        <v>31.817</v>
      </c>
      <c r="G12" s="384">
        <v>43.463999999999999</v>
      </c>
      <c r="H12" s="384">
        <v>35.593000000000004</v>
      </c>
      <c r="I12" s="305">
        <v>38.786999999999999</v>
      </c>
      <c r="J12" s="305">
        <v>49.476999999999997</v>
      </c>
      <c r="K12" s="305">
        <v>50.774000000000001</v>
      </c>
      <c r="L12" s="305">
        <v>60.48</v>
      </c>
      <c r="M12" s="305">
        <v>37.814999999999998</v>
      </c>
      <c r="N12" s="305">
        <v>36.686999999999998</v>
      </c>
      <c r="O12" s="305">
        <v>37.99</v>
      </c>
      <c r="P12" s="305">
        <v>35.618000000000023</v>
      </c>
      <c r="Q12" s="305">
        <v>46.762</v>
      </c>
      <c r="R12" s="305">
        <v>45.731999999999999</v>
      </c>
      <c r="S12" s="305">
        <v>45.79</v>
      </c>
      <c r="T12" s="305">
        <v>32.875</v>
      </c>
      <c r="U12" s="305">
        <v>35.298000000000002</v>
      </c>
      <c r="V12" s="317">
        <f>Segment!V22</f>
        <v>41.561631624288779</v>
      </c>
      <c r="W12" s="317">
        <f>Segment!W22</f>
        <v>38.245554163244876</v>
      </c>
      <c r="X12" s="317">
        <f>Segment!X22</f>
        <v>30.19481421246633</v>
      </c>
      <c r="Z12" s="305">
        <v>123.631</v>
      </c>
      <c r="AA12" s="305">
        <v>120.599</v>
      </c>
      <c r="AB12" s="283">
        <f t="shared" si="16"/>
        <v>138.928</v>
      </c>
      <c r="AC12" s="283">
        <f t="shared" si="15"/>
        <v>199.518</v>
      </c>
      <c r="AD12" s="283">
        <f t="shared" si="15"/>
        <v>148.11000000000001</v>
      </c>
      <c r="AE12" s="283">
        <f t="shared" si="15"/>
        <v>171.15899999999999</v>
      </c>
      <c r="AF12" s="283">
        <f t="shared" si="15"/>
        <v>145.29999999999998</v>
      </c>
      <c r="AG12" s="317">
        <f>Segment!AG22</f>
        <v>150.30000000000001</v>
      </c>
      <c r="AH12" s="317">
        <f>Segment!AH22</f>
        <v>162.30000000000001</v>
      </c>
    </row>
    <row r="13" spans="1:52" s="283" customFormat="1" ht="10.5" customHeight="1">
      <c r="C13" s="316" t="s">
        <v>161</v>
      </c>
      <c r="E13" s="379">
        <f t="shared" ref="E13:P13" si="17">E10-SUM(E11:E12)</f>
        <v>38.786000000000001</v>
      </c>
      <c r="F13" s="379">
        <f t="shared" si="17"/>
        <v>35.001999999999981</v>
      </c>
      <c r="G13" s="379">
        <f t="shared" si="17"/>
        <v>6.5760000000000218</v>
      </c>
      <c r="H13" s="379">
        <f t="shared" si="17"/>
        <v>-1.2649999999999864</v>
      </c>
      <c r="I13" s="379">
        <f t="shared" si="17"/>
        <v>3.4439999999999884</v>
      </c>
      <c r="J13" s="379">
        <f t="shared" si="17"/>
        <v>-20.242999999999995</v>
      </c>
      <c r="K13" s="379">
        <f t="shared" si="17"/>
        <v>14.880000000000024</v>
      </c>
      <c r="L13" s="379">
        <f t="shared" si="17"/>
        <v>25.318000000000012</v>
      </c>
      <c r="M13" s="379">
        <f t="shared" si="17"/>
        <v>13.390000000000015</v>
      </c>
      <c r="N13" s="379">
        <f>N10-SUM(N11:N12)</f>
        <v>38.109999999999985</v>
      </c>
      <c r="O13" s="379">
        <f t="shared" si="17"/>
        <v>58.687999999999988</v>
      </c>
      <c r="P13" s="379">
        <f t="shared" si="17"/>
        <v>50.911999999999949</v>
      </c>
      <c r="Q13" s="379">
        <f>Q10-SUM(Q11:Q12)</f>
        <v>67.40100000000001</v>
      </c>
      <c r="R13" s="768">
        <f>R10-SUM(R11:R12)</f>
        <v>61.931000000000012</v>
      </c>
      <c r="S13" s="768">
        <f>S10-SUM(S11:S12)</f>
        <v>35.228000000000009</v>
      </c>
      <c r="T13" s="768">
        <f>T10-SUM(T11:T12)</f>
        <v>53.241000000000014</v>
      </c>
      <c r="U13" s="768">
        <f>U10-SUM(U11:U12)</f>
        <v>45.429000000000002</v>
      </c>
      <c r="V13" s="379">
        <f t="shared" ref="V13:X13" ca="1" si="18">V10-SUM(V11:V12)</f>
        <v>80.094161774245094</v>
      </c>
      <c r="W13" s="379">
        <f t="shared" ca="1" si="18"/>
        <v>53.490947612977948</v>
      </c>
      <c r="X13" s="379">
        <f t="shared" ca="1" si="18"/>
        <v>90.418751485465236</v>
      </c>
      <c r="Z13" s="379">
        <f t="shared" ref="Z13:AG13" si="19">Z10-SUM(Z11:Z12)</f>
        <v>184.00099999999998</v>
      </c>
      <c r="AA13" s="379">
        <f t="shared" si="19"/>
        <v>152.44900000000001</v>
      </c>
      <c r="AB13" s="379">
        <f t="shared" si="19"/>
        <v>79.098999999999933</v>
      </c>
      <c r="AC13" s="379">
        <f t="shared" si="19"/>
        <v>23.399000000000115</v>
      </c>
      <c r="AD13" s="379">
        <f t="shared" si="19"/>
        <v>161.09999999999991</v>
      </c>
      <c r="AE13" s="379">
        <f t="shared" si="19"/>
        <v>217.80099999999993</v>
      </c>
      <c r="AF13" s="379">
        <f t="shared" ca="1" si="19"/>
        <v>269.43286087268825</v>
      </c>
      <c r="AG13" s="379">
        <f t="shared" ca="1" si="19"/>
        <v>282.49732002093822</v>
      </c>
      <c r="AH13" s="379">
        <f t="shared" ref="AH13" ca="1" si="20">AH10-SUM(AH11:AH12)</f>
        <v>300.95453083934945</v>
      </c>
    </row>
    <row r="14" spans="1:52" s="283" customFormat="1" ht="10.5" customHeight="1">
      <c r="E14" s="399"/>
      <c r="F14" s="399"/>
    </row>
    <row r="15" spans="1:52" s="283" customFormat="1" ht="10.5" customHeight="1">
      <c r="C15" s="283" t="s">
        <v>313</v>
      </c>
      <c r="E15" s="305">
        <v>7.7350000000000003</v>
      </c>
      <c r="F15" s="305">
        <v>9.7870000000000008</v>
      </c>
      <c r="G15" s="305">
        <v>10.327</v>
      </c>
      <c r="H15" s="305">
        <v>8.6929999999999996</v>
      </c>
      <c r="I15" s="305">
        <v>9.9589999999999996</v>
      </c>
      <c r="J15" s="305">
        <v>8.9179999999999993</v>
      </c>
      <c r="K15" s="305">
        <v>7.9779999999999998</v>
      </c>
      <c r="L15" s="305">
        <v>8.9770000000000003</v>
      </c>
      <c r="M15" s="305">
        <v>8.9390000000000001</v>
      </c>
      <c r="N15" s="305">
        <v>6.9790000000000001</v>
      </c>
      <c r="O15" s="305">
        <v>11.712999999999999</v>
      </c>
      <c r="P15" s="305">
        <v>7.93</v>
      </c>
      <c r="Q15" s="305">
        <v>8.0069999999999997</v>
      </c>
      <c r="R15" s="305">
        <v>11.103999999999999</v>
      </c>
      <c r="S15" s="305">
        <v>8.8740000000000006</v>
      </c>
      <c r="T15" s="305">
        <v>6.585</v>
      </c>
      <c r="U15" s="305">
        <v>8.2940000000000005</v>
      </c>
      <c r="V15" s="317">
        <f>Segment!V102</f>
        <v>12.417852802770769</v>
      </c>
      <c r="W15" s="317">
        <f>Segment!W102</f>
        <v>9.9239936754131683</v>
      </c>
      <c r="X15" s="317">
        <f>Segment!X102</f>
        <v>7.3641535218160596</v>
      </c>
      <c r="Z15" s="305">
        <v>45.04</v>
      </c>
      <c r="AA15" s="305">
        <v>35.610999999999997</v>
      </c>
      <c r="AB15" s="283">
        <f t="shared" ref="AB15:AF24" si="21">SUMIF($E$5:$X$5,AB$5,$E15:$X15)</f>
        <v>36.542000000000002</v>
      </c>
      <c r="AC15" s="283">
        <f t="shared" si="21"/>
        <v>35.831999999999994</v>
      </c>
      <c r="AD15" s="283">
        <f t="shared" si="21"/>
        <v>35.561</v>
      </c>
      <c r="AE15" s="283">
        <f t="shared" si="21"/>
        <v>34.57</v>
      </c>
      <c r="AF15" s="283">
        <f t="shared" si="21"/>
        <v>38</v>
      </c>
      <c r="AG15" s="317">
        <f>Segment!AG102</f>
        <v>38</v>
      </c>
      <c r="AH15" s="317">
        <f>Segment!AH102</f>
        <v>38</v>
      </c>
    </row>
    <row r="16" spans="1:52" s="283" customFormat="1" ht="10.5" customHeight="1">
      <c r="C16" s="283" t="s">
        <v>314</v>
      </c>
      <c r="E16" s="305">
        <v>7.36</v>
      </c>
      <c r="F16" s="305">
        <v>7.8380000000000001</v>
      </c>
      <c r="G16" s="305">
        <v>12.411</v>
      </c>
      <c r="H16" s="305">
        <v>8.0860000000000003</v>
      </c>
      <c r="I16" s="305">
        <v>4.4020000000000001</v>
      </c>
      <c r="J16" s="305">
        <v>4.3460000000000001</v>
      </c>
      <c r="K16" s="305">
        <v>4.8079999999999998</v>
      </c>
      <c r="L16" s="305">
        <v>2.363</v>
      </c>
      <c r="M16" s="305">
        <v>2.5299999999999998</v>
      </c>
      <c r="N16" s="305">
        <v>1.962</v>
      </c>
      <c r="O16" s="305">
        <v>3.407</v>
      </c>
      <c r="P16" s="305">
        <v>7.9539999999999997</v>
      </c>
      <c r="Q16" s="305">
        <v>5.9509999999999996</v>
      </c>
      <c r="R16" s="305">
        <v>8.3670000000000009</v>
      </c>
      <c r="S16" s="305">
        <v>13.675000000000001</v>
      </c>
      <c r="T16" s="305">
        <v>12.862</v>
      </c>
      <c r="U16" s="305">
        <f>12.808-U17+0.209</f>
        <v>9.9169999999999998</v>
      </c>
      <c r="V16" s="317">
        <f ca="1">Segment!V15+Segment!V16</f>
        <v>9.0533439831444174</v>
      </c>
      <c r="W16" s="317">
        <f ca="1">Segment!W15+Segment!W16</f>
        <v>9.7667644710121557</v>
      </c>
      <c r="X16" s="317">
        <f ca="1">Segment!X15+Segment!X16</f>
        <v>8.9589073720240755</v>
      </c>
      <c r="Z16" s="305">
        <v>14.72</v>
      </c>
      <c r="AA16" s="305">
        <v>23.51</v>
      </c>
      <c r="AB16" s="283">
        <f t="shared" si="21"/>
        <v>35.695</v>
      </c>
      <c r="AC16" s="283">
        <f t="shared" si="21"/>
        <v>15.919</v>
      </c>
      <c r="AD16" s="283">
        <f t="shared" si="21"/>
        <v>15.853</v>
      </c>
      <c r="AE16" s="283">
        <f t="shared" si="21"/>
        <v>40.855000000000004</v>
      </c>
      <c r="AF16" s="283">
        <f t="shared" ca="1" si="21"/>
        <v>37.696015826180648</v>
      </c>
      <c r="AG16" s="317">
        <f ca="1">Segment!AG15+Segment!AG16</f>
        <v>36.149919600628145</v>
      </c>
      <c r="AH16" s="317">
        <f ca="1">Segment!AH15+Segment!AH16</f>
        <v>38.083635925180481</v>
      </c>
    </row>
    <row r="17" spans="3:34" s="283" customFormat="1" ht="10.5" customHeight="1">
      <c r="C17" s="283" t="s">
        <v>315</v>
      </c>
      <c r="E17" s="305">
        <v>1.0049999999999999</v>
      </c>
      <c r="F17" s="305">
        <v>1.415</v>
      </c>
      <c r="G17" s="305">
        <v>1.1950000000000001</v>
      </c>
      <c r="H17" s="305">
        <v>1.272</v>
      </c>
      <c r="I17" s="305">
        <v>0.85599999999999998</v>
      </c>
      <c r="J17" s="305">
        <v>0.79800000000000004</v>
      </c>
      <c r="K17" s="305">
        <v>0.88100000000000001</v>
      </c>
      <c r="L17" s="305">
        <v>0.61499999999999999</v>
      </c>
      <c r="M17" s="305">
        <v>0.53500000000000003</v>
      </c>
      <c r="N17" s="305">
        <v>0.56299999999999994</v>
      </c>
      <c r="O17" s="305">
        <v>0.75900000000000001</v>
      </c>
      <c r="P17" s="305">
        <v>0.58499999999999996</v>
      </c>
      <c r="Q17" s="305">
        <v>0.73899999999999999</v>
      </c>
      <c r="R17" s="305">
        <v>2.8740000000000001</v>
      </c>
      <c r="S17" s="305">
        <v>3.4329999999999998</v>
      </c>
      <c r="T17" s="305">
        <v>0</v>
      </c>
      <c r="U17" s="305">
        <v>3.1</v>
      </c>
      <c r="V17" s="317">
        <f ca="1">Segment!V17</f>
        <v>1.5634978475383063</v>
      </c>
      <c r="W17" s="317">
        <f ca="1">Segment!W17</f>
        <v>1.3498184218853373</v>
      </c>
      <c r="X17" s="317">
        <f ca="1">Segment!X17</f>
        <v>1.5522207566851747</v>
      </c>
      <c r="Z17" s="305">
        <v>3.137</v>
      </c>
      <c r="AA17" s="305">
        <v>5.4480000000000004</v>
      </c>
      <c r="AB17" s="283">
        <f t="shared" si="21"/>
        <v>4.8870000000000005</v>
      </c>
      <c r="AC17" s="283">
        <f t="shared" si="21"/>
        <v>3.1500000000000004</v>
      </c>
      <c r="AD17" s="283">
        <f t="shared" si="21"/>
        <v>2.4419999999999997</v>
      </c>
      <c r="AE17" s="283">
        <f t="shared" si="21"/>
        <v>7.0459999999999994</v>
      </c>
      <c r="AF17" s="283">
        <f t="shared" ca="1" si="21"/>
        <v>7.5655370261088191</v>
      </c>
      <c r="AG17" s="317">
        <f ca="1">Segment!AG17</f>
        <v>7.9377831266649146</v>
      </c>
      <c r="AH17" s="317">
        <f ca="1">Segment!AH17</f>
        <v>8.5292847979231361</v>
      </c>
    </row>
    <row r="18" spans="3:34" s="283" customFormat="1" ht="10.5" customHeight="1">
      <c r="C18" s="283" t="s">
        <v>362</v>
      </c>
      <c r="E18" s="305">
        <v>1.4359999999999999</v>
      </c>
      <c r="F18" s="305">
        <v>2.3370000000000002</v>
      </c>
      <c r="G18" s="305">
        <v>1.2689999999999999</v>
      </c>
      <c r="H18" s="305">
        <v>0.39900000000000002</v>
      </c>
      <c r="I18" s="305">
        <v>0.40300000000000002</v>
      </c>
      <c r="J18" s="305">
        <v>0.158</v>
      </c>
      <c r="K18" s="305">
        <v>5.2999999999999999E-2</v>
      </c>
      <c r="L18" s="305">
        <v>-7.9000000000000001E-2</v>
      </c>
      <c r="M18" s="305">
        <v>0</v>
      </c>
      <c r="N18" s="305">
        <v>0</v>
      </c>
      <c r="O18" s="305">
        <v>0</v>
      </c>
      <c r="P18" s="305">
        <v>0</v>
      </c>
      <c r="Q18" s="305">
        <v>0</v>
      </c>
      <c r="R18" s="305">
        <v>0</v>
      </c>
      <c r="S18" s="305">
        <v>0</v>
      </c>
      <c r="T18" s="305">
        <v>0</v>
      </c>
      <c r="U18" s="305">
        <v>0</v>
      </c>
      <c r="V18" s="317">
        <f ca="1">Segment!V18</f>
        <v>0</v>
      </c>
      <c r="W18" s="317">
        <f ca="1">Segment!W18</f>
        <v>0</v>
      </c>
      <c r="X18" s="317">
        <f ca="1">Segment!X18</f>
        <v>0</v>
      </c>
      <c r="Z18" s="305">
        <v>0.24299999999999999</v>
      </c>
      <c r="AA18" s="305">
        <v>3.2759999999999998</v>
      </c>
      <c r="AB18" s="283">
        <f t="shared" si="21"/>
        <v>5.4409999999999998</v>
      </c>
      <c r="AC18" s="283">
        <f t="shared" si="21"/>
        <v>0.53500000000000014</v>
      </c>
      <c r="AD18" s="283">
        <f t="shared" si="21"/>
        <v>0</v>
      </c>
      <c r="AE18" s="283">
        <f t="shared" si="21"/>
        <v>0</v>
      </c>
      <c r="AF18" s="283">
        <f t="shared" ca="1" si="21"/>
        <v>0</v>
      </c>
      <c r="AG18" s="317">
        <f ca="1">Segment!AG18</f>
        <v>0</v>
      </c>
      <c r="AH18" s="317">
        <f ca="1">Segment!AH18</f>
        <v>0</v>
      </c>
    </row>
    <row r="19" spans="3:34" s="283" customFormat="1" ht="10.5" customHeight="1">
      <c r="C19" s="283" t="s">
        <v>316</v>
      </c>
      <c r="E19" s="305">
        <v>0.51500000000000001</v>
      </c>
      <c r="F19" s="305">
        <v>0.67400000000000004</v>
      </c>
      <c r="G19" s="305">
        <v>0.44800000000000001</v>
      </c>
      <c r="H19" s="305">
        <v>-0.17100000000000001</v>
      </c>
      <c r="I19" s="305">
        <v>0.58699999999999997</v>
      </c>
      <c r="J19" s="305">
        <v>0.65700000000000003</v>
      </c>
      <c r="K19" s="305">
        <v>0.437</v>
      </c>
      <c r="L19" s="305">
        <v>1.3620000000000001</v>
      </c>
      <c r="M19" s="305">
        <v>1.024</v>
      </c>
      <c r="N19" s="305">
        <v>1.4390000000000001</v>
      </c>
      <c r="O19" s="305">
        <v>3.4969999999999999</v>
      </c>
      <c r="P19" s="305">
        <v>3.0129999999999999</v>
      </c>
      <c r="Q19" s="305">
        <v>3.63</v>
      </c>
      <c r="R19" s="305">
        <v>3.6429999999999998</v>
      </c>
      <c r="S19" s="305">
        <v>3.3439999999999999</v>
      </c>
      <c r="T19" s="305">
        <v>3.375</v>
      </c>
      <c r="U19" s="305">
        <v>2.4630000000000001</v>
      </c>
      <c r="V19" s="317">
        <f ca="1">Segment!V106</f>
        <v>5.3557783184087198</v>
      </c>
      <c r="W19" s="317">
        <f ca="1">Segment!W106</f>
        <v>4.6238171987921728</v>
      </c>
      <c r="X19" s="317">
        <f ca="1">Segment!X106</f>
        <v>5.3171485251019863</v>
      </c>
      <c r="Z19" s="305">
        <v>3.153</v>
      </c>
      <c r="AA19" s="305">
        <v>2.5129999999999999</v>
      </c>
      <c r="AB19" s="283">
        <f t="shared" si="21"/>
        <v>1.466</v>
      </c>
      <c r="AC19" s="283">
        <f t="shared" si="21"/>
        <v>3.0430000000000001</v>
      </c>
      <c r="AD19" s="283">
        <f t="shared" si="21"/>
        <v>8.972999999999999</v>
      </c>
      <c r="AE19" s="283">
        <f t="shared" si="21"/>
        <v>13.991999999999999</v>
      </c>
      <c r="AF19" s="283">
        <f ca="1">SUMIF($E$5:$X$5,AF$5,$E19:$X19)</f>
        <v>17.759744042302877</v>
      </c>
      <c r="AG19" s="317">
        <f ca="1">Segment!AG106</f>
        <v>20.741401912006154</v>
      </c>
      <c r="AH19" s="317">
        <f ca="1">Segment!AH106</f>
        <v>22.286993886417378</v>
      </c>
    </row>
    <row r="20" spans="3:34" s="283" customFormat="1" ht="10.5" customHeight="1">
      <c r="C20" s="283" t="s">
        <v>318</v>
      </c>
      <c r="E20" s="305">
        <v>1.262</v>
      </c>
      <c r="F20" s="305">
        <v>1.42</v>
      </c>
      <c r="G20" s="305">
        <v>1.8520000000000001</v>
      </c>
      <c r="H20" s="305">
        <v>1.585</v>
      </c>
      <c r="I20" s="305">
        <v>0.56999999999999995</v>
      </c>
      <c r="J20" s="305">
        <v>1.052</v>
      </c>
      <c r="K20" s="305">
        <v>1.907</v>
      </c>
      <c r="L20" s="305">
        <v>1.161</v>
      </c>
      <c r="M20" s="305">
        <v>0.51600000000000001</v>
      </c>
      <c r="N20" s="305">
        <v>1.0369999999999999</v>
      </c>
      <c r="O20" s="305">
        <v>1.254</v>
      </c>
      <c r="P20" s="305">
        <v>1.018</v>
      </c>
      <c r="Q20" s="305">
        <v>3.7090000000000001</v>
      </c>
      <c r="R20" s="305">
        <v>1.024</v>
      </c>
      <c r="S20" s="305">
        <v>7.5640000000000001</v>
      </c>
      <c r="T20" s="305">
        <v>2.274</v>
      </c>
      <c r="U20" s="305">
        <v>0.90100000000000002</v>
      </c>
      <c r="V20" s="317">
        <f ca="1">Segment!V24</f>
        <v>1.0790648135470771</v>
      </c>
      <c r="W20" s="317">
        <f ca="1">Segment!W24</f>
        <v>0.93159166546177496</v>
      </c>
      <c r="X20" s="317">
        <f ca="1">Segment!X24</f>
        <v>1.0712818083079285</v>
      </c>
      <c r="Z20" s="305">
        <v>5.7210000000000001</v>
      </c>
      <c r="AA20" s="305">
        <v>6.7009999999999996</v>
      </c>
      <c r="AB20" s="283">
        <f t="shared" si="21"/>
        <v>6.1189999999999998</v>
      </c>
      <c r="AC20" s="283">
        <f t="shared" si="21"/>
        <v>4.6899999999999995</v>
      </c>
      <c r="AD20" s="283">
        <f t="shared" si="21"/>
        <v>3.8250000000000002</v>
      </c>
      <c r="AE20" s="283">
        <f t="shared" si="21"/>
        <v>14.571000000000002</v>
      </c>
      <c r="AF20" s="283">
        <f t="shared" ca="1" si="21"/>
        <v>3.9829382873167805</v>
      </c>
      <c r="AG20" s="317">
        <f ca="1">Segment!AG24</f>
        <v>4.1789102640703994</v>
      </c>
      <c r="AH20" s="317">
        <f ca="1">Segment!AH24</f>
        <v>4.4903111131226119</v>
      </c>
    </row>
    <row r="21" spans="3:34" s="283" customFormat="1" ht="10.5" customHeight="1">
      <c r="C21" s="283" t="s">
        <v>363</v>
      </c>
      <c r="E21" s="305">
        <v>0</v>
      </c>
      <c r="F21" s="305">
        <v>-3.5999999999999997E-2</v>
      </c>
      <c r="G21" s="305">
        <v>-3.2080000000000002</v>
      </c>
      <c r="H21" s="305">
        <v>0.58099999999999996</v>
      </c>
      <c r="I21" s="305">
        <v>0</v>
      </c>
      <c r="J21" s="305">
        <v>4.6420000000000003</v>
      </c>
      <c r="K21" s="305">
        <v>2.4E-2</v>
      </c>
      <c r="L21" s="305">
        <v>-2.3E-2</v>
      </c>
      <c r="M21" s="305">
        <v>-0.104</v>
      </c>
      <c r="N21" s="305">
        <v>0.67700000000000005</v>
      </c>
      <c r="O21" s="305">
        <v>-1.4E-2</v>
      </c>
      <c r="P21" s="305">
        <v>1.2999999999999999E-2</v>
      </c>
      <c r="Q21" s="305">
        <v>8.9999999999999993E-3</v>
      </c>
      <c r="R21" s="305">
        <v>0</v>
      </c>
      <c r="S21" s="305">
        <v>0</v>
      </c>
      <c r="T21" s="305">
        <v>0.32600000000000001</v>
      </c>
      <c r="U21" s="305">
        <v>-8.0000000000000002E-3</v>
      </c>
      <c r="V21" s="305">
        <v>0</v>
      </c>
      <c r="W21" s="305">
        <v>0</v>
      </c>
      <c r="X21" s="305">
        <v>0</v>
      </c>
      <c r="Z21" s="305">
        <v>-0.14699999999999999</v>
      </c>
      <c r="AA21" s="305">
        <v>-6.0419999999999998</v>
      </c>
      <c r="AB21" s="283">
        <f t="shared" si="21"/>
        <v>-2.6630000000000003</v>
      </c>
      <c r="AC21" s="283">
        <f t="shared" si="21"/>
        <v>4.6430000000000007</v>
      </c>
      <c r="AD21" s="283">
        <f t="shared" si="21"/>
        <v>0.57200000000000006</v>
      </c>
      <c r="AE21" s="283">
        <f t="shared" si="21"/>
        <v>0.33500000000000002</v>
      </c>
      <c r="AF21" s="283">
        <f t="shared" si="21"/>
        <v>-8.0000000000000002E-3</v>
      </c>
      <c r="AG21" s="305">
        <v>0</v>
      </c>
      <c r="AH21" s="305">
        <v>0</v>
      </c>
    </row>
    <row r="22" spans="3:34" s="283" customFormat="1" ht="10.5" customHeight="1">
      <c r="C22" s="283" t="s">
        <v>317</v>
      </c>
      <c r="E22" s="305">
        <v>5.0170000000000003</v>
      </c>
      <c r="F22" s="305">
        <v>6.8010000000000002</v>
      </c>
      <c r="G22" s="305">
        <v>6.5190000000000001</v>
      </c>
      <c r="H22" s="305">
        <v>2.3559999999999999</v>
      </c>
      <c r="I22" s="305">
        <v>2.778</v>
      </c>
      <c r="J22" s="305">
        <v>2.266</v>
      </c>
      <c r="K22" s="305">
        <v>3.722</v>
      </c>
      <c r="L22" s="305">
        <v>3.2850000000000001</v>
      </c>
      <c r="M22" s="305">
        <v>12.996</v>
      </c>
      <c r="N22" s="305">
        <v>9.5719999999999992</v>
      </c>
      <c r="O22" s="305">
        <v>1.5409999999999999</v>
      </c>
      <c r="P22" s="305">
        <v>0.80200000000000005</v>
      </c>
      <c r="Q22" s="305">
        <v>4.3179999999999996</v>
      </c>
      <c r="R22" s="305">
        <v>5.7859999999999996</v>
      </c>
      <c r="S22" s="305">
        <v>6.91</v>
      </c>
      <c r="T22" s="305">
        <v>5.9980000000000002</v>
      </c>
      <c r="U22" s="305">
        <v>6.2050000000000001</v>
      </c>
      <c r="V22" s="305">
        <v>0</v>
      </c>
      <c r="W22" s="305">
        <v>0</v>
      </c>
      <c r="X22" s="305">
        <v>0</v>
      </c>
      <c r="Z22" s="305">
        <v>0</v>
      </c>
      <c r="AA22" s="305">
        <v>21.300999999999998</v>
      </c>
      <c r="AB22" s="283">
        <f t="shared" si="21"/>
        <v>20.693000000000005</v>
      </c>
      <c r="AC22" s="283">
        <f t="shared" si="21"/>
        <v>12.051</v>
      </c>
      <c r="AD22" s="283">
        <f t="shared" si="21"/>
        <v>24.910999999999998</v>
      </c>
      <c r="AE22" s="283">
        <f t="shared" si="21"/>
        <v>23.012</v>
      </c>
      <c r="AF22" s="283">
        <f t="shared" si="21"/>
        <v>6.2050000000000001</v>
      </c>
      <c r="AG22" s="305">
        <v>0</v>
      </c>
      <c r="AH22" s="305">
        <v>0</v>
      </c>
    </row>
    <row r="23" spans="3:34" s="283" customFormat="1" ht="10.5" customHeight="1">
      <c r="C23" s="283" t="s">
        <v>364</v>
      </c>
      <c r="E23" s="305">
        <v>2.5070000000000001</v>
      </c>
      <c r="F23" s="305">
        <v>1.01</v>
      </c>
      <c r="G23" s="305">
        <v>6.1390000000000002</v>
      </c>
      <c r="H23" s="305">
        <v>0.38900000000000001</v>
      </c>
      <c r="I23" s="305">
        <v>1.2999999999999999E-2</v>
      </c>
      <c r="J23" s="305">
        <v>0.39700000000000002</v>
      </c>
      <c r="K23" s="305">
        <v>0.183</v>
      </c>
      <c r="L23" s="305">
        <v>5.1999999999999998E-2</v>
      </c>
      <c r="M23" s="305">
        <v>0</v>
      </c>
      <c r="N23" s="305">
        <v>6.0000000000000001E-3</v>
      </c>
      <c r="O23" s="305">
        <v>2E-3</v>
      </c>
      <c r="P23" s="305">
        <v>7.0000000000000001E-3</v>
      </c>
      <c r="Q23" s="305">
        <v>0</v>
      </c>
      <c r="R23" s="305">
        <v>0</v>
      </c>
      <c r="S23" s="305">
        <v>0</v>
      </c>
      <c r="T23" s="384">
        <v>0</v>
      </c>
      <c r="U23" s="305">
        <v>0</v>
      </c>
      <c r="V23" s="305">
        <v>0</v>
      </c>
      <c r="W23" s="305">
        <v>0</v>
      </c>
      <c r="X23" s="305">
        <v>0</v>
      </c>
      <c r="Z23" s="305">
        <v>2.6949999999999998</v>
      </c>
      <c r="AA23" s="305">
        <v>2.5000000000000001E-2</v>
      </c>
      <c r="AB23" s="283">
        <f t="shared" si="21"/>
        <v>10.045</v>
      </c>
      <c r="AC23" s="283">
        <f t="shared" si="21"/>
        <v>0.64500000000000002</v>
      </c>
      <c r="AD23" s="283">
        <f t="shared" si="21"/>
        <v>1.4999999999999999E-2</v>
      </c>
      <c r="AE23" s="283">
        <f t="shared" si="21"/>
        <v>0</v>
      </c>
      <c r="AF23" s="283">
        <f>SUMIF($E$5:$X$5,AF$5,$E23:$X23)</f>
        <v>0</v>
      </c>
      <c r="AG23" s="305">
        <v>0</v>
      </c>
      <c r="AH23" s="305">
        <v>0</v>
      </c>
    </row>
    <row r="24" spans="3:34" s="283" customFormat="1" ht="10.5" customHeight="1">
      <c r="C24" s="283" t="s">
        <v>365</v>
      </c>
      <c r="E24" s="305">
        <v>0</v>
      </c>
      <c r="F24" s="305">
        <v>0</v>
      </c>
      <c r="G24" s="305">
        <v>0</v>
      </c>
      <c r="H24" s="305">
        <v>0</v>
      </c>
      <c r="I24" s="305">
        <v>0</v>
      </c>
      <c r="J24" s="305">
        <v>0</v>
      </c>
      <c r="K24" s="305">
        <v>0</v>
      </c>
      <c r="L24" s="305">
        <v>0</v>
      </c>
      <c r="M24" s="305">
        <v>0</v>
      </c>
      <c r="N24" s="305">
        <v>1.97</v>
      </c>
      <c r="O24" s="305">
        <v>0</v>
      </c>
      <c r="P24" s="305">
        <v>0</v>
      </c>
      <c r="Q24" s="305">
        <v>0</v>
      </c>
      <c r="R24" s="305">
        <v>0</v>
      </c>
      <c r="S24" s="305">
        <v>0</v>
      </c>
      <c r="T24" s="384">
        <v>0</v>
      </c>
      <c r="U24" s="305">
        <v>0</v>
      </c>
      <c r="V24" s="305">
        <v>0</v>
      </c>
      <c r="W24" s="305">
        <v>0</v>
      </c>
      <c r="X24" s="305">
        <v>0</v>
      </c>
      <c r="Z24" s="305">
        <v>0</v>
      </c>
      <c r="AA24" s="305">
        <v>0</v>
      </c>
      <c r="AB24" s="283">
        <f t="shared" si="21"/>
        <v>0</v>
      </c>
      <c r="AC24" s="283">
        <f t="shared" si="21"/>
        <v>0</v>
      </c>
      <c r="AD24" s="283">
        <f t="shared" si="21"/>
        <v>1.97</v>
      </c>
      <c r="AE24" s="283">
        <f t="shared" si="21"/>
        <v>0</v>
      </c>
      <c r="AF24" s="283">
        <f t="shared" si="21"/>
        <v>0</v>
      </c>
      <c r="AG24" s="305">
        <v>0</v>
      </c>
      <c r="AH24" s="305">
        <v>0</v>
      </c>
    </row>
    <row r="25" spans="3:34" s="283" customFormat="1" ht="10.5" customHeight="1">
      <c r="C25" s="316" t="s">
        <v>319</v>
      </c>
      <c r="E25" s="379">
        <f t="shared" ref="E25:T25" si="22">E13-SUM(E15:E24)</f>
        <v>11.948999999999998</v>
      </c>
      <c r="F25" s="379">
        <f t="shared" si="22"/>
        <v>3.7559999999999825</v>
      </c>
      <c r="G25" s="379">
        <f t="shared" si="22"/>
        <v>-30.375999999999976</v>
      </c>
      <c r="H25" s="379">
        <f t="shared" si="22"/>
        <v>-24.454999999999988</v>
      </c>
      <c r="I25" s="379">
        <f t="shared" si="22"/>
        <v>-16.124000000000013</v>
      </c>
      <c r="J25" s="379">
        <f t="shared" si="22"/>
        <v>-43.47699999999999</v>
      </c>
      <c r="K25" s="379">
        <f t="shared" si="22"/>
        <v>-5.1129999999999782</v>
      </c>
      <c r="L25" s="379">
        <f t="shared" si="22"/>
        <v>7.6050000000000111</v>
      </c>
      <c r="M25" s="379">
        <f t="shared" si="22"/>
        <v>-13.045999999999985</v>
      </c>
      <c r="N25" s="379">
        <f t="shared" si="22"/>
        <v>13.904999999999987</v>
      </c>
      <c r="O25" s="379">
        <f t="shared" si="22"/>
        <v>36.528999999999989</v>
      </c>
      <c r="P25" s="379">
        <f t="shared" si="22"/>
        <v>29.589999999999947</v>
      </c>
      <c r="Q25" s="379">
        <f t="shared" si="22"/>
        <v>41.038000000000011</v>
      </c>
      <c r="R25" s="768">
        <f>R13-SUM(R15:R24)</f>
        <v>29.13300000000001</v>
      </c>
      <c r="S25" s="804">
        <f>S13-SUM(S15:S24)</f>
        <v>-8.5719999999999885</v>
      </c>
      <c r="T25" s="768">
        <f t="shared" si="22"/>
        <v>21.821000000000012</v>
      </c>
      <c r="U25" s="768">
        <f t="shared" ref="U25" si="23">U13-SUM(U15:U24)</f>
        <v>14.557000000000002</v>
      </c>
      <c r="V25" s="379">
        <f t="shared" ref="V25:X25" ca="1" si="24">V13-SUM(V15:V24)</f>
        <v>50.624624008835802</v>
      </c>
      <c r="W25" s="379">
        <f t="shared" ca="1" si="24"/>
        <v>26.894962180413337</v>
      </c>
      <c r="X25" s="379">
        <f t="shared" ca="1" si="24"/>
        <v>66.155039501530013</v>
      </c>
      <c r="Z25" s="379">
        <f t="shared" ref="Z25:AE25" si="25">Z13-SUM(Z15:Z24)</f>
        <v>109.43899999999998</v>
      </c>
      <c r="AA25" s="379">
        <f t="shared" si="25"/>
        <v>60.106000000000023</v>
      </c>
      <c r="AB25" s="379">
        <f t="shared" si="25"/>
        <v>-39.126000000000076</v>
      </c>
      <c r="AC25" s="379">
        <f t="shared" si="25"/>
        <v>-57.108999999999867</v>
      </c>
      <c r="AD25" s="379">
        <f t="shared" si="25"/>
        <v>66.977999999999909</v>
      </c>
      <c r="AE25" s="379">
        <f t="shared" si="25"/>
        <v>83.419999999999931</v>
      </c>
      <c r="AF25" s="379">
        <f ca="1">AF13-SUM(AF15:AF24)</f>
        <v>158.23162569077911</v>
      </c>
      <c r="AG25" s="379">
        <f ca="1">AG13-SUM(AG15:AG24)</f>
        <v>175.48930511756862</v>
      </c>
      <c r="AH25" s="379">
        <f ca="1">AH13-SUM(AH15:AH24)</f>
        <v>189.56430511670584</v>
      </c>
    </row>
    <row r="26" spans="3:34" s="283" customFormat="1" ht="10.5" customHeight="1">
      <c r="R26" s="305"/>
      <c r="S26" s="305"/>
      <c r="T26" s="305"/>
      <c r="U26" s="384">
        <v>0.13499999999999979</v>
      </c>
    </row>
    <row r="27" spans="3:34" s="283" customFormat="1" ht="10.5" customHeight="1">
      <c r="C27" s="283" t="s">
        <v>602</v>
      </c>
      <c r="E27" s="305">
        <v>-4.0069999999999997</v>
      </c>
      <c r="F27" s="305">
        <v>-16.803999999999998</v>
      </c>
      <c r="G27" s="305">
        <v>-19.46</v>
      </c>
      <c r="H27" s="305">
        <v>1.7999999999999999E-2</v>
      </c>
      <c r="I27" s="305">
        <v>1.7989999999999999</v>
      </c>
      <c r="J27" s="305">
        <v>-3.798</v>
      </c>
      <c r="K27" s="305">
        <v>4.718</v>
      </c>
      <c r="L27" s="305">
        <v>1.252</v>
      </c>
      <c r="M27" s="305">
        <v>-7.8929999999999998</v>
      </c>
      <c r="N27" s="305">
        <v>14.002000000000001</v>
      </c>
      <c r="O27" s="305">
        <v>6.6660000000000004</v>
      </c>
      <c r="P27" s="305">
        <v>9.2989999999999995</v>
      </c>
      <c r="Q27" s="305">
        <v>-0.47299999999999998</v>
      </c>
      <c r="R27" s="305">
        <v>17.312999999999999</v>
      </c>
      <c r="S27" s="384">
        <v>-12.148</v>
      </c>
      <c r="T27" s="305">
        <f>25.141-T28</f>
        <v>27.962999999999997</v>
      </c>
      <c r="U27" s="305">
        <v>0</v>
      </c>
      <c r="V27" s="305">
        <v>0</v>
      </c>
      <c r="W27" s="305">
        <v>0</v>
      </c>
      <c r="X27" s="305">
        <v>0</v>
      </c>
      <c r="Z27" s="305">
        <v>-4.423</v>
      </c>
      <c r="AA27" s="305">
        <v>21.25</v>
      </c>
      <c r="AB27" s="283">
        <f t="shared" ref="AB27:AF32" si="26">SUMIF($E$5:$X$5,AB$5,$E27:$X27)</f>
        <v>-40.253</v>
      </c>
      <c r="AC27" s="283">
        <f t="shared" si="26"/>
        <v>3.9710000000000001</v>
      </c>
      <c r="AD27" s="283">
        <f t="shared" si="26"/>
        <v>22.074000000000002</v>
      </c>
      <c r="AE27" s="283">
        <f t="shared" si="26"/>
        <v>32.655000000000001</v>
      </c>
      <c r="AF27" s="283">
        <f t="shared" si="26"/>
        <v>0</v>
      </c>
      <c r="AG27" s="305">
        <v>0</v>
      </c>
      <c r="AH27" s="305">
        <v>0</v>
      </c>
    </row>
    <row r="28" spans="3:34" s="283" customFormat="1" ht="10.5" customHeight="1">
      <c r="C28" s="283" t="s">
        <v>543</v>
      </c>
      <c r="E28" s="305">
        <v>-0.31</v>
      </c>
      <c r="F28" s="305">
        <v>0.56399999999999995</v>
      </c>
      <c r="G28" s="305">
        <v>2.2069999999999999</v>
      </c>
      <c r="H28" s="305">
        <v>0.35499999999999998</v>
      </c>
      <c r="I28" s="305">
        <v>-9.6000000000000002E-2</v>
      </c>
      <c r="J28" s="305">
        <v>1.129</v>
      </c>
      <c r="K28" s="305">
        <v>0.126</v>
      </c>
      <c r="L28" s="305">
        <v>1.23</v>
      </c>
      <c r="M28" s="305">
        <v>0.97799999999999998</v>
      </c>
      <c r="N28" s="305">
        <v>-6.4089999999999998</v>
      </c>
      <c r="O28" s="305">
        <v>-3.9790000000000001</v>
      </c>
      <c r="P28" s="305">
        <v>-0.85799999999999998</v>
      </c>
      <c r="Q28" s="305">
        <v>3.5059999999999998</v>
      </c>
      <c r="R28" s="305">
        <v>0.75</v>
      </c>
      <c r="S28" s="384">
        <v>2.8610000000000002</v>
      </c>
      <c r="T28" s="305">
        <v>-2.8220000000000001</v>
      </c>
      <c r="U28" s="305">
        <v>-6.1</v>
      </c>
      <c r="V28" s="305">
        <v>0</v>
      </c>
      <c r="W28" s="305">
        <v>0</v>
      </c>
      <c r="X28" s="305">
        <v>0</v>
      </c>
      <c r="Z28" s="305">
        <v>0.17699999999999999</v>
      </c>
      <c r="AA28" s="305">
        <v>0.247</v>
      </c>
      <c r="AB28" s="283">
        <f t="shared" si="26"/>
        <v>2.8159999999999998</v>
      </c>
      <c r="AC28" s="283">
        <f t="shared" si="26"/>
        <v>2.3889999999999998</v>
      </c>
      <c r="AD28" s="283">
        <f t="shared" si="26"/>
        <v>-10.268000000000001</v>
      </c>
      <c r="AE28" s="283">
        <f t="shared" si="26"/>
        <v>4.2950000000000008</v>
      </c>
      <c r="AF28" s="283">
        <f t="shared" si="26"/>
        <v>-6.1</v>
      </c>
      <c r="AG28" s="305">
        <v>0</v>
      </c>
      <c r="AH28" s="305">
        <v>0</v>
      </c>
    </row>
    <row r="29" spans="3:34" s="283" customFormat="1" ht="10.5" customHeight="1">
      <c r="C29" s="283" t="s">
        <v>603</v>
      </c>
      <c r="E29" s="305">
        <v>-2.5920000000000001</v>
      </c>
      <c r="F29" s="305">
        <v>-2.476</v>
      </c>
      <c r="G29" s="305">
        <v>2.2120000000000002</v>
      </c>
      <c r="H29" s="305">
        <v>-7.4539999999999997</v>
      </c>
      <c r="I29" s="305">
        <v>3.133</v>
      </c>
      <c r="J29" s="305">
        <v>4.3810000000000002</v>
      </c>
      <c r="K29" s="305">
        <v>-0.77300000000000002</v>
      </c>
      <c r="L29" s="305">
        <v>1.4950000000000001</v>
      </c>
      <c r="M29" s="305">
        <v>-6.6360000000000001</v>
      </c>
      <c r="N29" s="305">
        <v>3.2050000000000001</v>
      </c>
      <c r="O29" s="305">
        <v>2.1960000000000002</v>
      </c>
      <c r="P29" s="305">
        <v>5.84</v>
      </c>
      <c r="Q29" s="305">
        <v>2.0640000000000001</v>
      </c>
      <c r="R29" s="305">
        <v>1.907</v>
      </c>
      <c r="S29" s="384">
        <v>-3.9950000000000001</v>
      </c>
      <c r="T29" s="305">
        <v>-0.39300000000000002</v>
      </c>
      <c r="U29" s="305">
        <v>2.0379999999999998</v>
      </c>
      <c r="V29" s="305">
        <v>0</v>
      </c>
      <c r="W29" s="305">
        <v>0</v>
      </c>
      <c r="X29" s="305">
        <v>0</v>
      </c>
      <c r="Z29" s="305">
        <v>2.7370000000000001</v>
      </c>
      <c r="AA29" s="305">
        <v>9.68</v>
      </c>
      <c r="AB29" s="283">
        <f t="shared" si="26"/>
        <v>-10.309999999999999</v>
      </c>
      <c r="AC29" s="283">
        <f t="shared" si="26"/>
        <v>8.2360000000000007</v>
      </c>
      <c r="AD29" s="283">
        <f t="shared" si="26"/>
        <v>4.6050000000000004</v>
      </c>
      <c r="AE29" s="283">
        <f t="shared" si="26"/>
        <v>-0.41700000000000004</v>
      </c>
      <c r="AF29" s="283">
        <f t="shared" si="26"/>
        <v>2.0379999999999998</v>
      </c>
      <c r="AG29" s="305">
        <v>0</v>
      </c>
      <c r="AH29" s="305">
        <v>0</v>
      </c>
    </row>
    <row r="30" spans="3:34" s="283" customFormat="1" ht="10.5" customHeight="1">
      <c r="C30" s="283" t="s">
        <v>320</v>
      </c>
      <c r="E30" s="305">
        <v>0</v>
      </c>
      <c r="F30" s="305">
        <v>0</v>
      </c>
      <c r="G30" s="305">
        <v>3.5999999999999997E-2</v>
      </c>
      <c r="H30" s="305">
        <v>-2E-3</v>
      </c>
      <c r="I30" s="305">
        <v>0</v>
      </c>
      <c r="J30" s="305">
        <v>0</v>
      </c>
      <c r="K30" s="305">
        <v>-0.92700000000000005</v>
      </c>
      <c r="L30" s="305">
        <v>4.0000000000000001E-3</v>
      </c>
      <c r="M30" s="305">
        <v>0</v>
      </c>
      <c r="N30" s="305">
        <v>0</v>
      </c>
      <c r="O30" s="305">
        <v>0</v>
      </c>
      <c r="P30" s="305">
        <v>0</v>
      </c>
      <c r="Q30" s="305">
        <v>-1.1579999999999999</v>
      </c>
      <c r="R30" s="305">
        <v>0</v>
      </c>
      <c r="S30" s="384">
        <v>0</v>
      </c>
      <c r="T30" s="305">
        <v>0</v>
      </c>
      <c r="U30" s="305">
        <v>0</v>
      </c>
      <c r="V30" s="317">
        <f ca="1">Segment!V31</f>
        <v>0</v>
      </c>
      <c r="W30" s="317">
        <f ca="1">Segment!W31</f>
        <v>0</v>
      </c>
      <c r="X30" s="317">
        <f ca="1">Segment!X31</f>
        <v>0</v>
      </c>
      <c r="Z30" s="305">
        <v>0</v>
      </c>
      <c r="AA30" s="305">
        <v>0.16600000000000001</v>
      </c>
      <c r="AB30" s="283">
        <f t="shared" si="26"/>
        <v>3.3999999999999996E-2</v>
      </c>
      <c r="AC30" s="283">
        <f t="shared" si="26"/>
        <v>-0.92300000000000004</v>
      </c>
      <c r="AD30" s="283">
        <f t="shared" si="26"/>
        <v>0</v>
      </c>
      <c r="AE30" s="283">
        <f t="shared" si="26"/>
        <v>-1.1579999999999999</v>
      </c>
      <c r="AF30" s="283">
        <f t="shared" ca="1" si="26"/>
        <v>0</v>
      </c>
      <c r="AG30" s="317">
        <f ca="1">Segment!AG31</f>
        <v>0</v>
      </c>
      <c r="AH30" s="317">
        <f ca="1">Segment!AH31</f>
        <v>0</v>
      </c>
    </row>
    <row r="31" spans="3:34" s="283" customFormat="1" ht="10.5" customHeight="1">
      <c r="C31" s="283" t="s">
        <v>321</v>
      </c>
      <c r="E31" s="305">
        <v>5.6000000000000001E-2</v>
      </c>
      <c r="F31" s="305">
        <v>-0.108</v>
      </c>
      <c r="G31" s="305">
        <v>0.34599999999999997</v>
      </c>
      <c r="H31" s="305">
        <v>0.61299999999999999</v>
      </c>
      <c r="I31" s="305">
        <v>1.1240000000000001</v>
      </c>
      <c r="J31" s="305">
        <v>1.1870000000000001</v>
      </c>
      <c r="K31" s="305">
        <v>1.0960000000000001</v>
      </c>
      <c r="L31" s="305">
        <v>1.022</v>
      </c>
      <c r="M31" s="305">
        <v>0.42299999999999999</v>
      </c>
      <c r="N31" s="305">
        <v>0.64900000000000002</v>
      </c>
      <c r="O31" s="305">
        <v>0.40600000000000003</v>
      </c>
      <c r="P31" s="305">
        <v>0.67400000000000004</v>
      </c>
      <c r="Q31" s="305">
        <v>0.161</v>
      </c>
      <c r="R31" s="305">
        <v>0.27800000000000002</v>
      </c>
      <c r="S31" s="384">
        <v>-0.247</v>
      </c>
      <c r="T31" s="305">
        <v>0.38200000000000001</v>
      </c>
      <c r="U31" s="305">
        <f>-1.505+0.008+0.135-0.209</f>
        <v>-1.571</v>
      </c>
      <c r="V31" s="317">
        <f ca="1">Segment!V32</f>
        <v>-1.8814770500360241</v>
      </c>
      <c r="W31" s="317">
        <f ca="1">Segment!W32</f>
        <v>-1.6243401847285774</v>
      </c>
      <c r="X31" s="317">
        <f ca="1">Segment!X32</f>
        <v>-1.8679064604348006</v>
      </c>
      <c r="Z31" s="305">
        <v>-0.50700000000000001</v>
      </c>
      <c r="AA31" s="305">
        <v>-1.6919999999999999</v>
      </c>
      <c r="AB31" s="283">
        <f t="shared" si="26"/>
        <v>0.90700000000000003</v>
      </c>
      <c r="AC31" s="283">
        <f t="shared" si="26"/>
        <v>4.4290000000000003</v>
      </c>
      <c r="AD31" s="283">
        <f t="shared" si="26"/>
        <v>2.1520000000000001</v>
      </c>
      <c r="AE31" s="283">
        <f t="shared" si="26"/>
        <v>0.57400000000000007</v>
      </c>
      <c r="AF31" s="283">
        <f t="shared" ca="1" si="26"/>
        <v>-6.9447236951994018</v>
      </c>
      <c r="AG31" s="317">
        <f ca="1">Segment!AG32</f>
        <v>4.3249866001046913</v>
      </c>
      <c r="AH31" s="317">
        <f ca="1">Segment!AH32</f>
        <v>4.6472726541967475</v>
      </c>
    </row>
    <row r="32" spans="3:34" s="283" customFormat="1" ht="10.5" customHeight="1">
      <c r="C32" s="283" t="s">
        <v>322</v>
      </c>
      <c r="E32" s="305">
        <v>9.7940000000000005</v>
      </c>
      <c r="F32" s="305">
        <v>10.079000000000001</v>
      </c>
      <c r="G32" s="305">
        <v>10.146000000000001</v>
      </c>
      <c r="H32" s="305">
        <v>10.925000000000001</v>
      </c>
      <c r="I32" s="305">
        <v>10.664999999999999</v>
      </c>
      <c r="J32" s="305">
        <v>11.335000000000001</v>
      </c>
      <c r="K32" s="305">
        <v>11.776999999999999</v>
      </c>
      <c r="L32" s="305">
        <v>14.67</v>
      </c>
      <c r="M32" s="305">
        <v>16.311</v>
      </c>
      <c r="N32" s="305">
        <v>11.829000000000001</v>
      </c>
      <c r="O32" s="305">
        <v>10.779</v>
      </c>
      <c r="P32" s="305">
        <v>10.65</v>
      </c>
      <c r="Q32" s="305">
        <v>10.744</v>
      </c>
      <c r="R32" s="305">
        <v>10.271000000000001</v>
      </c>
      <c r="S32" s="384">
        <v>10.468999999999999</v>
      </c>
      <c r="T32" s="305">
        <v>10.461</v>
      </c>
      <c r="U32" s="305">
        <v>10.406000000000001</v>
      </c>
      <c r="V32" s="317">
        <f ca="1">Segment!V111</f>
        <v>9.2381539374999999</v>
      </c>
      <c r="W32" s="317">
        <f ca="1">Segment!W111</f>
        <v>9.2381539374999999</v>
      </c>
      <c r="X32" s="317">
        <f ca="1">Segment!X111</f>
        <v>9.2381539374999999</v>
      </c>
      <c r="Z32" s="305">
        <v>21.795999999999999</v>
      </c>
      <c r="AA32" s="305">
        <v>38.012</v>
      </c>
      <c r="AB32" s="283">
        <f t="shared" si="26"/>
        <v>40.944000000000003</v>
      </c>
      <c r="AC32" s="283">
        <f t="shared" si="26"/>
        <v>48.447000000000003</v>
      </c>
      <c r="AD32" s="283">
        <f t="shared" si="26"/>
        <v>49.568999999999996</v>
      </c>
      <c r="AE32" s="283">
        <f t="shared" si="26"/>
        <v>41.945</v>
      </c>
      <c r="AF32" s="283">
        <f t="shared" ca="1" si="26"/>
        <v>38.120461812500004</v>
      </c>
      <c r="AG32" s="317">
        <f ca="1">Segment!AG111</f>
        <v>36.95261575</v>
      </c>
      <c r="AH32" s="317">
        <f ca="1">Segment!AH111</f>
        <v>36.95261575</v>
      </c>
    </row>
    <row r="33" spans="3:34" s="283" customFormat="1" ht="10.5" customHeight="1">
      <c r="C33" s="316" t="s">
        <v>323</v>
      </c>
      <c r="E33" s="379">
        <f t="shared" ref="E33:Q33" si="27">E25-SUM(E27:E32)</f>
        <v>9.0079999999999956</v>
      </c>
      <c r="F33" s="379">
        <f t="shared" si="27"/>
        <v>12.50099999999998</v>
      </c>
      <c r="G33" s="379">
        <f t="shared" si="27"/>
        <v>-25.862999999999978</v>
      </c>
      <c r="H33" s="379">
        <f t="shared" si="27"/>
        <v>-28.909999999999989</v>
      </c>
      <c r="I33" s="379">
        <f t="shared" si="27"/>
        <v>-32.749000000000009</v>
      </c>
      <c r="J33" s="379">
        <f t="shared" si="27"/>
        <v>-57.710999999999991</v>
      </c>
      <c r="K33" s="379">
        <f t="shared" si="27"/>
        <v>-21.129999999999978</v>
      </c>
      <c r="L33" s="379">
        <f t="shared" si="27"/>
        <v>-12.067999999999991</v>
      </c>
      <c r="M33" s="379">
        <f t="shared" si="27"/>
        <v>-16.228999999999985</v>
      </c>
      <c r="N33" s="379">
        <f t="shared" si="27"/>
        <v>-9.3710000000000164</v>
      </c>
      <c r="O33" s="379">
        <f t="shared" si="27"/>
        <v>20.460999999999988</v>
      </c>
      <c r="P33" s="379">
        <f t="shared" si="27"/>
        <v>3.9849999999999497</v>
      </c>
      <c r="Q33" s="379">
        <f t="shared" si="27"/>
        <v>26.19400000000001</v>
      </c>
      <c r="R33" s="768">
        <f>R25-SUM(R27:R32)</f>
        <v>-1.3859999999999886</v>
      </c>
      <c r="S33" s="804">
        <f>S25-SUM(S27:S32)</f>
        <v>-5.511999999999988</v>
      </c>
      <c r="T33" s="768">
        <f>T25-SUM(T27:T32)</f>
        <v>-13.769999999999989</v>
      </c>
      <c r="U33" s="768">
        <f>U25-SUM(U27:U32)</f>
        <v>9.7840000000000007</v>
      </c>
      <c r="V33" s="379">
        <f t="shared" ref="V33:X33" ca="1" si="28">V25-SUM(V27:V32)</f>
        <v>43.267947121371826</v>
      </c>
      <c r="W33" s="379">
        <f t="shared" ca="1" si="28"/>
        <v>19.281148427641916</v>
      </c>
      <c r="X33" s="379">
        <f t="shared" ca="1" si="28"/>
        <v>58.784792024464814</v>
      </c>
      <c r="Z33" s="379">
        <f t="shared" ref="Z33:AE33" si="29">Z25-SUM(Z27:Z32)</f>
        <v>89.658999999999978</v>
      </c>
      <c r="AA33" s="379">
        <f t="shared" si="29"/>
        <v>-7.5569999999999737</v>
      </c>
      <c r="AB33" s="379">
        <f t="shared" si="29"/>
        <v>-33.264000000000081</v>
      </c>
      <c r="AC33" s="379">
        <f t="shared" si="29"/>
        <v>-123.65799999999987</v>
      </c>
      <c r="AD33" s="379">
        <f t="shared" si="29"/>
        <v>-1.1540000000000958</v>
      </c>
      <c r="AE33" s="379">
        <f t="shared" si="29"/>
        <v>5.5259999999999252</v>
      </c>
      <c r="AF33" s="379">
        <f ca="1">AF25-SUM(AF27:AF32)</f>
        <v>131.1178875734785</v>
      </c>
      <c r="AG33" s="379">
        <f ca="1">AG25-SUM(AG27:AG32)</f>
        <v>134.21170276746392</v>
      </c>
      <c r="AH33" s="379">
        <f ca="1">AH25-SUM(AH27:AH32)</f>
        <v>147.96441671250909</v>
      </c>
    </row>
    <row r="34" spans="3:34" s="283" customFormat="1" ht="10.5" customHeight="1">
      <c r="C34" s="313"/>
      <c r="O34" s="399"/>
      <c r="R34" s="399"/>
      <c r="T34" s="399"/>
    </row>
    <row r="35" spans="3:34" s="283" customFormat="1" ht="10.5" customHeight="1">
      <c r="C35" s="283" t="s">
        <v>324</v>
      </c>
      <c r="E35" s="305">
        <v>0.76800000000000002</v>
      </c>
      <c r="F35" s="305">
        <v>0.42699999999999999</v>
      </c>
      <c r="G35" s="305">
        <v>-2.6789999999999998</v>
      </c>
      <c r="H35" s="305">
        <v>-5.2169999999999996</v>
      </c>
      <c r="I35" s="305">
        <v>-7.2160000000000002</v>
      </c>
      <c r="J35" s="305">
        <v>-11.179</v>
      </c>
      <c r="K35" s="305">
        <v>-1.6140000000000001</v>
      </c>
      <c r="L35" s="305">
        <v>-4.0919999999999996</v>
      </c>
      <c r="M35" s="305">
        <v>-0.40500000000000003</v>
      </c>
      <c r="N35" s="305">
        <v>2.6459999999999999</v>
      </c>
      <c r="O35" s="384">
        <v>5.181</v>
      </c>
      <c r="P35" s="305">
        <v>0.77700000000000014</v>
      </c>
      <c r="Q35" s="305">
        <v>4.7430000000000003</v>
      </c>
      <c r="R35" s="305">
        <v>-4.1340000000000003</v>
      </c>
      <c r="S35" s="305">
        <v>-4.5330000000000004</v>
      </c>
      <c r="T35" s="305">
        <v>-25.645</v>
      </c>
      <c r="U35" s="305">
        <v>5.6310000000000002</v>
      </c>
      <c r="V35" s="317">
        <f ca="1">Segment!V118</f>
        <v>9.0862688954880859</v>
      </c>
      <c r="W35" s="317">
        <f ca="1">Segment!W118</f>
        <v>4.0490411698048039</v>
      </c>
      <c r="X35" s="317">
        <f ca="1">Segment!X118</f>
        <v>12.344806325137611</v>
      </c>
      <c r="Z35" s="305">
        <v>28.09</v>
      </c>
      <c r="AA35" s="305">
        <v>20.963000000000001</v>
      </c>
      <c r="AB35" s="283">
        <f t="shared" ref="AB35:AF35" si="30">SUMIF($E$5:$X$5,AB$5,$E35:$X35)</f>
        <v>-6.7009999999999996</v>
      </c>
      <c r="AC35" s="283">
        <f t="shared" si="30"/>
        <v>-24.100999999999999</v>
      </c>
      <c r="AD35" s="283">
        <f t="shared" si="30"/>
        <v>8.1989999999999998</v>
      </c>
      <c r="AE35" s="283">
        <f t="shared" si="30"/>
        <v>-29.568999999999999</v>
      </c>
      <c r="AF35" s="283">
        <f t="shared" ca="1" si="30"/>
        <v>31.111116390430503</v>
      </c>
      <c r="AG35" s="317">
        <f ca="1">Segment!AG118</f>
        <v>28.184457581167422</v>
      </c>
      <c r="AH35" s="317">
        <f ca="1">Segment!AH118</f>
        <v>31.072527509626916</v>
      </c>
    </row>
    <row r="36" spans="3:34" s="283" customFormat="1" ht="10.5" customHeight="1">
      <c r="C36" s="316" t="s">
        <v>325</v>
      </c>
      <c r="E36" s="379">
        <f>E33-E35</f>
        <v>8.2399999999999949</v>
      </c>
      <c r="F36" s="379">
        <f t="shared" ref="F36:T36" si="31">F33-F35</f>
        <v>12.07399999999998</v>
      </c>
      <c r="G36" s="379">
        <f t="shared" si="31"/>
        <v>-23.18399999999998</v>
      </c>
      <c r="H36" s="379">
        <f t="shared" si="31"/>
        <v>-23.692999999999991</v>
      </c>
      <c r="I36" s="379">
        <f t="shared" si="31"/>
        <v>-25.533000000000008</v>
      </c>
      <c r="J36" s="379">
        <f t="shared" si="31"/>
        <v>-46.531999999999989</v>
      </c>
      <c r="K36" s="379">
        <f t="shared" si="31"/>
        <v>-19.515999999999977</v>
      </c>
      <c r="L36" s="379">
        <f t="shared" si="31"/>
        <v>-7.9759999999999911</v>
      </c>
      <c r="M36" s="379">
        <f t="shared" si="31"/>
        <v>-15.823999999999986</v>
      </c>
      <c r="N36" s="379">
        <f t="shared" si="31"/>
        <v>-12.017000000000017</v>
      </c>
      <c r="O36" s="379">
        <f t="shared" si="31"/>
        <v>15.279999999999987</v>
      </c>
      <c r="P36" s="379">
        <f t="shared" si="31"/>
        <v>3.2079999999999496</v>
      </c>
      <c r="Q36" s="379">
        <f t="shared" si="31"/>
        <v>21.451000000000008</v>
      </c>
      <c r="R36" s="768">
        <f>R33-R35</f>
        <v>2.7480000000000118</v>
      </c>
      <c r="S36" s="768">
        <f>S33-S35</f>
        <v>-0.97899999999998766</v>
      </c>
      <c r="T36" s="768">
        <f t="shared" si="31"/>
        <v>11.875000000000011</v>
      </c>
      <c r="U36" s="768">
        <f t="shared" ref="U36" si="32">U33-U35</f>
        <v>4.1530000000000005</v>
      </c>
      <c r="V36" s="379">
        <f t="shared" ref="V36:X36" ca="1" si="33">V33-V35</f>
        <v>34.181678225883743</v>
      </c>
      <c r="W36" s="379">
        <f t="shared" ca="1" si="33"/>
        <v>15.232107257837113</v>
      </c>
      <c r="X36" s="379">
        <f t="shared" ca="1" si="33"/>
        <v>46.439985699327202</v>
      </c>
      <c r="Z36" s="379">
        <f t="shared" ref="Z36:AG36" si="34">Z33-Z35</f>
        <v>61.568999999999974</v>
      </c>
      <c r="AA36" s="379">
        <f t="shared" si="34"/>
        <v>-28.519999999999975</v>
      </c>
      <c r="AB36" s="379">
        <f t="shared" si="34"/>
        <v>-26.563000000000081</v>
      </c>
      <c r="AC36" s="379">
        <f t="shared" si="34"/>
        <v>-99.556999999999874</v>
      </c>
      <c r="AD36" s="379">
        <f t="shared" si="34"/>
        <v>-9.3530000000000957</v>
      </c>
      <c r="AE36" s="379">
        <f t="shared" si="34"/>
        <v>35.094999999999928</v>
      </c>
      <c r="AF36" s="379">
        <f t="shared" ca="1" si="34"/>
        <v>100.00677118304799</v>
      </c>
      <c r="AG36" s="379">
        <f t="shared" ca="1" si="34"/>
        <v>106.0272451862965</v>
      </c>
      <c r="AH36" s="379">
        <f t="shared" ref="AH36" ca="1" si="35">AH33-AH35</f>
        <v>116.89188920288217</v>
      </c>
    </row>
    <row r="37" spans="3:34" s="283" customFormat="1" ht="10.5" customHeight="1">
      <c r="R37" s="399"/>
      <c r="T37" s="399"/>
    </row>
    <row r="38" spans="3:34" s="283" customFormat="1" ht="10.5" customHeight="1">
      <c r="C38" s="283" t="s">
        <v>326</v>
      </c>
      <c r="E38" s="305">
        <v>0.13800000000000001</v>
      </c>
      <c r="F38" s="305">
        <v>0.13800000000000001</v>
      </c>
      <c r="G38" s="305">
        <v>0.13800000000000001</v>
      </c>
      <c r="H38" s="305">
        <v>0.13800000000000001</v>
      </c>
      <c r="I38" s="305">
        <v>0.13800000000000001</v>
      </c>
      <c r="J38" s="305">
        <v>0.13800000000000001</v>
      </c>
      <c r="K38" s="305">
        <v>0.13800000000000001</v>
      </c>
      <c r="L38" s="305">
        <v>0.13800000000000001</v>
      </c>
      <c r="M38" s="305">
        <v>0.13800000000000001</v>
      </c>
      <c r="N38" s="305">
        <v>0.13800000000000001</v>
      </c>
      <c r="O38" s="305">
        <v>0.13800000000000001</v>
      </c>
      <c r="P38" s="305">
        <v>0.13800000000000001</v>
      </c>
      <c r="Q38" s="305">
        <v>0.13800000000000001</v>
      </c>
      <c r="R38" s="305">
        <v>0.13800000000000001</v>
      </c>
      <c r="S38" s="305">
        <v>0.13800000000000001</v>
      </c>
      <c r="T38" s="305">
        <v>0.13800000000000001</v>
      </c>
      <c r="U38" s="305">
        <v>0.13800000000000001</v>
      </c>
      <c r="V38" s="319">
        <f t="shared" ref="V38:X38" si="36">U38</f>
        <v>0.13800000000000001</v>
      </c>
      <c r="W38" s="319">
        <f t="shared" si="36"/>
        <v>0.13800000000000001</v>
      </c>
      <c r="X38" s="319">
        <f t="shared" si="36"/>
        <v>0.13800000000000001</v>
      </c>
      <c r="Z38" s="305">
        <v>0.55200000000000005</v>
      </c>
      <c r="AA38" s="305">
        <v>0.55200000000000005</v>
      </c>
      <c r="AB38" s="283">
        <f t="shared" ref="AB38:AF38" si="37">SUMIF($E$5:$X$5,AB$5,$E38:$X38)</f>
        <v>0.55200000000000005</v>
      </c>
      <c r="AC38" s="283">
        <f t="shared" si="37"/>
        <v>0.55200000000000005</v>
      </c>
      <c r="AD38" s="283">
        <f t="shared" si="37"/>
        <v>0.55200000000000005</v>
      </c>
      <c r="AE38" s="283">
        <f t="shared" si="37"/>
        <v>0.55200000000000005</v>
      </c>
      <c r="AF38" s="283">
        <f t="shared" si="37"/>
        <v>0.55200000000000005</v>
      </c>
      <c r="AG38" s="319">
        <f>AF38</f>
        <v>0.55200000000000005</v>
      </c>
      <c r="AH38" s="319">
        <f>AG38</f>
        <v>0.55200000000000005</v>
      </c>
    </row>
    <row r="39" spans="3:34" s="283" customFormat="1" ht="10.5" customHeight="1">
      <c r="C39" s="316" t="s">
        <v>327</v>
      </c>
      <c r="E39" s="382">
        <f>+E36-E38</f>
        <v>8.101999999999995</v>
      </c>
      <c r="F39" s="382">
        <f t="shared" ref="F39:T39" si="38">+F36-F38</f>
        <v>11.93599999999998</v>
      </c>
      <c r="G39" s="382">
        <f t="shared" si="38"/>
        <v>-23.321999999999981</v>
      </c>
      <c r="H39" s="382">
        <f t="shared" si="38"/>
        <v>-23.830999999999992</v>
      </c>
      <c r="I39" s="382">
        <f t="shared" si="38"/>
        <v>-25.67100000000001</v>
      </c>
      <c r="J39" s="382">
        <f t="shared" si="38"/>
        <v>-46.669999999999987</v>
      </c>
      <c r="K39" s="382">
        <f t="shared" si="38"/>
        <v>-19.653999999999979</v>
      </c>
      <c r="L39" s="382">
        <f t="shared" si="38"/>
        <v>-8.1139999999999919</v>
      </c>
      <c r="M39" s="382">
        <f t="shared" si="38"/>
        <v>-15.961999999999986</v>
      </c>
      <c r="N39" s="382">
        <f t="shared" si="38"/>
        <v>-12.155000000000017</v>
      </c>
      <c r="O39" s="382">
        <f t="shared" si="38"/>
        <v>15.141999999999987</v>
      </c>
      <c r="P39" s="382">
        <f t="shared" si="38"/>
        <v>3.0699999999999497</v>
      </c>
      <c r="Q39" s="382">
        <f t="shared" si="38"/>
        <v>21.313000000000006</v>
      </c>
      <c r="R39" s="769">
        <f>+R36-R38</f>
        <v>2.6100000000000119</v>
      </c>
      <c r="S39" s="769">
        <f>+S36-S38</f>
        <v>-1.1169999999999876</v>
      </c>
      <c r="T39" s="769">
        <f t="shared" si="38"/>
        <v>11.737000000000011</v>
      </c>
      <c r="U39" s="769">
        <f t="shared" ref="U39" si="39">+U36-U38</f>
        <v>4.0150000000000006</v>
      </c>
      <c r="V39" s="382">
        <f t="shared" ref="V39:X39" ca="1" si="40">+V36-V38</f>
        <v>34.043678225883745</v>
      </c>
      <c r="W39" s="382">
        <f t="shared" ca="1" si="40"/>
        <v>15.094107257837113</v>
      </c>
      <c r="X39" s="382">
        <f t="shared" ca="1" si="40"/>
        <v>46.301985699327204</v>
      </c>
      <c r="Z39" s="382">
        <f t="shared" ref="Z39:AG39" si="41">+Z36-Z38</f>
        <v>61.016999999999975</v>
      </c>
      <c r="AA39" s="382">
        <f t="shared" si="41"/>
        <v>-29.071999999999974</v>
      </c>
      <c r="AB39" s="382">
        <f t="shared" si="41"/>
        <v>-27.11500000000008</v>
      </c>
      <c r="AC39" s="382">
        <f t="shared" si="41"/>
        <v>-100.10899999999988</v>
      </c>
      <c r="AD39" s="382">
        <f t="shared" si="41"/>
        <v>-9.9050000000000953</v>
      </c>
      <c r="AE39" s="382">
        <f t="shared" si="41"/>
        <v>34.542999999999928</v>
      </c>
      <c r="AF39" s="382">
        <f t="shared" ca="1" si="41"/>
        <v>99.454771183047981</v>
      </c>
      <c r="AG39" s="382">
        <f t="shared" ca="1" si="41"/>
        <v>105.47524518629649</v>
      </c>
      <c r="AH39" s="382">
        <f t="shared" ref="AH39" ca="1" si="42">+AH36-AH38</f>
        <v>116.33988920288216</v>
      </c>
    </row>
    <row r="40" spans="3:34" s="283" customFormat="1" ht="10.5" customHeight="1">
      <c r="Q40" s="399"/>
      <c r="R40" s="399"/>
      <c r="S40" s="399"/>
    </row>
    <row r="41" spans="3:34" ht="10.5" customHeight="1">
      <c r="C41" s="281" t="s">
        <v>329</v>
      </c>
      <c r="E41" s="383">
        <f t="shared" ref="E41:P41" si="43">E$39/E44</f>
        <v>2.0289390516926176E-2</v>
      </c>
      <c r="F41" s="383">
        <f t="shared" si="43"/>
        <v>2.9793893949113696E-2</v>
      </c>
      <c r="G41" s="383">
        <f t="shared" si="43"/>
        <v>-5.1524845571275769E-2</v>
      </c>
      <c r="H41" s="383">
        <f t="shared" si="43"/>
        <v>-4.9588823318878324E-2</v>
      </c>
      <c r="I41" s="383">
        <f t="shared" si="43"/>
        <v>-5.3167891738068775E-2</v>
      </c>
      <c r="J41" s="383">
        <f t="shared" si="43"/>
        <v>-9.6015964942960275E-2</v>
      </c>
      <c r="K41" s="383">
        <f t="shared" si="43"/>
        <v>-4.0112578091356384E-2</v>
      </c>
      <c r="L41" s="383">
        <f t="shared" si="43"/>
        <v>-1.6134356196634718E-2</v>
      </c>
      <c r="M41" s="383">
        <f t="shared" si="43"/>
        <v>-3.0507535143296703E-2</v>
      </c>
      <c r="N41" s="383">
        <f t="shared" si="43"/>
        <v>-2.314166966527877E-2</v>
      </c>
      <c r="O41" s="383">
        <f t="shared" si="43"/>
        <v>2.8578546650108123E-2</v>
      </c>
      <c r="P41" s="383">
        <f t="shared" si="43"/>
        <v>5.7815660322636797E-3</v>
      </c>
      <c r="Q41" s="383">
        <f t="shared" ref="Q41:T42" si="44">Q$39/Q44</f>
        <v>3.9904437550201191E-2</v>
      </c>
      <c r="R41" s="383">
        <f>R$39/R44</f>
        <v>4.8736674440882271E-3</v>
      </c>
      <c r="S41" s="383">
        <f>S$39/S44</f>
        <v>-2.080206195550533E-3</v>
      </c>
      <c r="T41" s="383">
        <f t="shared" si="44"/>
        <v>2.1810958069143935E-2</v>
      </c>
      <c r="U41" s="383">
        <f t="shared" ref="U41" si="45">U$39/U44</f>
        <v>7.4560344667496158E-3</v>
      </c>
      <c r="V41" s="383">
        <f t="shared" ref="V41:X41" ca="1" si="46">V$39/V44</f>
        <v>6.3220632186082829E-2</v>
      </c>
      <c r="W41" s="383">
        <f t="shared" ca="1" si="46"/>
        <v>2.8030431870298637E-2</v>
      </c>
      <c r="X41" s="383">
        <f t="shared" ca="1" si="46"/>
        <v>8.5984857099160997E-2</v>
      </c>
      <c r="Y41" s="283"/>
      <c r="Z41" s="383">
        <f t="shared" ref="Z41:AG42" si="47">Z$39/Z44</f>
        <v>0.15790495217589326</v>
      </c>
      <c r="AA41" s="383">
        <f t="shared" si="47"/>
        <v>-7.3156615348998658E-2</v>
      </c>
      <c r="AB41" s="383">
        <f t="shared" si="47"/>
        <v>-5.6422346703511816E-2</v>
      </c>
      <c r="AC41" s="383">
        <f t="shared" si="47"/>
        <v>-0.19906264043491551</v>
      </c>
      <c r="AD41" s="383">
        <f t="shared" si="47"/>
        <v>-1.865355425067532E-2</v>
      </c>
      <c r="AE41" s="383">
        <f t="shared" si="47"/>
        <v>6.4191524630010793E-2</v>
      </c>
      <c r="AF41" s="383">
        <f t="shared" ca="1" si="47"/>
        <v>0.18469195562229193</v>
      </c>
      <c r="AG41" s="383">
        <f t="shared" ca="1" si="47"/>
        <v>0.19587224495588867</v>
      </c>
      <c r="AH41" s="383">
        <f t="shared" ref="AH41" ca="1" si="48">AH$39/AH44</f>
        <v>0.2160483745341272</v>
      </c>
    </row>
    <row r="42" spans="3:34" ht="10.5" customHeight="1">
      <c r="C42" s="281" t="s">
        <v>330</v>
      </c>
      <c r="E42" s="383">
        <f t="shared" ref="E42:P42" si="49">E$39/E45</f>
        <v>2.0158089982409554E-2</v>
      </c>
      <c r="F42" s="383">
        <f t="shared" si="49"/>
        <v>2.9573102747701939E-2</v>
      </c>
      <c r="G42" s="383">
        <f t="shared" si="49"/>
        <v>-5.1524845571275769E-2</v>
      </c>
      <c r="H42" s="383">
        <f t="shared" si="49"/>
        <v>-4.9588823318878324E-2</v>
      </c>
      <c r="I42" s="383">
        <f t="shared" si="49"/>
        <v>-5.3167891738068775E-2</v>
      </c>
      <c r="J42" s="383">
        <f t="shared" si="49"/>
        <v>-9.6015964942960275E-2</v>
      </c>
      <c r="K42" s="383">
        <f t="shared" si="49"/>
        <v>-4.0112578091356384E-2</v>
      </c>
      <c r="L42" s="383">
        <f t="shared" si="49"/>
        <v>-1.6134356196634718E-2</v>
      </c>
      <c r="M42" s="383">
        <f t="shared" si="49"/>
        <v>-3.0507535143296703E-2</v>
      </c>
      <c r="N42" s="383">
        <f t="shared" si="49"/>
        <v>-2.314166966527877E-2</v>
      </c>
      <c r="O42" s="383">
        <f t="shared" si="49"/>
        <v>2.826117792858367E-2</v>
      </c>
      <c r="P42" s="383">
        <f t="shared" si="49"/>
        <v>5.7151792928069713E-3</v>
      </c>
      <c r="Q42" s="383">
        <f t="shared" si="44"/>
        <v>3.9430037722444952E-2</v>
      </c>
      <c r="R42" s="383">
        <f>R$39/R45</f>
        <v>4.8131714927470712E-3</v>
      </c>
      <c r="S42" s="383">
        <f>S$39/S45</f>
        <v>-2.080206195550533E-3</v>
      </c>
      <c r="T42" s="383">
        <f t="shared" si="44"/>
        <v>2.1609768491753435E-2</v>
      </c>
      <c r="U42" s="383">
        <f t="shared" ref="U42" si="50">U$39/U45</f>
        <v>7.3796872041921773E-3</v>
      </c>
      <c r="V42" s="383">
        <f t="shared" ref="V42:X42" ca="1" si="51">V$39/V45</f>
        <v>6.2573274367917833E-2</v>
      </c>
      <c r="W42" s="383">
        <f t="shared" ca="1" si="51"/>
        <v>2.7743409760738431E-2</v>
      </c>
      <c r="X42" s="383">
        <f t="shared" ca="1" si="51"/>
        <v>8.510440134346553E-2</v>
      </c>
      <c r="Y42" s="283"/>
      <c r="Z42" s="383">
        <f t="shared" si="47"/>
        <v>0.15672630881378391</v>
      </c>
      <c r="AA42" s="383">
        <f t="shared" si="47"/>
        <v>-7.3156615348998658E-2</v>
      </c>
      <c r="AB42" s="383">
        <f t="shared" si="47"/>
        <v>-5.6422346703511816E-2</v>
      </c>
      <c r="AC42" s="383">
        <f t="shared" si="47"/>
        <v>-0.19906264043491551</v>
      </c>
      <c r="AD42" s="383">
        <f t="shared" si="47"/>
        <v>-1.8439365112460755E-2</v>
      </c>
      <c r="AE42" s="383">
        <f t="shared" si="47"/>
        <v>6.3599406407994941E-2</v>
      </c>
      <c r="AF42" s="383">
        <f t="shared" ca="1" si="47"/>
        <v>0.18280077267631381</v>
      </c>
      <c r="AG42" s="383">
        <f t="shared" ca="1" si="47"/>
        <v>0.19386657964143081</v>
      </c>
      <c r="AH42" s="383">
        <f t="shared" ref="AH42" ca="1" si="52">AH$39/AH45</f>
        <v>0.21383611250003612</v>
      </c>
    </row>
    <row r="43" spans="3:34" ht="10.5" customHeight="1">
      <c r="Y43" s="283"/>
    </row>
    <row r="44" spans="3:34" s="399" customFormat="1" ht="10.5" customHeight="1">
      <c r="C44" s="399" t="s">
        <v>331</v>
      </c>
      <c r="E44" s="384">
        <v>399.322</v>
      </c>
      <c r="F44" s="384">
        <v>400.61900000000003</v>
      </c>
      <c r="G44" s="384">
        <v>452.63600000000002</v>
      </c>
      <c r="H44" s="384">
        <v>480.572</v>
      </c>
      <c r="I44" s="384">
        <v>482.82900000000001</v>
      </c>
      <c r="J44" s="384">
        <v>486.065</v>
      </c>
      <c r="K44" s="384">
        <v>489.971</v>
      </c>
      <c r="L44" s="384">
        <v>502.90199999999999</v>
      </c>
      <c r="M44" s="384">
        <v>523.21500000000003</v>
      </c>
      <c r="N44" s="384">
        <v>525.24300000000005</v>
      </c>
      <c r="O44" s="384">
        <v>529.83799999999997</v>
      </c>
      <c r="P44" s="384">
        <v>530.99800000000005</v>
      </c>
      <c r="Q44" s="384">
        <v>534.101</v>
      </c>
      <c r="R44" s="384">
        <v>535.53099999999995</v>
      </c>
      <c r="S44" s="384">
        <v>536.96600000000001</v>
      </c>
      <c r="T44" s="384">
        <v>538.12400000000002</v>
      </c>
      <c r="U44" s="384">
        <v>538.49</v>
      </c>
      <c r="V44" s="391">
        <f t="shared" ref="V44:V45" si="53">U44</f>
        <v>538.49</v>
      </c>
      <c r="W44" s="391">
        <f t="shared" ref="W44:W45" si="54">V44</f>
        <v>538.49</v>
      </c>
      <c r="X44" s="391">
        <f t="shared" ref="X44:X45" si="55">W44</f>
        <v>538.49</v>
      </c>
      <c r="Y44" s="283"/>
      <c r="Z44" s="384">
        <v>386.416</v>
      </c>
      <c r="AA44" s="384">
        <v>397.39400000000001</v>
      </c>
      <c r="AB44" s="399">
        <f>SUMIF($E$6:$X$6,AB$6,$E44:$X44)</f>
        <v>480.572</v>
      </c>
      <c r="AC44" s="399">
        <f t="shared" ref="AC44:AF45" si="56">SUMIF($E$6:$X$6,AC$6,$E44:$X44)</f>
        <v>502.90199999999999</v>
      </c>
      <c r="AD44" s="399">
        <f t="shared" si="56"/>
        <v>530.99800000000005</v>
      </c>
      <c r="AE44" s="399">
        <f t="shared" si="56"/>
        <v>538.12400000000002</v>
      </c>
      <c r="AF44" s="399">
        <f t="shared" si="56"/>
        <v>538.49</v>
      </c>
      <c r="AG44" s="391">
        <f t="shared" ref="AG44:AH45" si="57">AF44</f>
        <v>538.49</v>
      </c>
      <c r="AH44" s="391">
        <f t="shared" si="57"/>
        <v>538.49</v>
      </c>
    </row>
    <row r="45" spans="3:34" s="399" customFormat="1" ht="10.5" customHeight="1">
      <c r="C45" s="399" t="s">
        <v>332</v>
      </c>
      <c r="E45" s="384">
        <v>401.923</v>
      </c>
      <c r="F45" s="384">
        <v>403.61</v>
      </c>
      <c r="G45" s="384">
        <v>452.63600000000002</v>
      </c>
      <c r="H45" s="384">
        <v>480.572</v>
      </c>
      <c r="I45" s="384">
        <v>482.82900000000001</v>
      </c>
      <c r="J45" s="384">
        <v>486.065</v>
      </c>
      <c r="K45" s="384">
        <v>489.971</v>
      </c>
      <c r="L45" s="384">
        <v>502.90199999999999</v>
      </c>
      <c r="M45" s="384">
        <v>523.21500000000003</v>
      </c>
      <c r="N45" s="384">
        <v>525.24300000000005</v>
      </c>
      <c r="O45" s="384">
        <v>535.78800000000001</v>
      </c>
      <c r="P45" s="384">
        <v>537.16600000000005</v>
      </c>
      <c r="Q45" s="384">
        <v>540.52700000000004</v>
      </c>
      <c r="R45" s="384">
        <v>542.26199999999994</v>
      </c>
      <c r="S45" s="384">
        <v>536.96600000000001</v>
      </c>
      <c r="T45" s="384">
        <v>543.13400000000001</v>
      </c>
      <c r="U45" s="384">
        <v>544.06100000000004</v>
      </c>
      <c r="V45" s="391">
        <f t="shared" si="53"/>
        <v>544.06100000000004</v>
      </c>
      <c r="W45" s="391">
        <f t="shared" si="54"/>
        <v>544.06100000000004</v>
      </c>
      <c r="X45" s="391">
        <f t="shared" si="55"/>
        <v>544.06100000000004</v>
      </c>
      <c r="Y45" s="283"/>
      <c r="Z45" s="384">
        <v>389.322</v>
      </c>
      <c r="AA45" s="384">
        <v>397.39400000000001</v>
      </c>
      <c r="AB45" s="399">
        <f>SUMIF($E$6:$X$6,AB$6,$E45:$X45)</f>
        <v>480.572</v>
      </c>
      <c r="AC45" s="399">
        <f t="shared" si="56"/>
        <v>502.90199999999999</v>
      </c>
      <c r="AD45" s="399">
        <f t="shared" si="56"/>
        <v>537.16600000000005</v>
      </c>
      <c r="AE45" s="399">
        <f t="shared" si="56"/>
        <v>543.13400000000001</v>
      </c>
      <c r="AF45" s="399">
        <f t="shared" si="56"/>
        <v>544.06100000000004</v>
      </c>
      <c r="AG45" s="391">
        <f t="shared" si="57"/>
        <v>544.06100000000004</v>
      </c>
      <c r="AH45" s="391">
        <f t="shared" si="57"/>
        <v>544.06100000000004</v>
      </c>
    </row>
    <row r="46" spans="3:34" ht="10.5" customHeight="1">
      <c r="Y46" s="283"/>
    </row>
    <row r="47" spans="3:34" ht="10.5" customHeight="1">
      <c r="C47" s="281" t="s">
        <v>328</v>
      </c>
      <c r="E47" s="417">
        <f t="shared" ref="E47:T47" si="58">-E222/E44</f>
        <v>2.499236205368099E-3</v>
      </c>
      <c r="F47" s="417">
        <f t="shared" si="58"/>
        <v>2.501129502095507E-3</v>
      </c>
      <c r="G47" s="417">
        <f t="shared" si="58"/>
        <v>2.6356719306462589E-3</v>
      </c>
      <c r="H47" s="417">
        <f t="shared" si="58"/>
        <v>2.4970243792813559E-3</v>
      </c>
      <c r="I47" s="417">
        <f t="shared" si="58"/>
        <v>2.5039920965807773E-3</v>
      </c>
      <c r="J47" s="417">
        <f t="shared" si="58"/>
        <v>2.512009710635409E-3</v>
      </c>
      <c r="K47" s="417">
        <f t="shared" si="58"/>
        <v>2.500147967940959E-3</v>
      </c>
      <c r="L47" s="417">
        <f t="shared" si="58"/>
        <v>2.5034698609271784E-3</v>
      </c>
      <c r="M47" s="417">
        <f t="shared" si="58"/>
        <v>2.4922832869852737E-3</v>
      </c>
      <c r="N47" s="417">
        <f t="shared" si="58"/>
        <v>2.5093147362268507E-3</v>
      </c>
      <c r="O47" s="417">
        <f t="shared" si="58"/>
        <v>2.5083138619729052E-3</v>
      </c>
      <c r="P47" s="417">
        <f t="shared" si="58"/>
        <v>8.755211884037226E-3</v>
      </c>
      <c r="Q47" s="417">
        <f t="shared" si="58"/>
        <v>8.7773660787004697E-3</v>
      </c>
      <c r="R47" s="417">
        <f t="shared" si="58"/>
        <v>1.1254250454222072E-2</v>
      </c>
      <c r="S47" s="417">
        <f t="shared" si="58"/>
        <v>1.1248384441473015E-2</v>
      </c>
      <c r="T47" s="417">
        <f t="shared" si="58"/>
        <v>7.2789914592175809E-3</v>
      </c>
      <c r="U47" s="417">
        <f t="shared" ref="U47" si="59">-U222/U44</f>
        <v>6.5163698490222658E-3</v>
      </c>
      <c r="V47" s="418">
        <f t="shared" ref="V47:X47" si="60">U47</f>
        <v>6.5163698490222658E-3</v>
      </c>
      <c r="W47" s="418">
        <f t="shared" si="60"/>
        <v>6.5163698490222658E-3</v>
      </c>
      <c r="X47" s="418">
        <f t="shared" si="60"/>
        <v>6.5163698490222658E-3</v>
      </c>
      <c r="Y47" s="283"/>
      <c r="Z47" s="417">
        <f>-Z222/Z44</f>
        <v>1.0007349592149394E-2</v>
      </c>
      <c r="AA47" s="417">
        <f>-AA222/AA44</f>
        <v>1.0005183772276381E-2</v>
      </c>
      <c r="AB47" s="431">
        <f t="shared" ref="AB47:AF47" si="61">SUMIF($E$5:$X$5,AB$5,$E47:$X47)</f>
        <v>1.0133062017391222E-2</v>
      </c>
      <c r="AC47" s="431">
        <f t="shared" si="61"/>
        <v>1.0019619636084323E-2</v>
      </c>
      <c r="AD47" s="431">
        <f t="shared" si="61"/>
        <v>1.6265123769222255E-2</v>
      </c>
      <c r="AE47" s="431">
        <f t="shared" si="61"/>
        <v>3.8558992433613132E-2</v>
      </c>
      <c r="AF47" s="431">
        <f t="shared" si="61"/>
        <v>2.6065479396089063E-2</v>
      </c>
      <c r="AG47" s="418">
        <f>AF47</f>
        <v>2.6065479396089063E-2</v>
      </c>
      <c r="AH47" s="418">
        <f>AG47</f>
        <v>2.6065479396089063E-2</v>
      </c>
    </row>
    <row r="48" spans="3:34" ht="10.5" customHeight="1">
      <c r="E48" s="417"/>
      <c r="F48" s="417"/>
      <c r="G48" s="417"/>
      <c r="H48" s="417"/>
      <c r="I48" s="417"/>
      <c r="J48" s="417"/>
      <c r="K48" s="417"/>
      <c r="L48" s="417"/>
      <c r="M48" s="417"/>
      <c r="N48" s="417"/>
      <c r="O48" s="417"/>
      <c r="P48" s="417"/>
      <c r="Q48" s="417"/>
      <c r="R48" s="417"/>
      <c r="S48" s="417"/>
      <c r="T48" s="417"/>
      <c r="U48" s="417"/>
      <c r="V48" s="417"/>
      <c r="W48" s="417"/>
      <c r="X48" s="417"/>
      <c r="Y48" s="283"/>
      <c r="Z48" s="417"/>
      <c r="AA48" s="417"/>
      <c r="AB48" s="431"/>
      <c r="AC48" s="431"/>
      <c r="AD48" s="431"/>
      <c r="AE48" s="431"/>
      <c r="AF48" s="431"/>
      <c r="AG48" s="431"/>
      <c r="AH48" s="431"/>
    </row>
    <row r="49" spans="2:48" s="283" customFormat="1" ht="10.5" customHeight="1">
      <c r="B49" s="286" t="s">
        <v>137</v>
      </c>
      <c r="C49" s="287" t="s">
        <v>404</v>
      </c>
      <c r="D49" s="287"/>
      <c r="E49" s="286"/>
      <c r="F49" s="286"/>
      <c r="G49" s="286"/>
      <c r="H49" s="286"/>
      <c r="I49" s="286"/>
      <c r="J49" s="286"/>
      <c r="K49" s="286"/>
      <c r="L49" s="286"/>
      <c r="M49" s="286"/>
      <c r="N49" s="286"/>
      <c r="O49" s="286"/>
      <c r="P49" s="286"/>
      <c r="Q49" s="286"/>
      <c r="R49" s="286"/>
      <c r="S49" s="286"/>
      <c r="T49" s="286"/>
      <c r="U49" s="286"/>
      <c r="V49" s="286"/>
      <c r="W49" s="286"/>
      <c r="X49" s="286"/>
      <c r="Z49" s="286"/>
      <c r="AA49" s="286"/>
      <c r="AB49" s="286"/>
      <c r="AC49" s="286"/>
      <c r="AD49" s="286"/>
      <c r="AE49" s="286"/>
      <c r="AF49" s="286"/>
      <c r="AG49" s="286"/>
      <c r="AH49" s="286"/>
      <c r="AJ49" s="286"/>
      <c r="AK49" s="286"/>
      <c r="AL49" s="286"/>
      <c r="AM49" s="286"/>
      <c r="AN49" s="286"/>
      <c r="AO49" s="286"/>
      <c r="AP49" s="286"/>
      <c r="AQ49" s="286"/>
      <c r="AR49" s="286"/>
      <c r="AS49" s="286"/>
      <c r="AT49" s="286"/>
      <c r="AU49" s="286"/>
      <c r="AV49" s="286"/>
    </row>
    <row r="50" spans="2:48" ht="10.5" customHeight="1">
      <c r="E50" s="399"/>
      <c r="F50" s="399"/>
      <c r="G50" s="399"/>
      <c r="H50" s="399"/>
      <c r="I50" s="399"/>
      <c r="J50" s="399"/>
      <c r="K50" s="399"/>
      <c r="L50" s="399"/>
      <c r="M50" s="399"/>
      <c r="N50" s="399"/>
      <c r="O50" s="399"/>
      <c r="P50" s="399"/>
      <c r="Q50" s="399"/>
      <c r="U50" s="407"/>
      <c r="Y50" s="283"/>
    </row>
    <row r="51" spans="2:48" s="283" customFormat="1" ht="10.5" customHeight="1">
      <c r="C51" s="283" t="s">
        <v>325</v>
      </c>
      <c r="E51" s="282">
        <f t="shared" ref="E51:T51" si="62">E36</f>
        <v>8.2399999999999949</v>
      </c>
      <c r="F51" s="282">
        <f t="shared" si="62"/>
        <v>12.07399999999998</v>
      </c>
      <c r="G51" s="282">
        <f t="shared" si="62"/>
        <v>-23.18399999999998</v>
      </c>
      <c r="H51" s="282">
        <f t="shared" si="62"/>
        <v>-23.692999999999991</v>
      </c>
      <c r="I51" s="282">
        <f t="shared" si="62"/>
        <v>-25.533000000000008</v>
      </c>
      <c r="J51" s="282">
        <f t="shared" si="62"/>
        <v>-46.531999999999989</v>
      </c>
      <c r="K51" s="282">
        <f t="shared" si="62"/>
        <v>-19.515999999999977</v>
      </c>
      <c r="L51" s="282">
        <f t="shared" si="62"/>
        <v>-7.9759999999999911</v>
      </c>
      <c r="M51" s="282">
        <f t="shared" si="62"/>
        <v>-15.823999999999986</v>
      </c>
      <c r="N51" s="282">
        <f t="shared" si="62"/>
        <v>-12.017000000000017</v>
      </c>
      <c r="O51" s="282">
        <f t="shared" si="62"/>
        <v>15.279999999999987</v>
      </c>
      <c r="P51" s="282">
        <f t="shared" si="62"/>
        <v>3.2079999999999496</v>
      </c>
      <c r="Q51" s="282">
        <f t="shared" si="62"/>
        <v>21.451000000000008</v>
      </c>
      <c r="R51" s="282">
        <f>R36</f>
        <v>2.7480000000000118</v>
      </c>
      <c r="S51" s="282">
        <f>S36</f>
        <v>-0.97899999999998766</v>
      </c>
      <c r="T51" s="282">
        <f t="shared" si="62"/>
        <v>11.875000000000011</v>
      </c>
      <c r="U51" s="282">
        <f t="shared" ref="U51" si="63">U36</f>
        <v>4.1530000000000005</v>
      </c>
      <c r="V51" s="282">
        <f t="shared" ref="V51:X51" ca="1" si="64">V36</f>
        <v>34.181678225883743</v>
      </c>
      <c r="W51" s="282">
        <f t="shared" ca="1" si="64"/>
        <v>15.232107257837113</v>
      </c>
      <c r="X51" s="282">
        <f t="shared" ca="1" si="64"/>
        <v>46.439985699327202</v>
      </c>
      <c r="Z51" s="305">
        <v>69.546999999999997</v>
      </c>
      <c r="AA51" s="282">
        <f t="shared" ref="AA51:AG51" si="65">AA36</f>
        <v>-28.519999999999975</v>
      </c>
      <c r="AB51" s="282">
        <f t="shared" si="65"/>
        <v>-26.563000000000081</v>
      </c>
      <c r="AC51" s="282">
        <f t="shared" si="65"/>
        <v>-99.556999999999874</v>
      </c>
      <c r="AD51" s="282">
        <f t="shared" si="65"/>
        <v>-9.3530000000000957</v>
      </c>
      <c r="AE51" s="282">
        <f t="shared" si="65"/>
        <v>35.094999999999928</v>
      </c>
      <c r="AF51" s="282">
        <f t="shared" ca="1" si="65"/>
        <v>100.00677118304799</v>
      </c>
      <c r="AG51" s="282">
        <f t="shared" ca="1" si="65"/>
        <v>106.0272451862965</v>
      </c>
      <c r="AH51" s="282">
        <f t="shared" ref="AH51" ca="1" si="66">AH36</f>
        <v>116.89188920288217</v>
      </c>
      <c r="AO51" s="305"/>
    </row>
    <row r="52" spans="2:48" s="283" customFormat="1" ht="10.5" customHeight="1">
      <c r="C52" s="432" t="s">
        <v>406</v>
      </c>
      <c r="E52" s="282">
        <f t="shared" ref="E52:T52" si="67">E35</f>
        <v>0.76800000000000002</v>
      </c>
      <c r="F52" s="282">
        <f t="shared" si="67"/>
        <v>0.42699999999999999</v>
      </c>
      <c r="G52" s="282">
        <f t="shared" si="67"/>
        <v>-2.6789999999999998</v>
      </c>
      <c r="H52" s="282">
        <f t="shared" si="67"/>
        <v>-5.2169999999999996</v>
      </c>
      <c r="I52" s="282">
        <f t="shared" si="67"/>
        <v>-7.2160000000000002</v>
      </c>
      <c r="J52" s="282">
        <f t="shared" si="67"/>
        <v>-11.179</v>
      </c>
      <c r="K52" s="282">
        <f t="shared" si="67"/>
        <v>-1.6140000000000001</v>
      </c>
      <c r="L52" s="282">
        <f t="shared" si="67"/>
        <v>-4.0919999999999996</v>
      </c>
      <c r="M52" s="282">
        <f t="shared" si="67"/>
        <v>-0.40500000000000003</v>
      </c>
      <c r="N52" s="282">
        <f t="shared" si="67"/>
        <v>2.6459999999999999</v>
      </c>
      <c r="O52" s="282">
        <f t="shared" si="67"/>
        <v>5.181</v>
      </c>
      <c r="P52" s="282">
        <f t="shared" si="67"/>
        <v>0.77700000000000014</v>
      </c>
      <c r="Q52" s="282">
        <f t="shared" si="67"/>
        <v>4.7430000000000003</v>
      </c>
      <c r="R52" s="282">
        <f>R35</f>
        <v>-4.1340000000000003</v>
      </c>
      <c r="S52" s="282">
        <f>S35</f>
        <v>-4.5330000000000004</v>
      </c>
      <c r="T52" s="282">
        <f t="shared" si="67"/>
        <v>-25.645</v>
      </c>
      <c r="U52" s="282">
        <f t="shared" ref="U52" si="68">U35</f>
        <v>5.6310000000000002</v>
      </c>
      <c r="V52" s="282">
        <f t="shared" ref="V52:X52" ca="1" si="69">V35</f>
        <v>9.0862688954880859</v>
      </c>
      <c r="W52" s="282">
        <f t="shared" ca="1" si="69"/>
        <v>4.0490411698048039</v>
      </c>
      <c r="X52" s="282">
        <f t="shared" ca="1" si="69"/>
        <v>12.344806325137611</v>
      </c>
      <c r="Z52" s="305">
        <v>27.428000000000001</v>
      </c>
      <c r="AA52" s="282">
        <f t="shared" ref="AA52:AG52" si="70">AA35</f>
        <v>20.963000000000001</v>
      </c>
      <c r="AB52" s="282">
        <f t="shared" ref="AB52:AF67" si="71">SUMIF($E$5:$X$5,AB$5,$E52:$X52)</f>
        <v>-6.7009999999999996</v>
      </c>
      <c r="AC52" s="282">
        <f t="shared" si="71"/>
        <v>-24.100999999999999</v>
      </c>
      <c r="AD52" s="282">
        <f t="shared" si="71"/>
        <v>8.1989999999999998</v>
      </c>
      <c r="AE52" s="282">
        <f t="shared" si="71"/>
        <v>-29.568999999999999</v>
      </c>
      <c r="AF52" s="282">
        <f t="shared" ca="1" si="71"/>
        <v>31.111116390430503</v>
      </c>
      <c r="AG52" s="282">
        <f t="shared" ca="1" si="70"/>
        <v>28.184457581167422</v>
      </c>
      <c r="AH52" s="282">
        <f t="shared" ref="AH52" ca="1" si="72">AH35</f>
        <v>31.072527509626916</v>
      </c>
      <c r="AO52" s="305"/>
    </row>
    <row r="53" spans="2:48" s="283" customFormat="1" ht="10.5" customHeight="1">
      <c r="C53" s="432" t="s">
        <v>405</v>
      </c>
      <c r="E53" s="282">
        <f t="shared" ref="E53:T53" si="73">E32</f>
        <v>9.7940000000000005</v>
      </c>
      <c r="F53" s="282">
        <f t="shared" si="73"/>
        <v>10.079000000000001</v>
      </c>
      <c r="G53" s="282">
        <f t="shared" si="73"/>
        <v>10.146000000000001</v>
      </c>
      <c r="H53" s="282">
        <f t="shared" si="73"/>
        <v>10.925000000000001</v>
      </c>
      <c r="I53" s="282">
        <f t="shared" si="73"/>
        <v>10.664999999999999</v>
      </c>
      <c r="J53" s="282">
        <f t="shared" si="73"/>
        <v>11.335000000000001</v>
      </c>
      <c r="K53" s="282">
        <f t="shared" si="73"/>
        <v>11.776999999999999</v>
      </c>
      <c r="L53" s="282">
        <f t="shared" si="73"/>
        <v>14.67</v>
      </c>
      <c r="M53" s="282">
        <f t="shared" si="73"/>
        <v>16.311</v>
      </c>
      <c r="N53" s="282">
        <f t="shared" si="73"/>
        <v>11.829000000000001</v>
      </c>
      <c r="O53" s="282">
        <f t="shared" si="73"/>
        <v>10.779</v>
      </c>
      <c r="P53" s="282">
        <f t="shared" si="73"/>
        <v>10.65</v>
      </c>
      <c r="Q53" s="282">
        <f t="shared" si="73"/>
        <v>10.744</v>
      </c>
      <c r="R53" s="282">
        <f>R32</f>
        <v>10.271000000000001</v>
      </c>
      <c r="S53" s="282">
        <f>S32</f>
        <v>10.468999999999999</v>
      </c>
      <c r="T53" s="282">
        <f t="shared" si="73"/>
        <v>10.461</v>
      </c>
      <c r="U53" s="282">
        <f t="shared" ref="U53" si="74">U32</f>
        <v>10.406000000000001</v>
      </c>
      <c r="V53" s="282">
        <f t="shared" ref="V53:X53" ca="1" si="75">V32</f>
        <v>9.2381539374999999</v>
      </c>
      <c r="W53" s="282">
        <f t="shared" ca="1" si="75"/>
        <v>9.2381539374999999</v>
      </c>
      <c r="X53" s="282">
        <f t="shared" ca="1" si="75"/>
        <v>9.2381539374999999</v>
      </c>
      <c r="Z53" s="282">
        <f t="shared" ref="Z53:AG53" si="76">Z32</f>
        <v>21.795999999999999</v>
      </c>
      <c r="AA53" s="282">
        <f t="shared" si="76"/>
        <v>38.012</v>
      </c>
      <c r="AB53" s="282">
        <f t="shared" si="71"/>
        <v>40.944000000000003</v>
      </c>
      <c r="AC53" s="282">
        <f t="shared" si="71"/>
        <v>48.447000000000003</v>
      </c>
      <c r="AD53" s="282">
        <f t="shared" si="71"/>
        <v>49.568999999999996</v>
      </c>
      <c r="AE53" s="282">
        <f t="shared" si="71"/>
        <v>41.945</v>
      </c>
      <c r="AF53" s="282">
        <f t="shared" ca="1" si="71"/>
        <v>38.120461812500004</v>
      </c>
      <c r="AG53" s="282">
        <f t="shared" ca="1" si="76"/>
        <v>36.95261575</v>
      </c>
      <c r="AH53" s="282">
        <f t="shared" ref="AH53" ca="1" si="77">AH32</f>
        <v>36.95261575</v>
      </c>
      <c r="AO53" s="305"/>
    </row>
    <row r="54" spans="2:48" s="283" customFormat="1" ht="10.5" customHeight="1">
      <c r="C54" s="432" t="s">
        <v>416</v>
      </c>
      <c r="E54" s="282">
        <f t="shared" ref="E54:T54" si="78">(E30+E31)</f>
        <v>5.6000000000000001E-2</v>
      </c>
      <c r="F54" s="282">
        <f t="shared" si="78"/>
        <v>-0.108</v>
      </c>
      <c r="G54" s="282">
        <f t="shared" si="78"/>
        <v>0.38199999999999995</v>
      </c>
      <c r="H54" s="282">
        <f t="shared" si="78"/>
        <v>0.61099999999999999</v>
      </c>
      <c r="I54" s="282">
        <f t="shared" si="78"/>
        <v>1.1240000000000001</v>
      </c>
      <c r="J54" s="282">
        <f t="shared" si="78"/>
        <v>1.1870000000000001</v>
      </c>
      <c r="K54" s="282">
        <f t="shared" si="78"/>
        <v>0.16900000000000004</v>
      </c>
      <c r="L54" s="282">
        <f t="shared" si="78"/>
        <v>1.026</v>
      </c>
      <c r="M54" s="282">
        <f t="shared" si="78"/>
        <v>0.42299999999999999</v>
      </c>
      <c r="N54" s="282">
        <f t="shared" si="78"/>
        <v>0.64900000000000002</v>
      </c>
      <c r="O54" s="282">
        <f t="shared" si="78"/>
        <v>0.40600000000000003</v>
      </c>
      <c r="P54" s="282">
        <f t="shared" si="78"/>
        <v>0.67400000000000004</v>
      </c>
      <c r="Q54" s="282">
        <f t="shared" si="78"/>
        <v>-0.99699999999999989</v>
      </c>
      <c r="R54" s="282">
        <f>(R30+R31)</f>
        <v>0.27800000000000002</v>
      </c>
      <c r="S54" s="305">
        <f>-0.247+0.093</f>
        <v>-0.154</v>
      </c>
      <c r="T54" s="282">
        <f t="shared" si="78"/>
        <v>0.38200000000000001</v>
      </c>
      <c r="U54" s="282">
        <f t="shared" ref="U54" si="79">(U30+U31)</f>
        <v>-1.571</v>
      </c>
      <c r="V54" s="282">
        <f t="shared" ref="V54:X54" ca="1" si="80">(V30+V31)</f>
        <v>-1.8814770500360241</v>
      </c>
      <c r="W54" s="282">
        <f t="shared" ca="1" si="80"/>
        <v>-1.6243401847285774</v>
      </c>
      <c r="X54" s="282">
        <f t="shared" ca="1" si="80"/>
        <v>-1.8679064604348006</v>
      </c>
      <c r="Z54" s="282">
        <f t="shared" ref="Z54:AG54" si="81">(Z30+Z31)</f>
        <v>-0.50700000000000001</v>
      </c>
      <c r="AA54" s="282">
        <f t="shared" si="81"/>
        <v>-1.526</v>
      </c>
      <c r="AB54" s="282">
        <f t="shared" si="71"/>
        <v>0.94099999999999995</v>
      </c>
      <c r="AC54" s="282">
        <f t="shared" si="71"/>
        <v>3.5060000000000002</v>
      </c>
      <c r="AD54" s="282">
        <f t="shared" si="71"/>
        <v>2.1520000000000001</v>
      </c>
      <c r="AE54" s="282">
        <f t="shared" si="71"/>
        <v>-0.49099999999999988</v>
      </c>
      <c r="AF54" s="282">
        <f t="shared" ca="1" si="71"/>
        <v>-6.9447236951994018</v>
      </c>
      <c r="AG54" s="282">
        <f t="shared" ca="1" si="81"/>
        <v>4.3249866001046913</v>
      </c>
      <c r="AH54" s="282">
        <f t="shared" ref="AH54" ca="1" si="82">(AH30+AH31)</f>
        <v>4.6472726541967475</v>
      </c>
      <c r="AO54" s="305"/>
    </row>
    <row r="55" spans="2:48" s="283" customFormat="1" ht="10.5" customHeight="1">
      <c r="C55" s="432" t="s">
        <v>409</v>
      </c>
      <c r="E55" s="282">
        <f t="shared" ref="E55:Q55" si="83">E29</f>
        <v>-2.5920000000000001</v>
      </c>
      <c r="F55" s="282">
        <f t="shared" si="83"/>
        <v>-2.476</v>
      </c>
      <c r="G55" s="282">
        <f t="shared" si="83"/>
        <v>2.2120000000000002</v>
      </c>
      <c r="H55" s="282">
        <f t="shared" si="83"/>
        <v>-7.4539999999999997</v>
      </c>
      <c r="I55" s="282">
        <f t="shared" si="83"/>
        <v>3.133</v>
      </c>
      <c r="J55" s="282">
        <f t="shared" si="83"/>
        <v>4.3810000000000002</v>
      </c>
      <c r="K55" s="282">
        <f t="shared" si="83"/>
        <v>-0.77300000000000002</v>
      </c>
      <c r="L55" s="282">
        <f t="shared" si="83"/>
        <v>1.4950000000000001</v>
      </c>
      <c r="M55" s="282">
        <f t="shared" si="83"/>
        <v>-6.6360000000000001</v>
      </c>
      <c r="N55" s="282">
        <f t="shared" si="83"/>
        <v>3.2050000000000001</v>
      </c>
      <c r="O55" s="282">
        <f t="shared" si="83"/>
        <v>2.1960000000000002</v>
      </c>
      <c r="P55" s="282">
        <f t="shared" si="83"/>
        <v>5.84</v>
      </c>
      <c r="Q55" s="282">
        <f t="shared" si="83"/>
        <v>2.0640000000000001</v>
      </c>
      <c r="R55" s="282">
        <f>R29</f>
        <v>1.907</v>
      </c>
      <c r="S55" s="282">
        <f>S29</f>
        <v>-3.9950000000000001</v>
      </c>
      <c r="T55" s="282">
        <f>T29</f>
        <v>-0.39300000000000002</v>
      </c>
      <c r="U55" s="282">
        <f>U29</f>
        <v>2.0379999999999998</v>
      </c>
      <c r="V55" s="282">
        <f t="shared" ref="V55:X55" si="84">V29</f>
        <v>0</v>
      </c>
      <c r="W55" s="282">
        <f t="shared" si="84"/>
        <v>0</v>
      </c>
      <c r="X55" s="282">
        <f t="shared" si="84"/>
        <v>0</v>
      </c>
      <c r="Z55" s="305">
        <v>2.9260000000000002</v>
      </c>
      <c r="AA55" s="282">
        <f t="shared" ref="AA55:AG55" si="85">AA29</f>
        <v>9.68</v>
      </c>
      <c r="AB55" s="282">
        <f t="shared" si="71"/>
        <v>-10.309999999999999</v>
      </c>
      <c r="AC55" s="282">
        <f t="shared" si="71"/>
        <v>8.2360000000000007</v>
      </c>
      <c r="AD55" s="282">
        <f t="shared" si="71"/>
        <v>4.6050000000000004</v>
      </c>
      <c r="AE55" s="282">
        <f t="shared" si="71"/>
        <v>-0.41700000000000004</v>
      </c>
      <c r="AF55" s="282">
        <f t="shared" si="71"/>
        <v>2.0379999999999998</v>
      </c>
      <c r="AG55" s="282">
        <f t="shared" si="85"/>
        <v>0</v>
      </c>
      <c r="AH55" s="282">
        <f t="shared" ref="AH55" si="86">AH29</f>
        <v>0</v>
      </c>
      <c r="AO55" s="305"/>
    </row>
    <row r="56" spans="2:48" s="283" customFormat="1" ht="10.5" customHeight="1">
      <c r="C56" s="432" t="s">
        <v>415</v>
      </c>
      <c r="E56" s="282">
        <f t="shared" ref="E56:Q56" si="87">E28</f>
        <v>-0.31</v>
      </c>
      <c r="F56" s="282">
        <f t="shared" si="87"/>
        <v>0.56399999999999995</v>
      </c>
      <c r="G56" s="282">
        <f t="shared" si="87"/>
        <v>2.2069999999999999</v>
      </c>
      <c r="H56" s="282">
        <f t="shared" si="87"/>
        <v>0.35499999999999998</v>
      </c>
      <c r="I56" s="282">
        <f t="shared" si="87"/>
        <v>-9.6000000000000002E-2</v>
      </c>
      <c r="J56" s="282">
        <f t="shared" si="87"/>
        <v>1.129</v>
      </c>
      <c r="K56" s="282">
        <f t="shared" si="87"/>
        <v>0.126</v>
      </c>
      <c r="L56" s="282">
        <f t="shared" si="87"/>
        <v>1.23</v>
      </c>
      <c r="M56" s="282">
        <f t="shared" si="87"/>
        <v>0.97799999999999998</v>
      </c>
      <c r="N56" s="282">
        <f t="shared" si="87"/>
        <v>-6.4089999999999998</v>
      </c>
      <c r="O56" s="282">
        <f t="shared" si="87"/>
        <v>-3.9790000000000001</v>
      </c>
      <c r="P56" s="282">
        <f t="shared" si="87"/>
        <v>-0.85799999999999998</v>
      </c>
      <c r="Q56" s="282">
        <f t="shared" si="87"/>
        <v>3.5059999999999998</v>
      </c>
      <c r="R56" s="282">
        <f>R28</f>
        <v>0.75</v>
      </c>
      <c r="S56" s="282">
        <f>S28</f>
        <v>2.8610000000000002</v>
      </c>
      <c r="T56" s="282">
        <f>T28</f>
        <v>-2.8220000000000001</v>
      </c>
      <c r="U56" s="282">
        <f>U28</f>
        <v>-6.1</v>
      </c>
      <c r="V56" s="282">
        <f t="shared" ref="V56:X56" si="88">V28</f>
        <v>0</v>
      </c>
      <c r="W56" s="282">
        <f t="shared" si="88"/>
        <v>0</v>
      </c>
      <c r="X56" s="282">
        <f t="shared" si="88"/>
        <v>0</v>
      </c>
      <c r="Z56" s="282">
        <f t="shared" ref="Z56:AG56" si="89">Z28</f>
        <v>0.17699999999999999</v>
      </c>
      <c r="AA56" s="282">
        <f t="shared" si="89"/>
        <v>0.247</v>
      </c>
      <c r="AB56" s="282">
        <f t="shared" si="71"/>
        <v>2.8159999999999998</v>
      </c>
      <c r="AC56" s="282">
        <f t="shared" si="71"/>
        <v>2.3889999999999998</v>
      </c>
      <c r="AD56" s="282">
        <f t="shared" si="71"/>
        <v>-10.268000000000001</v>
      </c>
      <c r="AE56" s="282">
        <f t="shared" si="71"/>
        <v>4.2950000000000008</v>
      </c>
      <c r="AF56" s="282">
        <f t="shared" si="71"/>
        <v>-6.1</v>
      </c>
      <c r="AG56" s="282">
        <f t="shared" si="89"/>
        <v>0</v>
      </c>
      <c r="AH56" s="282">
        <f t="shared" ref="AH56" si="90">AH28</f>
        <v>0</v>
      </c>
      <c r="AO56" s="305"/>
    </row>
    <row r="57" spans="2:48" s="283" customFormat="1" ht="10.5" customHeight="1">
      <c r="C57" s="546" t="s">
        <v>529</v>
      </c>
      <c r="E57" s="282">
        <f t="shared" ref="E57:Q57" si="91">+E27</f>
        <v>-4.0069999999999997</v>
      </c>
      <c r="F57" s="282">
        <f t="shared" si="91"/>
        <v>-16.803999999999998</v>
      </c>
      <c r="G57" s="282">
        <f t="shared" si="91"/>
        <v>-19.46</v>
      </c>
      <c r="H57" s="282">
        <f t="shared" si="91"/>
        <v>1.7999999999999999E-2</v>
      </c>
      <c r="I57" s="282">
        <f t="shared" si="91"/>
        <v>1.7989999999999999</v>
      </c>
      <c r="J57" s="282">
        <f t="shared" si="91"/>
        <v>-3.798</v>
      </c>
      <c r="K57" s="282">
        <f t="shared" si="91"/>
        <v>4.718</v>
      </c>
      <c r="L57" s="282">
        <f t="shared" si="91"/>
        <v>1.252</v>
      </c>
      <c r="M57" s="282">
        <f t="shared" si="91"/>
        <v>-7.8929999999999998</v>
      </c>
      <c r="N57" s="282">
        <f t="shared" si="91"/>
        <v>14.002000000000001</v>
      </c>
      <c r="O57" s="282">
        <f t="shared" si="91"/>
        <v>6.6660000000000004</v>
      </c>
      <c r="P57" s="282">
        <f t="shared" si="91"/>
        <v>9.2989999999999995</v>
      </c>
      <c r="Q57" s="282">
        <f t="shared" si="91"/>
        <v>-0.47299999999999998</v>
      </c>
      <c r="R57" s="282">
        <f>+R27</f>
        <v>17.312999999999999</v>
      </c>
      <c r="S57" s="282">
        <f>+S27</f>
        <v>-12.148</v>
      </c>
      <c r="T57" s="282">
        <f>+T27</f>
        <v>27.962999999999997</v>
      </c>
      <c r="U57" s="282">
        <f>+U27</f>
        <v>0</v>
      </c>
      <c r="V57" s="282">
        <f t="shared" ref="V57:X57" si="92">+V27</f>
        <v>0</v>
      </c>
      <c r="W57" s="282">
        <f t="shared" si="92"/>
        <v>0</v>
      </c>
      <c r="X57" s="282">
        <f t="shared" si="92"/>
        <v>0</v>
      </c>
      <c r="Z57" s="282">
        <f>+Z27</f>
        <v>-4.423</v>
      </c>
      <c r="AA57" s="282">
        <f>+AA27</f>
        <v>21.25</v>
      </c>
      <c r="AB57" s="282">
        <f t="shared" si="71"/>
        <v>-40.253</v>
      </c>
      <c r="AC57" s="282">
        <f t="shared" si="71"/>
        <v>3.9710000000000001</v>
      </c>
      <c r="AD57" s="282">
        <f t="shared" si="71"/>
        <v>22.074000000000002</v>
      </c>
      <c r="AE57" s="282">
        <f t="shared" si="71"/>
        <v>32.655000000000001</v>
      </c>
      <c r="AF57" s="282">
        <f t="shared" si="71"/>
        <v>0</v>
      </c>
      <c r="AG57" s="282">
        <f>+AG27</f>
        <v>0</v>
      </c>
      <c r="AH57" s="282">
        <f>+AH27</f>
        <v>0</v>
      </c>
    </row>
    <row r="58" spans="2:48" s="283" customFormat="1" ht="10.5" customHeight="1">
      <c r="C58" s="432" t="s">
        <v>418</v>
      </c>
      <c r="E58" s="282">
        <f t="shared" ref="E58:Q58" si="93">E24</f>
        <v>0</v>
      </c>
      <c r="F58" s="282">
        <f t="shared" si="93"/>
        <v>0</v>
      </c>
      <c r="G58" s="282">
        <f t="shared" si="93"/>
        <v>0</v>
      </c>
      <c r="H58" s="282">
        <f t="shared" si="93"/>
        <v>0</v>
      </c>
      <c r="I58" s="282">
        <f t="shared" si="93"/>
        <v>0</v>
      </c>
      <c r="J58" s="282">
        <f t="shared" si="93"/>
        <v>0</v>
      </c>
      <c r="K58" s="282">
        <f t="shared" si="93"/>
        <v>0</v>
      </c>
      <c r="L58" s="282">
        <f t="shared" si="93"/>
        <v>0</v>
      </c>
      <c r="M58" s="282">
        <f t="shared" si="93"/>
        <v>0</v>
      </c>
      <c r="N58" s="282">
        <f t="shared" si="93"/>
        <v>1.97</v>
      </c>
      <c r="O58" s="282">
        <f t="shared" si="93"/>
        <v>0</v>
      </c>
      <c r="P58" s="282">
        <f t="shared" si="93"/>
        <v>0</v>
      </c>
      <c r="Q58" s="282">
        <f t="shared" si="93"/>
        <v>0</v>
      </c>
      <c r="R58" s="282">
        <f>R24</f>
        <v>0</v>
      </c>
      <c r="S58" s="282">
        <f>S24</f>
        <v>0</v>
      </c>
      <c r="T58" s="282">
        <f>T24</f>
        <v>0</v>
      </c>
      <c r="U58" s="282">
        <f>U24</f>
        <v>0</v>
      </c>
      <c r="V58" s="282">
        <f t="shared" ref="V58:X58" si="94">V24</f>
        <v>0</v>
      </c>
      <c r="W58" s="282">
        <f t="shared" si="94"/>
        <v>0</v>
      </c>
      <c r="X58" s="282">
        <f t="shared" si="94"/>
        <v>0</v>
      </c>
      <c r="Z58" s="282">
        <f t="shared" ref="Z58:AG58" si="95">Z24</f>
        <v>0</v>
      </c>
      <c r="AA58" s="282">
        <f t="shared" si="95"/>
        <v>0</v>
      </c>
      <c r="AB58" s="282">
        <f t="shared" si="71"/>
        <v>0</v>
      </c>
      <c r="AC58" s="282">
        <f t="shared" si="71"/>
        <v>0</v>
      </c>
      <c r="AD58" s="282">
        <f t="shared" si="71"/>
        <v>1.97</v>
      </c>
      <c r="AE58" s="282">
        <f t="shared" si="71"/>
        <v>0</v>
      </c>
      <c r="AF58" s="282">
        <f t="shared" si="71"/>
        <v>0</v>
      </c>
      <c r="AG58" s="282">
        <f t="shared" si="95"/>
        <v>0</v>
      </c>
      <c r="AH58" s="282">
        <f t="shared" ref="AH58" si="96">AH24</f>
        <v>0</v>
      </c>
      <c r="AO58" s="305"/>
    </row>
    <row r="59" spans="2:48" s="283" customFormat="1" ht="10.5" customHeight="1">
      <c r="C59" s="432" t="s">
        <v>407</v>
      </c>
      <c r="E59" s="282">
        <f t="shared" ref="E59:Q59" si="97">E23</f>
        <v>2.5070000000000001</v>
      </c>
      <c r="F59" s="282">
        <f t="shared" si="97"/>
        <v>1.01</v>
      </c>
      <c r="G59" s="282">
        <f t="shared" si="97"/>
        <v>6.1390000000000002</v>
      </c>
      <c r="H59" s="282">
        <f t="shared" si="97"/>
        <v>0.38900000000000001</v>
      </c>
      <c r="I59" s="282">
        <f t="shared" si="97"/>
        <v>1.2999999999999999E-2</v>
      </c>
      <c r="J59" s="282">
        <f t="shared" si="97"/>
        <v>0.39700000000000002</v>
      </c>
      <c r="K59" s="282">
        <f t="shared" si="97"/>
        <v>0.183</v>
      </c>
      <c r="L59" s="282">
        <f t="shared" si="97"/>
        <v>5.1999999999999998E-2</v>
      </c>
      <c r="M59" s="282">
        <f t="shared" si="97"/>
        <v>0</v>
      </c>
      <c r="N59" s="282">
        <f t="shared" si="97"/>
        <v>6.0000000000000001E-3</v>
      </c>
      <c r="O59" s="282">
        <f t="shared" si="97"/>
        <v>2E-3</v>
      </c>
      <c r="P59" s="282">
        <f t="shared" si="97"/>
        <v>7.0000000000000001E-3</v>
      </c>
      <c r="Q59" s="282">
        <f t="shared" si="97"/>
        <v>0</v>
      </c>
      <c r="R59" s="282">
        <f>R23</f>
        <v>0</v>
      </c>
      <c r="S59" s="282">
        <f>S23</f>
        <v>0</v>
      </c>
      <c r="T59" s="282">
        <f>T23</f>
        <v>0</v>
      </c>
      <c r="U59" s="282">
        <f>U23</f>
        <v>0</v>
      </c>
      <c r="V59" s="282">
        <f t="shared" ref="V59:X59" si="98">V23</f>
        <v>0</v>
      </c>
      <c r="W59" s="282">
        <f t="shared" si="98"/>
        <v>0</v>
      </c>
      <c r="X59" s="282">
        <f t="shared" si="98"/>
        <v>0</v>
      </c>
      <c r="Z59" s="282">
        <f t="shared" ref="Z59:AG59" si="99">Z23</f>
        <v>2.6949999999999998</v>
      </c>
      <c r="AA59" s="282">
        <f t="shared" si="99"/>
        <v>2.5000000000000001E-2</v>
      </c>
      <c r="AB59" s="282">
        <f t="shared" si="71"/>
        <v>10.045</v>
      </c>
      <c r="AC59" s="282">
        <f t="shared" si="71"/>
        <v>0.64500000000000002</v>
      </c>
      <c r="AD59" s="282">
        <f t="shared" si="71"/>
        <v>1.4999999999999999E-2</v>
      </c>
      <c r="AE59" s="282">
        <f t="shared" si="71"/>
        <v>0</v>
      </c>
      <c r="AF59" s="282">
        <f t="shared" si="71"/>
        <v>0</v>
      </c>
      <c r="AG59" s="282">
        <f t="shared" si="99"/>
        <v>0</v>
      </c>
      <c r="AH59" s="282">
        <f t="shared" ref="AH59" si="100">AH23</f>
        <v>0</v>
      </c>
      <c r="AO59" s="305"/>
    </row>
    <row r="60" spans="2:48" s="283" customFormat="1" ht="10.5" customHeight="1">
      <c r="C60" s="432" t="s">
        <v>410</v>
      </c>
      <c r="E60" s="282">
        <f t="shared" ref="E60:Q60" si="101">E22</f>
        <v>5.0170000000000003</v>
      </c>
      <c r="F60" s="282">
        <f t="shared" si="101"/>
        <v>6.8010000000000002</v>
      </c>
      <c r="G60" s="282">
        <f t="shared" si="101"/>
        <v>6.5190000000000001</v>
      </c>
      <c r="H60" s="282">
        <f t="shared" si="101"/>
        <v>2.3559999999999999</v>
      </c>
      <c r="I60" s="282">
        <f t="shared" si="101"/>
        <v>2.778</v>
      </c>
      <c r="J60" s="282">
        <f t="shared" si="101"/>
        <v>2.266</v>
      </c>
      <c r="K60" s="282">
        <f t="shared" si="101"/>
        <v>3.722</v>
      </c>
      <c r="L60" s="282">
        <f t="shared" si="101"/>
        <v>3.2850000000000001</v>
      </c>
      <c r="M60" s="282">
        <f t="shared" si="101"/>
        <v>12.996</v>
      </c>
      <c r="N60" s="282">
        <f t="shared" si="101"/>
        <v>9.5719999999999992</v>
      </c>
      <c r="O60" s="282">
        <f t="shared" si="101"/>
        <v>1.5409999999999999</v>
      </c>
      <c r="P60" s="282">
        <f t="shared" si="101"/>
        <v>0.80200000000000005</v>
      </c>
      <c r="Q60" s="282">
        <f t="shared" si="101"/>
        <v>4.3179999999999996</v>
      </c>
      <c r="R60" s="282">
        <f>R22</f>
        <v>5.7859999999999996</v>
      </c>
      <c r="S60" s="282">
        <f>S22</f>
        <v>6.91</v>
      </c>
      <c r="T60" s="282">
        <f>T22</f>
        <v>5.9980000000000002</v>
      </c>
      <c r="U60" s="282">
        <f>U22</f>
        <v>6.2050000000000001</v>
      </c>
      <c r="V60" s="282">
        <f t="shared" ref="V60:X60" si="102">V22</f>
        <v>0</v>
      </c>
      <c r="W60" s="282">
        <f t="shared" si="102"/>
        <v>0</v>
      </c>
      <c r="X60" s="282">
        <f t="shared" si="102"/>
        <v>0</v>
      </c>
      <c r="Z60" s="282">
        <f t="shared" ref="Z60:AG60" si="103">Z22</f>
        <v>0</v>
      </c>
      <c r="AA60" s="282">
        <f t="shared" si="103"/>
        <v>21.300999999999998</v>
      </c>
      <c r="AB60" s="282">
        <f t="shared" si="71"/>
        <v>20.693000000000005</v>
      </c>
      <c r="AC60" s="282">
        <f t="shared" si="71"/>
        <v>12.051</v>
      </c>
      <c r="AD60" s="282">
        <f t="shared" si="71"/>
        <v>24.910999999999998</v>
      </c>
      <c r="AE60" s="282">
        <f t="shared" si="71"/>
        <v>23.012</v>
      </c>
      <c r="AF60" s="282">
        <f t="shared" si="71"/>
        <v>6.2050000000000001</v>
      </c>
      <c r="AG60" s="282">
        <f t="shared" si="103"/>
        <v>0</v>
      </c>
      <c r="AH60" s="282">
        <f t="shared" ref="AH60" si="104">AH22</f>
        <v>0</v>
      </c>
      <c r="AO60" s="305"/>
    </row>
    <row r="61" spans="2:48" s="283" customFormat="1" ht="10.5" customHeight="1">
      <c r="C61" s="432" t="s">
        <v>412</v>
      </c>
      <c r="E61" s="282">
        <f t="shared" ref="E61:Q61" si="105">E21</f>
        <v>0</v>
      </c>
      <c r="F61" s="282">
        <f t="shared" si="105"/>
        <v>-3.5999999999999997E-2</v>
      </c>
      <c r="G61" s="282">
        <f t="shared" si="105"/>
        <v>-3.2080000000000002</v>
      </c>
      <c r="H61" s="282">
        <f t="shared" si="105"/>
        <v>0.58099999999999996</v>
      </c>
      <c r="I61" s="282">
        <f t="shared" si="105"/>
        <v>0</v>
      </c>
      <c r="J61" s="282">
        <f t="shared" si="105"/>
        <v>4.6420000000000003</v>
      </c>
      <c r="K61" s="282">
        <f t="shared" si="105"/>
        <v>2.4E-2</v>
      </c>
      <c r="L61" s="282">
        <f t="shared" si="105"/>
        <v>-2.3E-2</v>
      </c>
      <c r="M61" s="282">
        <f t="shared" si="105"/>
        <v>-0.104</v>
      </c>
      <c r="N61" s="282">
        <f t="shared" si="105"/>
        <v>0.67700000000000005</v>
      </c>
      <c r="O61" s="282">
        <f t="shared" si="105"/>
        <v>-1.4E-2</v>
      </c>
      <c r="P61" s="282">
        <f t="shared" si="105"/>
        <v>1.2999999999999999E-2</v>
      </c>
      <c r="Q61" s="282">
        <f t="shared" si="105"/>
        <v>8.9999999999999993E-3</v>
      </c>
      <c r="R61" s="282">
        <f>R21</f>
        <v>0</v>
      </c>
      <c r="S61" s="282">
        <f>S21</f>
        <v>0</v>
      </c>
      <c r="T61" s="282">
        <f>T21</f>
        <v>0.32600000000000001</v>
      </c>
      <c r="U61" s="282">
        <f>U21</f>
        <v>-8.0000000000000002E-3</v>
      </c>
      <c r="V61" s="282">
        <f t="shared" ref="V61:X61" si="106">V21</f>
        <v>0</v>
      </c>
      <c r="W61" s="282">
        <f t="shared" si="106"/>
        <v>0</v>
      </c>
      <c r="X61" s="282">
        <f t="shared" si="106"/>
        <v>0</v>
      </c>
      <c r="Z61" s="282">
        <f t="shared" ref="Z61:AG61" si="107">Z21</f>
        <v>-0.14699999999999999</v>
      </c>
      <c r="AA61" s="282">
        <f t="shared" si="107"/>
        <v>-6.0419999999999998</v>
      </c>
      <c r="AB61" s="282">
        <f t="shared" si="71"/>
        <v>-2.6630000000000003</v>
      </c>
      <c r="AC61" s="282">
        <f t="shared" si="71"/>
        <v>4.6430000000000007</v>
      </c>
      <c r="AD61" s="282">
        <f t="shared" si="71"/>
        <v>0.57200000000000006</v>
      </c>
      <c r="AE61" s="282">
        <f t="shared" si="71"/>
        <v>0.33500000000000002</v>
      </c>
      <c r="AF61" s="282">
        <f t="shared" si="71"/>
        <v>-8.0000000000000002E-3</v>
      </c>
      <c r="AG61" s="282">
        <f t="shared" si="107"/>
        <v>0</v>
      </c>
      <c r="AH61" s="282">
        <f t="shared" ref="AH61" si="108">AH21</f>
        <v>0</v>
      </c>
      <c r="AO61" s="305"/>
    </row>
    <row r="62" spans="2:48" s="283" customFormat="1" ht="10.5" customHeight="1">
      <c r="C62" s="546" t="s">
        <v>414</v>
      </c>
      <c r="E62" s="282">
        <f t="shared" ref="E62:AG62" si="109">+E20</f>
        <v>1.262</v>
      </c>
      <c r="F62" s="282">
        <f t="shared" si="109"/>
        <v>1.42</v>
      </c>
      <c r="G62" s="282">
        <f t="shared" si="109"/>
        <v>1.8520000000000001</v>
      </c>
      <c r="H62" s="282">
        <f t="shared" si="109"/>
        <v>1.585</v>
      </c>
      <c r="I62" s="282">
        <f t="shared" si="109"/>
        <v>0.56999999999999995</v>
      </c>
      <c r="J62" s="282">
        <f t="shared" si="109"/>
        <v>1.052</v>
      </c>
      <c r="K62" s="282">
        <f t="shared" si="109"/>
        <v>1.907</v>
      </c>
      <c r="L62" s="282">
        <f t="shared" si="109"/>
        <v>1.161</v>
      </c>
      <c r="M62" s="282">
        <f t="shared" si="109"/>
        <v>0.51600000000000001</v>
      </c>
      <c r="N62" s="282">
        <f t="shared" si="109"/>
        <v>1.0369999999999999</v>
      </c>
      <c r="O62" s="282">
        <f t="shared" si="109"/>
        <v>1.254</v>
      </c>
      <c r="P62" s="282">
        <f t="shared" si="109"/>
        <v>1.018</v>
      </c>
      <c r="Q62" s="282">
        <f t="shared" si="109"/>
        <v>3.7090000000000001</v>
      </c>
      <c r="R62" s="282">
        <f>+R20</f>
        <v>1.024</v>
      </c>
      <c r="S62" s="282">
        <f>+S20</f>
        <v>7.5640000000000001</v>
      </c>
      <c r="T62" s="282">
        <f>+T20</f>
        <v>2.274</v>
      </c>
      <c r="U62" s="282">
        <f>+U20</f>
        <v>0.90100000000000002</v>
      </c>
      <c r="V62" s="282">
        <f t="shared" ref="V62:X62" ca="1" si="110">+V20</f>
        <v>1.0790648135470771</v>
      </c>
      <c r="W62" s="282">
        <f t="shared" ca="1" si="110"/>
        <v>0.93159166546177496</v>
      </c>
      <c r="X62" s="282">
        <f t="shared" ca="1" si="110"/>
        <v>1.0712818083079285</v>
      </c>
      <c r="Z62" s="282">
        <f t="shared" si="109"/>
        <v>5.7210000000000001</v>
      </c>
      <c r="AA62" s="282">
        <f t="shared" si="109"/>
        <v>6.7009999999999996</v>
      </c>
      <c r="AB62" s="282">
        <f t="shared" si="71"/>
        <v>6.1189999999999998</v>
      </c>
      <c r="AC62" s="282">
        <f t="shared" si="71"/>
        <v>4.6899999999999995</v>
      </c>
      <c r="AD62" s="282">
        <f t="shared" si="71"/>
        <v>3.8250000000000002</v>
      </c>
      <c r="AE62" s="282">
        <f t="shared" si="71"/>
        <v>14.571000000000002</v>
      </c>
      <c r="AF62" s="282">
        <f t="shared" ca="1" si="71"/>
        <v>3.9829382873167805</v>
      </c>
      <c r="AG62" s="282">
        <f t="shared" ca="1" si="109"/>
        <v>4.1789102640703994</v>
      </c>
      <c r="AH62" s="282">
        <f t="shared" ref="AH62" ca="1" si="111">+AH20</f>
        <v>4.4903111131226119</v>
      </c>
    </row>
    <row r="63" spans="2:48" s="283" customFormat="1" ht="10.5" customHeight="1">
      <c r="C63" s="432" t="s">
        <v>408</v>
      </c>
      <c r="E63" s="282">
        <f t="shared" ref="E63:Q63" si="112">E12</f>
        <v>28.053999999999998</v>
      </c>
      <c r="F63" s="282">
        <f t="shared" si="112"/>
        <v>31.817</v>
      </c>
      <c r="G63" s="282">
        <f t="shared" si="112"/>
        <v>43.463999999999999</v>
      </c>
      <c r="H63" s="282">
        <f t="shared" si="112"/>
        <v>35.593000000000004</v>
      </c>
      <c r="I63" s="282">
        <f t="shared" si="112"/>
        <v>38.786999999999999</v>
      </c>
      <c r="J63" s="282">
        <f t="shared" si="112"/>
        <v>49.476999999999997</v>
      </c>
      <c r="K63" s="282">
        <f t="shared" si="112"/>
        <v>50.774000000000001</v>
      </c>
      <c r="L63" s="282">
        <f t="shared" si="112"/>
        <v>60.48</v>
      </c>
      <c r="M63" s="282">
        <f t="shared" si="112"/>
        <v>37.814999999999998</v>
      </c>
      <c r="N63" s="282">
        <f t="shared" si="112"/>
        <v>36.686999999999998</v>
      </c>
      <c r="O63" s="282">
        <f t="shared" si="112"/>
        <v>37.99</v>
      </c>
      <c r="P63" s="282">
        <f t="shared" si="112"/>
        <v>35.618000000000023</v>
      </c>
      <c r="Q63" s="282">
        <f t="shared" si="112"/>
        <v>46.762</v>
      </c>
      <c r="R63" s="282">
        <f>R12</f>
        <v>45.731999999999999</v>
      </c>
      <c r="S63" s="282">
        <f>S12</f>
        <v>45.79</v>
      </c>
      <c r="T63" s="282">
        <f>T12</f>
        <v>32.875</v>
      </c>
      <c r="U63" s="282">
        <f>U12</f>
        <v>35.298000000000002</v>
      </c>
      <c r="V63" s="282">
        <f t="shared" ref="V63:X63" si="113">V12</f>
        <v>41.561631624288779</v>
      </c>
      <c r="W63" s="282">
        <f t="shared" si="113"/>
        <v>38.245554163244876</v>
      </c>
      <c r="X63" s="282">
        <f t="shared" si="113"/>
        <v>30.19481421246633</v>
      </c>
      <c r="Z63" s="305">
        <v>116.126</v>
      </c>
      <c r="AA63" s="282">
        <f t="shared" ref="AA63:AG63" si="114">AA12</f>
        <v>120.599</v>
      </c>
      <c r="AB63" s="282">
        <f t="shared" si="71"/>
        <v>138.928</v>
      </c>
      <c r="AC63" s="282">
        <f t="shared" si="71"/>
        <v>199.518</v>
      </c>
      <c r="AD63" s="282">
        <f t="shared" si="71"/>
        <v>148.11000000000001</v>
      </c>
      <c r="AE63" s="282">
        <f t="shared" si="71"/>
        <v>171.15899999999999</v>
      </c>
      <c r="AF63" s="282">
        <f t="shared" si="71"/>
        <v>145.29999999999998</v>
      </c>
      <c r="AG63" s="282">
        <f t="shared" si="114"/>
        <v>150.30000000000001</v>
      </c>
      <c r="AH63" s="282">
        <f t="shared" ref="AH63" si="115">AH12</f>
        <v>162.30000000000001</v>
      </c>
      <c r="AO63" s="305"/>
    </row>
    <row r="64" spans="2:48" s="283" customFormat="1" ht="10.5" customHeight="1">
      <c r="C64" s="432" t="s">
        <v>413</v>
      </c>
      <c r="E64" s="282">
        <f t="shared" ref="E64:T64" si="116">+E190</f>
        <v>1.127</v>
      </c>
      <c r="F64" s="282">
        <f t="shared" si="116"/>
        <v>1.3139999999999998</v>
      </c>
      <c r="G64" s="282">
        <f t="shared" si="116"/>
        <v>2.2309999999999999</v>
      </c>
      <c r="H64" s="282">
        <f t="shared" si="116"/>
        <v>1.6059999999999999</v>
      </c>
      <c r="I64" s="282">
        <f t="shared" si="116"/>
        <v>1.58</v>
      </c>
      <c r="J64" s="282">
        <f t="shared" si="116"/>
        <v>1.972</v>
      </c>
      <c r="K64" s="282">
        <f t="shared" si="116"/>
        <v>1.206</v>
      </c>
      <c r="L64" s="282">
        <f t="shared" si="116"/>
        <v>0.91000000000000014</v>
      </c>
      <c r="M64" s="282">
        <f t="shared" si="116"/>
        <v>1.2190000000000001</v>
      </c>
      <c r="N64" s="282">
        <f t="shared" si="116"/>
        <v>1.2089999999999999</v>
      </c>
      <c r="O64" s="282">
        <f t="shared" si="116"/>
        <v>2.8010000000000002</v>
      </c>
      <c r="P64" s="282">
        <f t="shared" si="116"/>
        <v>1.2290000000000001</v>
      </c>
      <c r="Q64" s="282">
        <f t="shared" si="116"/>
        <v>0.5</v>
      </c>
      <c r="R64" s="282">
        <f t="shared" si="116"/>
        <v>2.802</v>
      </c>
      <c r="S64" s="282">
        <f t="shared" ref="S64" si="117">+S190</f>
        <v>1.472</v>
      </c>
      <c r="T64" s="282">
        <f t="shared" si="116"/>
        <v>1.3079999999999998</v>
      </c>
      <c r="U64" s="282">
        <f t="shared" ref="U64" si="118">+U190</f>
        <v>1.2709999999999999</v>
      </c>
      <c r="V64" s="282">
        <f t="shared" ref="V64:X64" ca="1" si="119">+V190</f>
        <v>1.116784176813076</v>
      </c>
      <c r="W64" s="282">
        <f t="shared" ca="1" si="119"/>
        <v>0.96415601563238373</v>
      </c>
      <c r="X64" s="282">
        <f t="shared" ca="1" si="119"/>
        <v>1.1087291119179818</v>
      </c>
      <c r="Z64" s="305">
        <v>5.9320000000000004</v>
      </c>
      <c r="AA64" s="305">
        <v>6.3310000000000004</v>
      </c>
      <c r="AB64" s="282">
        <f t="shared" si="71"/>
        <v>6.2779999999999996</v>
      </c>
      <c r="AC64" s="282">
        <f t="shared" si="71"/>
        <v>5.6680000000000001</v>
      </c>
      <c r="AD64" s="282">
        <f t="shared" si="71"/>
        <v>6.4580000000000002</v>
      </c>
      <c r="AE64" s="282">
        <f t="shared" si="71"/>
        <v>6.0819999999999999</v>
      </c>
      <c r="AF64" s="282">
        <f t="shared" ca="1" si="71"/>
        <v>4.4606693043634422</v>
      </c>
      <c r="AG64" s="282">
        <f ca="1">+AG190</f>
        <v>4.3249866001046913</v>
      </c>
      <c r="AH64" s="282">
        <f ca="1">+AH190</f>
        <v>4.6472726541967475</v>
      </c>
      <c r="AO64" s="305"/>
    </row>
    <row r="65" spans="1:41" s="283" customFormat="1" ht="10.5" customHeight="1">
      <c r="C65" s="432" t="s">
        <v>414</v>
      </c>
      <c r="E65" s="305">
        <f>1.323-E62</f>
        <v>6.0999999999999943E-2</v>
      </c>
      <c r="F65" s="305">
        <f>1.317-F62</f>
        <v>-0.10299999999999998</v>
      </c>
      <c r="G65" s="305">
        <f>1.317-G62</f>
        <v>-0.53500000000000014</v>
      </c>
      <c r="H65" s="305">
        <f>2.133-H62</f>
        <v>0.54800000000000004</v>
      </c>
      <c r="I65" s="305">
        <f>1.594-I62</f>
        <v>1.024</v>
      </c>
      <c r="J65" s="305">
        <f>1.615-J62</f>
        <v>0.56299999999999994</v>
      </c>
      <c r="K65" s="305">
        <f>2.089-K62</f>
        <v>0.18199999999999994</v>
      </c>
      <c r="L65" s="305">
        <f>1.616-L62</f>
        <v>0.45500000000000007</v>
      </c>
      <c r="M65" s="305">
        <f>1.548-M62</f>
        <v>1.032</v>
      </c>
      <c r="N65" s="305">
        <f>1.545-N62</f>
        <v>0.50800000000000001</v>
      </c>
      <c r="O65" s="305">
        <f>1.545-O62</f>
        <v>0.29099999999999993</v>
      </c>
      <c r="P65" s="305">
        <f>1.551-P62</f>
        <v>0.53299999999999992</v>
      </c>
      <c r="Q65" s="305">
        <f>4.529-Q62</f>
        <v>0.81999999999999984</v>
      </c>
      <c r="R65" s="305">
        <f>1.654-R62</f>
        <v>0.62999999999999989</v>
      </c>
      <c r="S65" s="305">
        <f>8.088-S62</f>
        <v>0.52399999999999913</v>
      </c>
      <c r="T65" s="305">
        <f>3.692-T62</f>
        <v>1.4180000000000001</v>
      </c>
      <c r="U65" s="305">
        <f>1.643-U62</f>
        <v>0.74199999999999999</v>
      </c>
      <c r="V65" s="317">
        <f ca="1">Segment!V25</f>
        <v>0.88864161115641627</v>
      </c>
      <c r="W65" s="317">
        <f ca="1">Segment!W25</f>
        <v>0.76719313626263819</v>
      </c>
      <c r="X65" s="317">
        <f ca="1">Segment!X25</f>
        <v>0.88223207743005871</v>
      </c>
      <c r="Z65" s="305">
        <f>4.813-Z62</f>
        <v>-0.90800000000000036</v>
      </c>
      <c r="AA65" s="305">
        <f>4.508-AA62</f>
        <v>-2.1929999999999996</v>
      </c>
      <c r="AB65" s="282">
        <f t="shared" si="71"/>
        <v>-2.9000000000000137E-2</v>
      </c>
      <c r="AC65" s="282">
        <f t="shared" si="71"/>
        <v>2.2240000000000002</v>
      </c>
      <c r="AD65" s="282">
        <f t="shared" si="71"/>
        <v>2.3639999999999999</v>
      </c>
      <c r="AE65" s="282">
        <f t="shared" si="71"/>
        <v>3.391999999999999</v>
      </c>
      <c r="AF65" s="282">
        <f t="shared" ca="1" si="71"/>
        <v>3.2800668248491132</v>
      </c>
      <c r="AG65" s="317">
        <f ca="1">Segment!AG25</f>
        <v>3.4414555115873879</v>
      </c>
      <c r="AH65" s="317">
        <f ca="1">Segment!AH25</f>
        <v>3.6979032696303862</v>
      </c>
      <c r="AO65" s="305"/>
    </row>
    <row r="66" spans="1:41" s="283" customFormat="1" ht="10.5" customHeight="1">
      <c r="C66" s="546" t="s">
        <v>529</v>
      </c>
      <c r="E66" s="305">
        <f>-6.654-E57</f>
        <v>-2.6470000000000002</v>
      </c>
      <c r="F66" s="305">
        <f>-16.804-F57</f>
        <v>0</v>
      </c>
      <c r="G66" s="305">
        <f>18.253-G57</f>
        <v>37.713000000000001</v>
      </c>
      <c r="H66" s="305">
        <f>0.018-H57</f>
        <v>0</v>
      </c>
      <c r="I66" s="305">
        <f>1.799-I57</f>
        <v>0</v>
      </c>
      <c r="J66" s="305">
        <f>-4.201-J57</f>
        <v>-0.40299999999999958</v>
      </c>
      <c r="K66" s="305">
        <f>11.925-K57</f>
        <v>7.2070000000000007</v>
      </c>
      <c r="L66" s="305">
        <f>-0.211-L57</f>
        <v>-1.4630000000000001</v>
      </c>
      <c r="M66" s="305">
        <f>-10.437-M57</f>
        <v>-2.5439999999999996</v>
      </c>
      <c r="N66" s="305">
        <f>12.594-N57</f>
        <v>-1.4080000000000013</v>
      </c>
      <c r="O66" s="305">
        <f>0.594-O57</f>
        <v>-6.0720000000000001</v>
      </c>
      <c r="P66" s="305">
        <f>1.095-P57</f>
        <v>-8.2039999999999988</v>
      </c>
      <c r="Q66" s="305">
        <f>-10.962-Q57</f>
        <v>-10.488999999999999</v>
      </c>
      <c r="R66" s="305">
        <f>13.078-R57</f>
        <v>-4.2349999999999994</v>
      </c>
      <c r="S66" s="305">
        <f>-16.053-S57</f>
        <v>-3.9050000000000011</v>
      </c>
      <c r="T66" s="305">
        <f>25.84-T57</f>
        <v>-2.1229999999999976</v>
      </c>
      <c r="U66" s="305">
        <f>0.201-U57</f>
        <v>0.20100000000000001</v>
      </c>
      <c r="V66" s="317">
        <f ca="1">Segment!V26</f>
        <v>0</v>
      </c>
      <c r="W66" s="317">
        <f ca="1">Segment!W26</f>
        <v>0</v>
      </c>
      <c r="X66" s="317">
        <f ca="1">Segment!X26</f>
        <v>0</v>
      </c>
      <c r="Z66" s="305">
        <f>-4.423-Z57</f>
        <v>0</v>
      </c>
      <c r="AA66" s="305">
        <f>18.063-AA57</f>
        <v>-3.1870000000000012</v>
      </c>
      <c r="AB66" s="282">
        <f t="shared" si="71"/>
        <v>35.066000000000003</v>
      </c>
      <c r="AC66" s="282">
        <f t="shared" si="71"/>
        <v>5.3410000000000011</v>
      </c>
      <c r="AD66" s="282">
        <f t="shared" si="71"/>
        <v>-18.228000000000002</v>
      </c>
      <c r="AE66" s="282">
        <f t="shared" si="71"/>
        <v>-20.751999999999995</v>
      </c>
      <c r="AF66" s="282">
        <f t="shared" ca="1" si="71"/>
        <v>0.20100000000000001</v>
      </c>
      <c r="AG66" s="305">
        <v>0</v>
      </c>
      <c r="AH66" s="305">
        <v>0</v>
      </c>
      <c r="AO66" s="305"/>
    </row>
    <row r="67" spans="1:41" s="283" customFormat="1" ht="10.5" customHeight="1">
      <c r="C67" s="432" t="s">
        <v>417</v>
      </c>
      <c r="E67" s="305">
        <v>0</v>
      </c>
      <c r="F67" s="305">
        <v>0</v>
      </c>
      <c r="G67" s="305">
        <v>0</v>
      </c>
      <c r="H67" s="305">
        <v>0</v>
      </c>
      <c r="I67" s="305">
        <v>0</v>
      </c>
      <c r="J67" s="305">
        <v>0</v>
      </c>
      <c r="K67" s="305">
        <v>10.912000000000001</v>
      </c>
      <c r="L67" s="305">
        <v>-10.912000000000001</v>
      </c>
      <c r="M67" s="305">
        <v>0</v>
      </c>
      <c r="N67" s="305">
        <v>0</v>
      </c>
      <c r="O67" s="305">
        <v>0</v>
      </c>
      <c r="P67" s="305">
        <v>0</v>
      </c>
      <c r="Q67" s="305">
        <v>0</v>
      </c>
      <c r="R67" s="305">
        <v>0</v>
      </c>
      <c r="S67" s="305">
        <v>0</v>
      </c>
      <c r="T67" s="317">
        <f ca="1">Segment!T27</f>
        <v>0</v>
      </c>
      <c r="U67" s="317">
        <f ca="1">Segment!U27</f>
        <v>0</v>
      </c>
      <c r="V67" s="317">
        <f ca="1">Segment!V27</f>
        <v>0</v>
      </c>
      <c r="W67" s="317">
        <f ca="1">Segment!W27</f>
        <v>0</v>
      </c>
      <c r="X67" s="317">
        <f ca="1">Segment!X27</f>
        <v>0</v>
      </c>
      <c r="Z67" s="305">
        <v>0</v>
      </c>
      <c r="AA67" s="305">
        <v>0</v>
      </c>
      <c r="AB67" s="282">
        <f t="shared" si="71"/>
        <v>0</v>
      </c>
      <c r="AC67" s="282">
        <f t="shared" si="71"/>
        <v>0</v>
      </c>
      <c r="AD67" s="282">
        <f t="shared" si="71"/>
        <v>0</v>
      </c>
      <c r="AE67" s="282">
        <f t="shared" ca="1" si="71"/>
        <v>0</v>
      </c>
      <c r="AF67" s="282">
        <f t="shared" ca="1" si="71"/>
        <v>0</v>
      </c>
      <c r="AG67" s="305">
        <v>0</v>
      </c>
      <c r="AH67" s="305">
        <v>0</v>
      </c>
      <c r="AO67" s="305"/>
    </row>
    <row r="68" spans="1:41" s="283" customFormat="1" ht="10.5" customHeight="1">
      <c r="C68" s="432" t="s">
        <v>411</v>
      </c>
      <c r="E68" s="305">
        <v>6.5000000000000002E-2</v>
      </c>
      <c r="F68" s="305">
        <v>2.5169999999999999</v>
      </c>
      <c r="G68" s="305">
        <v>0.64</v>
      </c>
      <c r="H68" s="305">
        <v>0.53100000000000003</v>
      </c>
      <c r="I68" s="305">
        <v>-0.52400000000000002</v>
      </c>
      <c r="J68" s="305">
        <v>1.2250000000000001</v>
      </c>
      <c r="K68" s="305">
        <v>-0.61899999999999999</v>
      </c>
      <c r="L68" s="305">
        <v>-0.85499999999999998</v>
      </c>
      <c r="M68" s="305">
        <v>-2.61</v>
      </c>
      <c r="N68" s="305">
        <v>-1.579</v>
      </c>
      <c r="O68" s="305">
        <v>4.3319999999999999</v>
      </c>
      <c r="P68" s="305">
        <v>-2.722</v>
      </c>
      <c r="Q68" s="305">
        <v>-0.55200000000000005</v>
      </c>
      <c r="R68" s="305">
        <v>-3.077</v>
      </c>
      <c r="S68" s="305">
        <v>-7.1999999999999995E-2</v>
      </c>
      <c r="T68" s="305">
        <v>-5.6479999999999997</v>
      </c>
      <c r="U68" s="305">
        <v>-0.96799999999999997</v>
      </c>
      <c r="V68" s="305">
        <v>0</v>
      </c>
      <c r="W68" s="305">
        <v>0</v>
      </c>
      <c r="X68" s="305">
        <v>0</v>
      </c>
      <c r="Z68" s="305">
        <v>0.91800000000000004</v>
      </c>
      <c r="AA68" s="305">
        <v>-0.74199999999999999</v>
      </c>
      <c r="AB68" s="282">
        <f t="shared" ref="AB68:AF68" si="120">SUMIF($E$5:$X$5,AB$5,$E68:$X68)</f>
        <v>3.7530000000000001</v>
      </c>
      <c r="AC68" s="282">
        <f t="shared" si="120"/>
        <v>-0.77299999999999991</v>
      </c>
      <c r="AD68" s="282">
        <f t="shared" si="120"/>
        <v>-2.5790000000000002</v>
      </c>
      <c r="AE68" s="282">
        <f t="shared" si="120"/>
        <v>-9.3490000000000002</v>
      </c>
      <c r="AF68" s="282">
        <f t="shared" si="120"/>
        <v>-0.96799999999999997</v>
      </c>
      <c r="AG68" s="305">
        <v>0</v>
      </c>
      <c r="AH68" s="305">
        <v>0</v>
      </c>
      <c r="AO68" s="305"/>
    </row>
    <row r="69" spans="1:41" s="283" customFormat="1" ht="10.5" customHeight="1">
      <c r="C69" s="316" t="s">
        <v>456</v>
      </c>
      <c r="E69" s="379">
        <f t="shared" ref="E69:T69" si="121">SUM(E51:E68)</f>
        <v>47.395000000000003</v>
      </c>
      <c r="F69" s="379">
        <f t="shared" si="121"/>
        <v>48.495999999999988</v>
      </c>
      <c r="G69" s="379">
        <f t="shared" si="121"/>
        <v>64.439000000000021</v>
      </c>
      <c r="H69" s="379">
        <f t="shared" si="121"/>
        <v>18.734000000000016</v>
      </c>
      <c r="I69" s="379">
        <f t="shared" si="121"/>
        <v>28.103999999999985</v>
      </c>
      <c r="J69" s="379">
        <f t="shared" si="121"/>
        <v>17.714000000000002</v>
      </c>
      <c r="K69" s="379">
        <f t="shared" si="121"/>
        <v>70.385000000000034</v>
      </c>
      <c r="L69" s="379">
        <f t="shared" si="121"/>
        <v>60.695000000000007</v>
      </c>
      <c r="M69" s="379">
        <f t="shared" si="121"/>
        <v>35.274000000000015</v>
      </c>
      <c r="N69" s="379">
        <f t="shared" si="121"/>
        <v>62.583999999999982</v>
      </c>
      <c r="O69" s="379">
        <f t="shared" si="121"/>
        <v>78.653999999999968</v>
      </c>
      <c r="P69" s="379">
        <f t="shared" si="121"/>
        <v>57.883999999999972</v>
      </c>
      <c r="Q69" s="379">
        <f t="shared" si="121"/>
        <v>86.114999999999995</v>
      </c>
      <c r="R69" s="768">
        <f t="shared" si="121"/>
        <v>77.795000000000016</v>
      </c>
      <c r="S69" s="768">
        <f t="shared" ref="S69" si="122">SUM(S51:S68)</f>
        <v>49.804000000000009</v>
      </c>
      <c r="T69" s="379">
        <f t="shared" ca="1" si="121"/>
        <v>58.249000000000009</v>
      </c>
      <c r="U69" s="379">
        <f t="shared" ref="U69" ca="1" si="123">SUM(U51:U68)</f>
        <v>58.198999999999998</v>
      </c>
      <c r="V69" s="379">
        <f t="shared" ref="V69:X69" ca="1" si="124">SUM(V51:V68)</f>
        <v>95.270746234641152</v>
      </c>
      <c r="W69" s="379">
        <f t="shared" ca="1" si="124"/>
        <v>67.803457161015004</v>
      </c>
      <c r="X69" s="379">
        <f t="shared" ca="1" si="124"/>
        <v>99.41209671165231</v>
      </c>
      <c r="Z69" s="379">
        <f t="shared" ref="Z69:AG69" si="125">SUM(Z51:Z68)</f>
        <v>247.28100000000001</v>
      </c>
      <c r="AA69" s="379">
        <f t="shared" si="125"/>
        <v>202.89899999999997</v>
      </c>
      <c r="AB69" s="379">
        <f t="shared" si="125"/>
        <v>179.06399999999991</v>
      </c>
      <c r="AC69" s="379">
        <f t="shared" si="125"/>
        <v>176.89800000000014</v>
      </c>
      <c r="AD69" s="379">
        <f t="shared" si="125"/>
        <v>234.3959999999999</v>
      </c>
      <c r="AE69" s="379">
        <f t="shared" ca="1" si="125"/>
        <v>271.96299999999991</v>
      </c>
      <c r="AF69" s="379">
        <f t="shared" ca="1" si="125"/>
        <v>320.68530010730842</v>
      </c>
      <c r="AG69" s="379">
        <f t="shared" ca="1" si="125"/>
        <v>337.7346574933311</v>
      </c>
      <c r="AH69" s="379">
        <f t="shared" ref="AH69" ca="1" si="126">SUM(AH51:AH68)</f>
        <v>364.69979215365561</v>
      </c>
      <c r="AO69" s="313"/>
    </row>
    <row r="70" spans="1:41" s="282" customFormat="1" ht="10.5" customHeight="1">
      <c r="A70" s="283"/>
      <c r="B70" s="283"/>
      <c r="R70" s="422"/>
      <c r="S70" s="422"/>
      <c r="T70" s="422"/>
      <c r="U70" s="422"/>
      <c r="Y70" s="283"/>
    </row>
    <row r="71" spans="1:41" s="282" customFormat="1" ht="10.5" customHeight="1">
      <c r="A71" s="283"/>
      <c r="B71" s="283"/>
      <c r="C71" s="282" t="s">
        <v>604</v>
      </c>
      <c r="D71" s="283"/>
      <c r="E71" s="282">
        <f t="shared" ref="E71:Q71" si="127">E39</f>
        <v>8.101999999999995</v>
      </c>
      <c r="F71" s="282">
        <f t="shared" si="127"/>
        <v>11.93599999999998</v>
      </c>
      <c r="G71" s="282">
        <f t="shared" si="127"/>
        <v>-23.321999999999981</v>
      </c>
      <c r="H71" s="282">
        <f t="shared" si="127"/>
        <v>-23.830999999999992</v>
      </c>
      <c r="I71" s="282">
        <f t="shared" si="127"/>
        <v>-25.67100000000001</v>
      </c>
      <c r="J71" s="282">
        <f t="shared" si="127"/>
        <v>-46.669999999999987</v>
      </c>
      <c r="K71" s="282">
        <f t="shared" si="127"/>
        <v>-19.653999999999979</v>
      </c>
      <c r="L71" s="282">
        <f t="shared" si="127"/>
        <v>-8.1139999999999919</v>
      </c>
      <c r="M71" s="282">
        <f t="shared" si="127"/>
        <v>-15.961999999999986</v>
      </c>
      <c r="N71" s="282">
        <f t="shared" si="127"/>
        <v>-12.155000000000017</v>
      </c>
      <c r="O71" s="282">
        <f t="shared" si="127"/>
        <v>15.141999999999987</v>
      </c>
      <c r="P71" s="282">
        <f t="shared" si="127"/>
        <v>3.0699999999999497</v>
      </c>
      <c r="Q71" s="282">
        <f t="shared" si="127"/>
        <v>21.313000000000006</v>
      </c>
      <c r="R71" s="282">
        <f>R39</f>
        <v>2.6100000000000119</v>
      </c>
      <c r="S71" s="282">
        <f t="shared" ref="S71:T71" si="128">S39</f>
        <v>-1.1169999999999876</v>
      </c>
      <c r="T71" s="282">
        <f t="shared" si="128"/>
        <v>11.737000000000011</v>
      </c>
      <c r="U71" s="282">
        <f t="shared" ref="U71:X71" si="129">U39</f>
        <v>4.0150000000000006</v>
      </c>
      <c r="V71" s="282">
        <f t="shared" ca="1" si="129"/>
        <v>34.043678225883745</v>
      </c>
      <c r="W71" s="282">
        <f t="shared" ca="1" si="129"/>
        <v>15.094107257837113</v>
      </c>
      <c r="X71" s="282">
        <f t="shared" ca="1" si="129"/>
        <v>46.301985699327204</v>
      </c>
      <c r="Y71" s="283"/>
      <c r="Z71" s="282">
        <f>Z39</f>
        <v>61.016999999999975</v>
      </c>
      <c r="AA71" s="282">
        <f>AA39</f>
        <v>-29.071999999999974</v>
      </c>
      <c r="AB71" s="282">
        <f>AB39</f>
        <v>-27.11500000000008</v>
      </c>
      <c r="AC71" s="282">
        <f>AC39</f>
        <v>-100.10899999999988</v>
      </c>
      <c r="AD71" s="282">
        <f>AD39</f>
        <v>-9.9050000000000953</v>
      </c>
      <c r="AE71" s="283">
        <f t="shared" ref="AE71:AE79" si="130">SUMIF($E$5:$T$5,AE$5,$E71:$T71)</f>
        <v>34.543000000000042</v>
      </c>
      <c r="AF71" s="282">
        <f ca="1">AF39</f>
        <v>99.454771183047981</v>
      </c>
      <c r="AG71" s="282">
        <f ca="1">AG39</f>
        <v>105.47524518629649</v>
      </c>
      <c r="AH71" s="282">
        <f ca="1">AH39</f>
        <v>116.33988920288216</v>
      </c>
    </row>
    <row r="72" spans="1:41" s="283" customFormat="1" ht="10.5" customHeight="1">
      <c r="C72" s="546" t="s">
        <v>409</v>
      </c>
      <c r="D72" s="282"/>
      <c r="E72" s="282">
        <f t="shared" ref="E72:R78" si="131">E55</f>
        <v>-2.5920000000000001</v>
      </c>
      <c r="F72" s="282">
        <f t="shared" si="131"/>
        <v>-2.476</v>
      </c>
      <c r="G72" s="282">
        <f t="shared" si="131"/>
        <v>2.2120000000000002</v>
      </c>
      <c r="H72" s="282">
        <f t="shared" si="131"/>
        <v>-7.4539999999999997</v>
      </c>
      <c r="I72" s="282">
        <f t="shared" si="131"/>
        <v>3.133</v>
      </c>
      <c r="J72" s="282">
        <f t="shared" si="131"/>
        <v>4.3810000000000002</v>
      </c>
      <c r="K72" s="282">
        <f t="shared" si="131"/>
        <v>-0.77300000000000002</v>
      </c>
      <c r="L72" s="282">
        <f t="shared" si="131"/>
        <v>1.4950000000000001</v>
      </c>
      <c r="M72" s="282">
        <f t="shared" si="131"/>
        <v>-6.6360000000000001</v>
      </c>
      <c r="N72" s="282">
        <f t="shared" si="131"/>
        <v>3.2050000000000001</v>
      </c>
      <c r="O72" s="282">
        <f t="shared" si="131"/>
        <v>2.1960000000000002</v>
      </c>
      <c r="P72" s="282">
        <f t="shared" si="131"/>
        <v>5.84</v>
      </c>
      <c r="Q72" s="282">
        <f t="shared" si="131"/>
        <v>2.0640000000000001</v>
      </c>
      <c r="R72" s="282">
        <f t="shared" si="131"/>
        <v>1.907</v>
      </c>
      <c r="S72" s="282">
        <f t="shared" ref="S72:T72" si="132">S55</f>
        <v>-3.9950000000000001</v>
      </c>
      <c r="T72" s="282">
        <f t="shared" si="132"/>
        <v>-0.39300000000000002</v>
      </c>
      <c r="U72" s="282">
        <f t="shared" ref="U72:X72" si="133">U55</f>
        <v>2.0379999999999998</v>
      </c>
      <c r="V72" s="282">
        <f t="shared" si="133"/>
        <v>0</v>
      </c>
      <c r="W72" s="282">
        <f t="shared" si="133"/>
        <v>0</v>
      </c>
      <c r="X72" s="282">
        <f t="shared" si="133"/>
        <v>0</v>
      </c>
      <c r="Z72" s="282">
        <f>Z55</f>
        <v>2.9260000000000002</v>
      </c>
      <c r="AA72" s="282">
        <f>AA55</f>
        <v>9.68</v>
      </c>
      <c r="AB72" s="282">
        <f>AB55</f>
        <v>-10.309999999999999</v>
      </c>
      <c r="AC72" s="282">
        <f>AC55</f>
        <v>8.2360000000000007</v>
      </c>
      <c r="AD72" s="282">
        <f>AD55</f>
        <v>4.6050000000000004</v>
      </c>
      <c r="AE72" s="283">
        <f t="shared" si="130"/>
        <v>-0.41700000000000004</v>
      </c>
      <c r="AF72" s="282">
        <f t="shared" ref="AF72:AG78" si="134">AF55</f>
        <v>2.0379999999999998</v>
      </c>
      <c r="AG72" s="282">
        <f t="shared" si="134"/>
        <v>0</v>
      </c>
      <c r="AH72" s="282">
        <f t="shared" ref="AH72" si="135">AH55</f>
        <v>0</v>
      </c>
    </row>
    <row r="73" spans="1:41" s="283" customFormat="1" ht="10.5" customHeight="1">
      <c r="C73" s="546" t="s">
        <v>415</v>
      </c>
      <c r="D73" s="282"/>
      <c r="E73" s="282">
        <f t="shared" ref="E73:Q73" si="136">E56</f>
        <v>-0.31</v>
      </c>
      <c r="F73" s="282">
        <f t="shared" si="136"/>
        <v>0.56399999999999995</v>
      </c>
      <c r="G73" s="282">
        <f t="shared" si="136"/>
        <v>2.2069999999999999</v>
      </c>
      <c r="H73" s="282">
        <f t="shared" si="136"/>
        <v>0.35499999999999998</v>
      </c>
      <c r="I73" s="282">
        <f t="shared" si="136"/>
        <v>-9.6000000000000002E-2</v>
      </c>
      <c r="J73" s="282">
        <f t="shared" si="136"/>
        <v>1.129</v>
      </c>
      <c r="K73" s="282">
        <f t="shared" si="136"/>
        <v>0.126</v>
      </c>
      <c r="L73" s="282">
        <f t="shared" si="136"/>
        <v>1.23</v>
      </c>
      <c r="M73" s="282">
        <f t="shared" si="136"/>
        <v>0.97799999999999998</v>
      </c>
      <c r="N73" s="282">
        <f t="shared" si="136"/>
        <v>-6.4089999999999998</v>
      </c>
      <c r="O73" s="282">
        <f t="shared" si="136"/>
        <v>-3.9790000000000001</v>
      </c>
      <c r="P73" s="282">
        <f t="shared" si="136"/>
        <v>-0.85799999999999998</v>
      </c>
      <c r="Q73" s="282">
        <f t="shared" si="136"/>
        <v>3.5059999999999998</v>
      </c>
      <c r="R73" s="282">
        <f t="shared" si="131"/>
        <v>0.75</v>
      </c>
      <c r="S73" s="282">
        <f t="shared" ref="S73:T73" si="137">S56</f>
        <v>2.8610000000000002</v>
      </c>
      <c r="T73" s="282">
        <f t="shared" si="137"/>
        <v>-2.8220000000000001</v>
      </c>
      <c r="U73" s="282">
        <f t="shared" ref="U73:X73" si="138">U56</f>
        <v>-6.1</v>
      </c>
      <c r="V73" s="282">
        <f t="shared" si="138"/>
        <v>0</v>
      </c>
      <c r="W73" s="282">
        <f t="shared" si="138"/>
        <v>0</v>
      </c>
      <c r="X73" s="282">
        <f t="shared" si="138"/>
        <v>0</v>
      </c>
      <c r="Z73" s="282">
        <v>0</v>
      </c>
      <c r="AA73" s="282">
        <f t="shared" ref="AA73:AD78" si="139">AA56</f>
        <v>0.247</v>
      </c>
      <c r="AB73" s="282">
        <f t="shared" si="139"/>
        <v>2.8159999999999998</v>
      </c>
      <c r="AC73" s="282">
        <f t="shared" si="139"/>
        <v>2.3889999999999998</v>
      </c>
      <c r="AD73" s="282">
        <f t="shared" si="139"/>
        <v>-10.268000000000001</v>
      </c>
      <c r="AE73" s="283">
        <f t="shared" si="130"/>
        <v>4.2950000000000008</v>
      </c>
      <c r="AF73" s="282">
        <f t="shared" si="134"/>
        <v>-6.1</v>
      </c>
      <c r="AG73" s="282">
        <f t="shared" si="134"/>
        <v>0</v>
      </c>
      <c r="AH73" s="282">
        <f t="shared" ref="AH73" si="140">AH56</f>
        <v>0</v>
      </c>
    </row>
    <row r="74" spans="1:41" s="282" customFormat="1" ht="10.5" customHeight="1">
      <c r="A74" s="283"/>
      <c r="B74" s="283"/>
      <c r="C74" s="432" t="s">
        <v>529</v>
      </c>
      <c r="D74" s="283"/>
      <c r="E74" s="282">
        <f t="shared" ref="E74:Q74" si="141">E57</f>
        <v>-4.0069999999999997</v>
      </c>
      <c r="F74" s="282">
        <f t="shared" si="141"/>
        <v>-16.803999999999998</v>
      </c>
      <c r="G74" s="282">
        <f t="shared" si="141"/>
        <v>-19.46</v>
      </c>
      <c r="H74" s="282">
        <f t="shared" si="141"/>
        <v>1.7999999999999999E-2</v>
      </c>
      <c r="I74" s="282">
        <f t="shared" si="141"/>
        <v>1.7989999999999999</v>
      </c>
      <c r="J74" s="282">
        <f t="shared" si="141"/>
        <v>-3.798</v>
      </c>
      <c r="K74" s="282">
        <f t="shared" si="141"/>
        <v>4.718</v>
      </c>
      <c r="L74" s="282">
        <f t="shared" si="141"/>
        <v>1.252</v>
      </c>
      <c r="M74" s="282">
        <f t="shared" si="141"/>
        <v>-7.8929999999999998</v>
      </c>
      <c r="N74" s="282">
        <f t="shared" si="141"/>
        <v>14.002000000000001</v>
      </c>
      <c r="O74" s="282">
        <f t="shared" si="141"/>
        <v>6.6660000000000004</v>
      </c>
      <c r="P74" s="282">
        <f t="shared" si="141"/>
        <v>9.2989999999999995</v>
      </c>
      <c r="Q74" s="282">
        <f t="shared" si="141"/>
        <v>-0.47299999999999998</v>
      </c>
      <c r="R74" s="282">
        <f t="shared" si="131"/>
        <v>17.312999999999999</v>
      </c>
      <c r="S74" s="282">
        <f t="shared" ref="S74:T74" si="142">S57</f>
        <v>-12.148</v>
      </c>
      <c r="T74" s="282">
        <f t="shared" si="142"/>
        <v>27.962999999999997</v>
      </c>
      <c r="U74" s="282">
        <f t="shared" ref="U74:X74" si="143">U57</f>
        <v>0</v>
      </c>
      <c r="V74" s="282">
        <f t="shared" si="143"/>
        <v>0</v>
      </c>
      <c r="W74" s="282">
        <f t="shared" si="143"/>
        <v>0</v>
      </c>
      <c r="X74" s="282">
        <f t="shared" si="143"/>
        <v>0</v>
      </c>
      <c r="Y74" s="283"/>
      <c r="Z74" s="282">
        <f>Z57</f>
        <v>-4.423</v>
      </c>
      <c r="AA74" s="282">
        <f t="shared" si="139"/>
        <v>21.25</v>
      </c>
      <c r="AB74" s="282">
        <f t="shared" si="139"/>
        <v>-40.253</v>
      </c>
      <c r="AC74" s="282">
        <f t="shared" si="139"/>
        <v>3.9710000000000001</v>
      </c>
      <c r="AD74" s="282">
        <f t="shared" si="139"/>
        <v>22.074000000000002</v>
      </c>
      <c r="AE74" s="283">
        <f t="shared" si="130"/>
        <v>32.655000000000001</v>
      </c>
      <c r="AF74" s="282">
        <f t="shared" si="134"/>
        <v>0</v>
      </c>
      <c r="AG74" s="282">
        <f t="shared" si="134"/>
        <v>0</v>
      </c>
      <c r="AH74" s="282">
        <f t="shared" ref="AH74" si="144">AH57</f>
        <v>0</v>
      </c>
    </row>
    <row r="75" spans="1:41" s="282" customFormat="1" ht="10.5" customHeight="1">
      <c r="A75" s="283"/>
      <c r="B75" s="283"/>
      <c r="C75" s="432" t="s">
        <v>606</v>
      </c>
      <c r="D75" s="283"/>
      <c r="E75" s="282">
        <f t="shared" ref="E75:Q75" si="145">E58</f>
        <v>0</v>
      </c>
      <c r="F75" s="282">
        <f t="shared" si="145"/>
        <v>0</v>
      </c>
      <c r="G75" s="282">
        <f t="shared" si="145"/>
        <v>0</v>
      </c>
      <c r="H75" s="282">
        <f t="shared" si="145"/>
        <v>0</v>
      </c>
      <c r="I75" s="282">
        <f t="shared" si="145"/>
        <v>0</v>
      </c>
      <c r="J75" s="282">
        <f t="shared" si="145"/>
        <v>0</v>
      </c>
      <c r="K75" s="282">
        <f t="shared" si="145"/>
        <v>0</v>
      </c>
      <c r="L75" s="282">
        <f t="shared" si="145"/>
        <v>0</v>
      </c>
      <c r="M75" s="282">
        <f t="shared" si="145"/>
        <v>0</v>
      </c>
      <c r="N75" s="282">
        <f t="shared" si="145"/>
        <v>1.97</v>
      </c>
      <c r="O75" s="282">
        <f t="shared" si="145"/>
        <v>0</v>
      </c>
      <c r="P75" s="282">
        <f t="shared" si="145"/>
        <v>0</v>
      </c>
      <c r="Q75" s="282">
        <f t="shared" si="145"/>
        <v>0</v>
      </c>
      <c r="R75" s="282">
        <f t="shared" si="131"/>
        <v>0</v>
      </c>
      <c r="S75" s="282">
        <f t="shared" ref="S75:T75" si="146">S58</f>
        <v>0</v>
      </c>
      <c r="T75" s="282">
        <f t="shared" si="146"/>
        <v>0</v>
      </c>
      <c r="U75" s="282">
        <f t="shared" ref="U75:X75" si="147">U58</f>
        <v>0</v>
      </c>
      <c r="V75" s="282">
        <f t="shared" si="147"/>
        <v>0</v>
      </c>
      <c r="W75" s="282">
        <f t="shared" si="147"/>
        <v>0</v>
      </c>
      <c r="X75" s="282">
        <f t="shared" si="147"/>
        <v>0</v>
      </c>
      <c r="Y75" s="283"/>
      <c r="Z75" s="282">
        <f>Z58</f>
        <v>0</v>
      </c>
      <c r="AA75" s="282">
        <f t="shared" si="139"/>
        <v>0</v>
      </c>
      <c r="AB75" s="282">
        <f t="shared" si="139"/>
        <v>0</v>
      </c>
      <c r="AC75" s="282">
        <f t="shared" si="139"/>
        <v>0</v>
      </c>
      <c r="AD75" s="282">
        <f t="shared" si="139"/>
        <v>1.97</v>
      </c>
      <c r="AE75" s="283">
        <f t="shared" si="130"/>
        <v>0</v>
      </c>
      <c r="AF75" s="282">
        <f t="shared" si="134"/>
        <v>0</v>
      </c>
      <c r="AG75" s="282">
        <f t="shared" si="134"/>
        <v>0</v>
      </c>
      <c r="AH75" s="282">
        <f t="shared" ref="AH75" si="148">AH58</f>
        <v>0</v>
      </c>
    </row>
    <row r="76" spans="1:41" s="282" customFormat="1" ht="10.5" customHeight="1">
      <c r="A76" s="283"/>
      <c r="B76" s="283"/>
      <c r="C76" s="546" t="s">
        <v>407</v>
      </c>
      <c r="E76" s="282">
        <f t="shared" ref="E76:Q76" si="149">E59</f>
        <v>2.5070000000000001</v>
      </c>
      <c r="F76" s="282">
        <f t="shared" si="149"/>
        <v>1.01</v>
      </c>
      <c r="G76" s="282">
        <f t="shared" si="149"/>
        <v>6.1390000000000002</v>
      </c>
      <c r="H76" s="282">
        <f t="shared" si="149"/>
        <v>0.38900000000000001</v>
      </c>
      <c r="I76" s="282">
        <f t="shared" si="149"/>
        <v>1.2999999999999999E-2</v>
      </c>
      <c r="J76" s="282">
        <f t="shared" si="149"/>
        <v>0.39700000000000002</v>
      </c>
      <c r="K76" s="282">
        <f t="shared" si="149"/>
        <v>0.183</v>
      </c>
      <c r="L76" s="282">
        <f t="shared" si="149"/>
        <v>5.1999999999999998E-2</v>
      </c>
      <c r="M76" s="282">
        <f t="shared" si="149"/>
        <v>0</v>
      </c>
      <c r="N76" s="282">
        <f t="shared" si="149"/>
        <v>6.0000000000000001E-3</v>
      </c>
      <c r="O76" s="282">
        <f t="shared" si="149"/>
        <v>2E-3</v>
      </c>
      <c r="P76" s="282">
        <f t="shared" si="149"/>
        <v>7.0000000000000001E-3</v>
      </c>
      <c r="Q76" s="282">
        <f t="shared" si="149"/>
        <v>0</v>
      </c>
      <c r="R76" s="282">
        <f t="shared" si="131"/>
        <v>0</v>
      </c>
      <c r="S76" s="282">
        <f t="shared" ref="S76:T76" si="150">S59</f>
        <v>0</v>
      </c>
      <c r="T76" s="282">
        <f t="shared" si="150"/>
        <v>0</v>
      </c>
      <c r="U76" s="282">
        <f t="shared" ref="U76:X76" si="151">U59</f>
        <v>0</v>
      </c>
      <c r="V76" s="282">
        <f t="shared" si="151"/>
        <v>0</v>
      </c>
      <c r="W76" s="282">
        <f t="shared" si="151"/>
        <v>0</v>
      </c>
      <c r="X76" s="282">
        <f t="shared" si="151"/>
        <v>0</v>
      </c>
      <c r="Y76" s="283"/>
      <c r="Z76" s="282">
        <f>Z59</f>
        <v>2.6949999999999998</v>
      </c>
      <c r="AA76" s="282">
        <f t="shared" si="139"/>
        <v>2.5000000000000001E-2</v>
      </c>
      <c r="AB76" s="282">
        <f t="shared" si="139"/>
        <v>10.045</v>
      </c>
      <c r="AC76" s="282">
        <f t="shared" si="139"/>
        <v>0.64500000000000002</v>
      </c>
      <c r="AD76" s="282">
        <f t="shared" si="139"/>
        <v>1.4999999999999999E-2</v>
      </c>
      <c r="AE76" s="283">
        <f t="shared" si="130"/>
        <v>0</v>
      </c>
      <c r="AF76" s="282">
        <f t="shared" si="134"/>
        <v>0</v>
      </c>
      <c r="AG76" s="282">
        <f t="shared" si="134"/>
        <v>0</v>
      </c>
      <c r="AH76" s="282">
        <f t="shared" ref="AH76" si="152">AH59</f>
        <v>0</v>
      </c>
    </row>
    <row r="77" spans="1:41" s="282" customFormat="1" ht="10.5" customHeight="1">
      <c r="A77" s="283"/>
      <c r="B77" s="283"/>
      <c r="C77" s="546" t="s">
        <v>410</v>
      </c>
      <c r="E77" s="282">
        <f t="shared" ref="E77:Q77" si="153">E60</f>
        <v>5.0170000000000003</v>
      </c>
      <c r="F77" s="282">
        <f t="shared" si="153"/>
        <v>6.8010000000000002</v>
      </c>
      <c r="G77" s="282">
        <f t="shared" si="153"/>
        <v>6.5190000000000001</v>
      </c>
      <c r="H77" s="282">
        <f t="shared" si="153"/>
        <v>2.3559999999999999</v>
      </c>
      <c r="I77" s="282">
        <f t="shared" si="153"/>
        <v>2.778</v>
      </c>
      <c r="J77" s="282">
        <f t="shared" si="153"/>
        <v>2.266</v>
      </c>
      <c r="K77" s="282">
        <f t="shared" si="153"/>
        <v>3.722</v>
      </c>
      <c r="L77" s="282">
        <f t="shared" si="153"/>
        <v>3.2850000000000001</v>
      </c>
      <c r="M77" s="282">
        <f t="shared" si="153"/>
        <v>12.996</v>
      </c>
      <c r="N77" s="282">
        <f t="shared" si="153"/>
        <v>9.5719999999999992</v>
      </c>
      <c r="O77" s="282">
        <f t="shared" si="153"/>
        <v>1.5409999999999999</v>
      </c>
      <c r="P77" s="282">
        <f t="shared" si="153"/>
        <v>0.80200000000000005</v>
      </c>
      <c r="Q77" s="282">
        <f t="shared" si="153"/>
        <v>4.3179999999999996</v>
      </c>
      <c r="R77" s="282">
        <f t="shared" si="131"/>
        <v>5.7859999999999996</v>
      </c>
      <c r="S77" s="282">
        <f t="shared" ref="S77:T77" si="154">S60</f>
        <v>6.91</v>
      </c>
      <c r="T77" s="282">
        <f t="shared" si="154"/>
        <v>5.9980000000000002</v>
      </c>
      <c r="U77" s="282">
        <f t="shared" ref="U77:X77" si="155">U60</f>
        <v>6.2050000000000001</v>
      </c>
      <c r="V77" s="282">
        <f t="shared" si="155"/>
        <v>0</v>
      </c>
      <c r="W77" s="282">
        <f t="shared" si="155"/>
        <v>0</v>
      </c>
      <c r="X77" s="282">
        <f t="shared" si="155"/>
        <v>0</v>
      </c>
      <c r="Y77" s="283"/>
      <c r="Z77" s="282">
        <f>Z60</f>
        <v>0</v>
      </c>
      <c r="AA77" s="282">
        <f t="shared" si="139"/>
        <v>21.300999999999998</v>
      </c>
      <c r="AB77" s="282">
        <f t="shared" si="139"/>
        <v>20.693000000000005</v>
      </c>
      <c r="AC77" s="282">
        <f t="shared" si="139"/>
        <v>12.051</v>
      </c>
      <c r="AD77" s="282">
        <f t="shared" si="139"/>
        <v>24.910999999999998</v>
      </c>
      <c r="AE77" s="283">
        <f t="shared" si="130"/>
        <v>23.012</v>
      </c>
      <c r="AF77" s="282">
        <f t="shared" si="134"/>
        <v>6.2050000000000001</v>
      </c>
      <c r="AG77" s="282">
        <f t="shared" si="134"/>
        <v>0</v>
      </c>
      <c r="AH77" s="282">
        <f t="shared" ref="AH77" si="156">AH60</f>
        <v>0</v>
      </c>
    </row>
    <row r="78" spans="1:41" s="283" customFormat="1" ht="10.5" customHeight="1">
      <c r="C78" s="546" t="s">
        <v>607</v>
      </c>
      <c r="D78" s="282"/>
      <c r="E78" s="282">
        <f t="shared" ref="E78:Q78" si="157">E61</f>
        <v>0</v>
      </c>
      <c r="F78" s="282">
        <f t="shared" si="157"/>
        <v>-3.5999999999999997E-2</v>
      </c>
      <c r="G78" s="282">
        <f t="shared" si="157"/>
        <v>-3.2080000000000002</v>
      </c>
      <c r="H78" s="282">
        <f t="shared" si="157"/>
        <v>0.58099999999999996</v>
      </c>
      <c r="I78" s="282">
        <f t="shared" si="157"/>
        <v>0</v>
      </c>
      <c r="J78" s="282">
        <f t="shared" si="157"/>
        <v>4.6420000000000003</v>
      </c>
      <c r="K78" s="282">
        <f t="shared" si="157"/>
        <v>2.4E-2</v>
      </c>
      <c r="L78" s="282">
        <f t="shared" si="157"/>
        <v>-2.3E-2</v>
      </c>
      <c r="M78" s="282">
        <f t="shared" si="157"/>
        <v>-0.104</v>
      </c>
      <c r="N78" s="282">
        <f t="shared" si="157"/>
        <v>0.67700000000000005</v>
      </c>
      <c r="O78" s="282">
        <f t="shared" si="157"/>
        <v>-1.4E-2</v>
      </c>
      <c r="P78" s="282">
        <f t="shared" si="157"/>
        <v>1.2999999999999999E-2</v>
      </c>
      <c r="Q78" s="282">
        <f t="shared" si="157"/>
        <v>8.9999999999999993E-3</v>
      </c>
      <c r="R78" s="282">
        <f t="shared" si="131"/>
        <v>0</v>
      </c>
      <c r="S78" s="282">
        <f t="shared" ref="S78:T78" si="158">S61</f>
        <v>0</v>
      </c>
      <c r="T78" s="282">
        <f t="shared" si="158"/>
        <v>0.32600000000000001</v>
      </c>
      <c r="U78" s="282">
        <f t="shared" ref="U78:X78" si="159">U61</f>
        <v>-8.0000000000000002E-3</v>
      </c>
      <c r="V78" s="282">
        <f t="shared" si="159"/>
        <v>0</v>
      </c>
      <c r="W78" s="282">
        <f t="shared" si="159"/>
        <v>0</v>
      </c>
      <c r="X78" s="282">
        <f t="shared" si="159"/>
        <v>0</v>
      </c>
      <c r="Z78" s="282">
        <f>Z61</f>
        <v>-0.14699999999999999</v>
      </c>
      <c r="AA78" s="282">
        <f t="shared" si="139"/>
        <v>-6.0419999999999998</v>
      </c>
      <c r="AB78" s="282">
        <f t="shared" si="139"/>
        <v>-2.6630000000000003</v>
      </c>
      <c r="AC78" s="282">
        <f t="shared" si="139"/>
        <v>4.6430000000000007</v>
      </c>
      <c r="AD78" s="282">
        <f t="shared" si="139"/>
        <v>0.57200000000000006</v>
      </c>
      <c r="AE78" s="283">
        <f t="shared" si="130"/>
        <v>0.33500000000000002</v>
      </c>
      <c r="AF78" s="282">
        <f t="shared" si="134"/>
        <v>-8.0000000000000002E-3</v>
      </c>
      <c r="AG78" s="282">
        <f t="shared" si="134"/>
        <v>0</v>
      </c>
      <c r="AH78" s="282">
        <f t="shared" ref="AH78" si="160">AH61</f>
        <v>0</v>
      </c>
    </row>
    <row r="79" spans="1:41" s="283" customFormat="1" ht="10.5" customHeight="1">
      <c r="C79" s="546" t="s">
        <v>411</v>
      </c>
      <c r="D79" s="282"/>
      <c r="E79" s="282">
        <f t="shared" ref="E79:R79" si="161">E68</f>
        <v>6.5000000000000002E-2</v>
      </c>
      <c r="F79" s="282">
        <f t="shared" si="161"/>
        <v>2.5169999999999999</v>
      </c>
      <c r="G79" s="282">
        <f t="shared" si="161"/>
        <v>0.64</v>
      </c>
      <c r="H79" s="282">
        <f t="shared" si="161"/>
        <v>0.53100000000000003</v>
      </c>
      <c r="I79" s="282">
        <f t="shared" si="161"/>
        <v>-0.52400000000000002</v>
      </c>
      <c r="J79" s="282">
        <f t="shared" si="161"/>
        <v>1.2250000000000001</v>
      </c>
      <c r="K79" s="282">
        <f t="shared" si="161"/>
        <v>-0.61899999999999999</v>
      </c>
      <c r="L79" s="282">
        <f t="shared" si="161"/>
        <v>-0.85499999999999998</v>
      </c>
      <c r="M79" s="282">
        <f t="shared" si="161"/>
        <v>-2.61</v>
      </c>
      <c r="N79" s="282">
        <f t="shared" si="161"/>
        <v>-1.579</v>
      </c>
      <c r="O79" s="282">
        <f t="shared" si="161"/>
        <v>4.3319999999999999</v>
      </c>
      <c r="P79" s="282">
        <f t="shared" si="161"/>
        <v>-2.722</v>
      </c>
      <c r="Q79" s="282">
        <f t="shared" si="161"/>
        <v>-0.55200000000000005</v>
      </c>
      <c r="R79" s="282">
        <f t="shared" si="161"/>
        <v>-3.077</v>
      </c>
      <c r="S79" s="282">
        <f t="shared" ref="S79:T79" si="162">S68</f>
        <v>-7.1999999999999995E-2</v>
      </c>
      <c r="T79" s="282">
        <f t="shared" si="162"/>
        <v>-5.6479999999999997</v>
      </c>
      <c r="U79" s="282">
        <f t="shared" ref="U79:X79" si="163">U68</f>
        <v>-0.96799999999999997</v>
      </c>
      <c r="V79" s="282">
        <f t="shared" si="163"/>
        <v>0</v>
      </c>
      <c r="W79" s="282">
        <f t="shared" si="163"/>
        <v>0</v>
      </c>
      <c r="X79" s="282">
        <f t="shared" si="163"/>
        <v>0</v>
      </c>
      <c r="Z79" s="282">
        <f>Z68</f>
        <v>0.91800000000000004</v>
      </c>
      <c r="AA79" s="282">
        <f>AA68</f>
        <v>-0.74199999999999999</v>
      </c>
      <c r="AB79" s="282">
        <f>AB68</f>
        <v>3.7530000000000001</v>
      </c>
      <c r="AC79" s="282">
        <f>AC68</f>
        <v>-0.77299999999999991</v>
      </c>
      <c r="AD79" s="282">
        <f>AD68</f>
        <v>-2.5790000000000002</v>
      </c>
      <c r="AE79" s="283">
        <f t="shared" si="130"/>
        <v>-9.3490000000000002</v>
      </c>
      <c r="AF79" s="282">
        <f>AF68</f>
        <v>-0.96799999999999997</v>
      </c>
      <c r="AG79" s="282">
        <f>AG68</f>
        <v>0</v>
      </c>
      <c r="AH79" s="282">
        <f>AH68</f>
        <v>0</v>
      </c>
    </row>
    <row r="80" spans="1:41" s="283" customFormat="1" ht="10.5" customHeight="1">
      <c r="C80" s="432" t="s">
        <v>608</v>
      </c>
      <c r="E80" s="305">
        <v>0</v>
      </c>
      <c r="F80" s="305">
        <v>0</v>
      </c>
      <c r="G80" s="305">
        <v>0</v>
      </c>
      <c r="H80" s="305">
        <v>0</v>
      </c>
      <c r="I80" s="305">
        <v>0</v>
      </c>
      <c r="J80" s="305">
        <v>0</v>
      </c>
      <c r="K80" s="305">
        <v>0</v>
      </c>
      <c r="L80" s="305">
        <v>2.855</v>
      </c>
      <c r="M80" s="305">
        <v>0</v>
      </c>
      <c r="N80" s="305">
        <v>0</v>
      </c>
      <c r="O80" s="305">
        <v>0</v>
      </c>
      <c r="P80" s="305">
        <v>0</v>
      </c>
      <c r="Q80" s="305">
        <v>0</v>
      </c>
      <c r="R80" s="305">
        <v>0</v>
      </c>
      <c r="S80" s="305">
        <v>0</v>
      </c>
      <c r="T80" s="305">
        <v>0</v>
      </c>
      <c r="U80" s="305">
        <v>0</v>
      </c>
      <c r="V80" s="305">
        <v>0</v>
      </c>
      <c r="W80" s="305">
        <v>0</v>
      </c>
      <c r="X80" s="305">
        <v>0</v>
      </c>
      <c r="Z80" s="283">
        <v>0</v>
      </c>
      <c r="AA80" s="283">
        <v>0</v>
      </c>
      <c r="AB80" s="282">
        <f t="shared" ref="AB80:AF87" si="164">SUMIF($E$5:$X$5,AB$5,$E80:$X80)</f>
        <v>0</v>
      </c>
      <c r="AC80" s="282">
        <f t="shared" si="164"/>
        <v>2.855</v>
      </c>
      <c r="AD80" s="282">
        <f t="shared" si="164"/>
        <v>0</v>
      </c>
      <c r="AE80" s="282">
        <f t="shared" si="164"/>
        <v>0</v>
      </c>
      <c r="AF80" s="282">
        <f t="shared" si="164"/>
        <v>0</v>
      </c>
      <c r="AG80" s="305">
        <v>0</v>
      </c>
      <c r="AH80" s="305">
        <v>0</v>
      </c>
    </row>
    <row r="81" spans="2:35" s="283" customFormat="1" ht="10.5" customHeight="1">
      <c r="C81" s="432" t="s">
        <v>609</v>
      </c>
      <c r="E81" s="305">
        <v>0</v>
      </c>
      <c r="F81" s="305">
        <v>0</v>
      </c>
      <c r="G81" s="305">
        <v>0</v>
      </c>
      <c r="H81" s="305">
        <v>0.25</v>
      </c>
      <c r="I81" s="305">
        <v>0</v>
      </c>
      <c r="J81" s="305">
        <v>0</v>
      </c>
      <c r="K81" s="305">
        <v>0.47199999999999998</v>
      </c>
      <c r="L81" s="305">
        <v>0</v>
      </c>
      <c r="M81" s="305">
        <v>0</v>
      </c>
      <c r="N81" s="305">
        <v>0</v>
      </c>
      <c r="O81" s="305">
        <v>0</v>
      </c>
      <c r="P81" s="305">
        <v>0</v>
      </c>
      <c r="Q81" s="305">
        <v>2.8820000000000001</v>
      </c>
      <c r="R81" s="305">
        <v>0</v>
      </c>
      <c r="S81" s="305">
        <v>0</v>
      </c>
      <c r="T81" s="305">
        <v>0</v>
      </c>
      <c r="U81" s="305">
        <v>0</v>
      </c>
      <c r="V81" s="305">
        <v>0</v>
      </c>
      <c r="W81" s="305">
        <v>0</v>
      </c>
      <c r="X81" s="305">
        <v>0</v>
      </c>
      <c r="Z81" s="305">
        <v>1.351</v>
      </c>
      <c r="AA81" s="283">
        <v>0</v>
      </c>
      <c r="AB81" s="282">
        <f t="shared" si="164"/>
        <v>0.25</v>
      </c>
      <c r="AC81" s="282">
        <f t="shared" si="164"/>
        <v>0.47199999999999998</v>
      </c>
      <c r="AD81" s="282">
        <f t="shared" si="164"/>
        <v>0</v>
      </c>
      <c r="AE81" s="282">
        <f t="shared" si="164"/>
        <v>2.8820000000000001</v>
      </c>
      <c r="AF81" s="282">
        <f t="shared" si="164"/>
        <v>0</v>
      </c>
      <c r="AG81" s="305">
        <v>0</v>
      </c>
      <c r="AH81" s="305">
        <v>0</v>
      </c>
    </row>
    <row r="82" spans="2:35" s="283" customFormat="1" ht="10.5" customHeight="1">
      <c r="C82" s="432" t="s">
        <v>610</v>
      </c>
      <c r="E82" s="305">
        <v>0</v>
      </c>
      <c r="F82" s="305">
        <v>0</v>
      </c>
      <c r="G82" s="305">
        <v>0</v>
      </c>
      <c r="H82" s="305">
        <v>-0.86199999999999999</v>
      </c>
      <c r="I82" s="305">
        <v>0</v>
      </c>
      <c r="J82" s="305">
        <v>0</v>
      </c>
      <c r="K82" s="305">
        <v>0</v>
      </c>
      <c r="L82" s="305">
        <v>0</v>
      </c>
      <c r="M82" s="305">
        <v>0</v>
      </c>
      <c r="N82" s="305">
        <v>0</v>
      </c>
      <c r="O82" s="305">
        <v>0</v>
      </c>
      <c r="P82" s="305">
        <v>0</v>
      </c>
      <c r="Q82" s="305">
        <v>0</v>
      </c>
      <c r="R82" s="305">
        <v>0</v>
      </c>
      <c r="S82" s="305">
        <v>0</v>
      </c>
      <c r="T82" s="305">
        <v>0</v>
      </c>
      <c r="U82" s="305">
        <v>0</v>
      </c>
      <c r="V82" s="305">
        <v>0</v>
      </c>
      <c r="W82" s="305">
        <v>0</v>
      </c>
      <c r="X82" s="305">
        <v>0</v>
      </c>
      <c r="Z82" s="305">
        <v>-11.568</v>
      </c>
      <c r="AA82" s="305">
        <v>15.935</v>
      </c>
      <c r="AB82" s="282">
        <f t="shared" si="164"/>
        <v>-0.86199999999999999</v>
      </c>
      <c r="AC82" s="282">
        <f t="shared" si="164"/>
        <v>0</v>
      </c>
      <c r="AD82" s="282">
        <f t="shared" si="164"/>
        <v>0</v>
      </c>
      <c r="AE82" s="282">
        <f t="shared" si="164"/>
        <v>0</v>
      </c>
      <c r="AF82" s="282">
        <f t="shared" si="164"/>
        <v>0</v>
      </c>
      <c r="AG82" s="305">
        <v>0</v>
      </c>
      <c r="AH82" s="305">
        <v>0</v>
      </c>
    </row>
    <row r="83" spans="2:35" s="283" customFormat="1" ht="10.5" customHeight="1">
      <c r="C83" s="432" t="s">
        <v>611</v>
      </c>
      <c r="E83" s="305">
        <v>0</v>
      </c>
      <c r="F83" s="305">
        <v>0</v>
      </c>
      <c r="G83" s="305">
        <v>0</v>
      </c>
      <c r="H83" s="305">
        <v>0</v>
      </c>
      <c r="I83" s="305">
        <v>0</v>
      </c>
      <c r="J83" s="305">
        <v>0</v>
      </c>
      <c r="K83" s="305">
        <v>0</v>
      </c>
      <c r="L83" s="305">
        <v>0</v>
      </c>
      <c r="M83" s="305">
        <v>0</v>
      </c>
      <c r="N83" s="305">
        <v>0</v>
      </c>
      <c r="O83" s="305">
        <v>0</v>
      </c>
      <c r="P83" s="305">
        <v>0</v>
      </c>
      <c r="Q83" s="305">
        <v>0</v>
      </c>
      <c r="R83" s="305">
        <v>0</v>
      </c>
      <c r="S83" s="305">
        <v>0</v>
      </c>
      <c r="T83" s="305">
        <v>0</v>
      </c>
      <c r="U83" s="305">
        <v>0</v>
      </c>
      <c r="V83" s="305">
        <v>0</v>
      </c>
      <c r="W83" s="305">
        <v>0</v>
      </c>
      <c r="X83" s="305">
        <v>0</v>
      </c>
      <c r="Z83" s="305">
        <v>0</v>
      </c>
      <c r="AA83" s="305">
        <v>0.88700000000000001</v>
      </c>
      <c r="AB83" s="282">
        <f t="shared" si="164"/>
        <v>0</v>
      </c>
      <c r="AC83" s="282">
        <f t="shared" si="164"/>
        <v>0</v>
      </c>
      <c r="AD83" s="282">
        <f t="shared" si="164"/>
        <v>0</v>
      </c>
      <c r="AE83" s="282">
        <f t="shared" si="164"/>
        <v>0</v>
      </c>
      <c r="AF83" s="282">
        <f t="shared" si="164"/>
        <v>0</v>
      </c>
      <c r="AG83" s="305">
        <v>0</v>
      </c>
      <c r="AH83" s="305">
        <v>0</v>
      </c>
    </row>
    <row r="84" spans="2:35" s="283" customFormat="1" ht="10.5" customHeight="1">
      <c r="C84" s="432" t="s">
        <v>612</v>
      </c>
      <c r="E84" s="305">
        <v>0</v>
      </c>
      <c r="F84" s="305">
        <v>0</v>
      </c>
      <c r="G84" s="305">
        <v>0</v>
      </c>
      <c r="H84" s="305">
        <v>0</v>
      </c>
      <c r="I84" s="305">
        <v>0</v>
      </c>
      <c r="J84" s="305">
        <v>0</v>
      </c>
      <c r="K84" s="305">
        <v>0</v>
      </c>
      <c r="L84" s="305">
        <v>0</v>
      </c>
      <c r="M84" s="305">
        <v>0</v>
      </c>
      <c r="N84" s="305">
        <v>0</v>
      </c>
      <c r="O84" s="305">
        <v>0</v>
      </c>
      <c r="P84" s="305">
        <v>0</v>
      </c>
      <c r="Q84" s="305">
        <v>0</v>
      </c>
      <c r="R84" s="305">
        <v>0</v>
      </c>
      <c r="S84" s="305">
        <v>0</v>
      </c>
      <c r="T84" s="305">
        <v>0</v>
      </c>
      <c r="U84" s="305">
        <v>0</v>
      </c>
      <c r="V84" s="305">
        <v>0</v>
      </c>
      <c r="W84" s="305">
        <v>0</v>
      </c>
      <c r="X84" s="305">
        <v>0</v>
      </c>
      <c r="Z84" s="305">
        <v>0</v>
      </c>
      <c r="AA84" s="283">
        <v>0</v>
      </c>
      <c r="AB84" s="282">
        <f t="shared" si="164"/>
        <v>0</v>
      </c>
      <c r="AC84" s="282">
        <f t="shared" si="164"/>
        <v>0</v>
      </c>
      <c r="AD84" s="282">
        <f t="shared" si="164"/>
        <v>0</v>
      </c>
      <c r="AE84" s="282">
        <f t="shared" si="164"/>
        <v>0</v>
      </c>
      <c r="AF84" s="282">
        <f t="shared" si="164"/>
        <v>0</v>
      </c>
      <c r="AG84" s="305">
        <v>0</v>
      </c>
      <c r="AH84" s="305">
        <v>0</v>
      </c>
    </row>
    <row r="85" spans="2:35" s="283" customFormat="1" ht="10.5" customHeight="1">
      <c r="C85" s="432" t="s">
        <v>613</v>
      </c>
      <c r="E85" s="305">
        <v>0</v>
      </c>
      <c r="F85" s="305">
        <v>0</v>
      </c>
      <c r="G85" s="305">
        <v>0</v>
      </c>
      <c r="H85" s="305">
        <v>0</v>
      </c>
      <c r="I85" s="305">
        <v>0</v>
      </c>
      <c r="J85" s="305">
        <v>0</v>
      </c>
      <c r="K85" s="305">
        <v>0</v>
      </c>
      <c r="L85" s="305">
        <v>0</v>
      </c>
      <c r="M85" s="305">
        <v>1.6659999999999999</v>
      </c>
      <c r="N85" s="305">
        <v>0</v>
      </c>
      <c r="O85" s="305">
        <v>0</v>
      </c>
      <c r="P85" s="305">
        <v>0</v>
      </c>
      <c r="Q85" s="305">
        <v>0</v>
      </c>
      <c r="R85" s="305">
        <v>0</v>
      </c>
      <c r="S85" s="305">
        <v>0</v>
      </c>
      <c r="T85" s="305">
        <v>0</v>
      </c>
      <c r="U85" s="305">
        <v>0</v>
      </c>
      <c r="V85" s="305">
        <v>0</v>
      </c>
      <c r="W85" s="305">
        <v>0</v>
      </c>
      <c r="X85" s="305">
        <v>0</v>
      </c>
      <c r="Z85" s="305">
        <v>0</v>
      </c>
      <c r="AA85" s="283">
        <v>0</v>
      </c>
      <c r="AB85" s="282">
        <f t="shared" si="164"/>
        <v>0</v>
      </c>
      <c r="AC85" s="282">
        <f t="shared" si="164"/>
        <v>0</v>
      </c>
      <c r="AD85" s="282">
        <f t="shared" si="164"/>
        <v>1.6659999999999999</v>
      </c>
      <c r="AE85" s="282">
        <f t="shared" si="164"/>
        <v>0</v>
      </c>
      <c r="AF85" s="282">
        <f t="shared" si="164"/>
        <v>0</v>
      </c>
      <c r="AG85" s="305">
        <v>0</v>
      </c>
      <c r="AH85" s="305">
        <v>0</v>
      </c>
    </row>
    <row r="86" spans="2:35" s="283" customFormat="1" ht="10.5" customHeight="1">
      <c r="C86" s="432" t="s">
        <v>614</v>
      </c>
      <c r="E86" s="305">
        <v>0</v>
      </c>
      <c r="F86" s="305">
        <v>0</v>
      </c>
      <c r="G86" s="305">
        <v>0</v>
      </c>
      <c r="H86" s="305">
        <v>0</v>
      </c>
      <c r="I86" s="305">
        <v>0</v>
      </c>
      <c r="J86" s="305">
        <v>0</v>
      </c>
      <c r="K86" s="305">
        <v>0</v>
      </c>
      <c r="L86" s="305">
        <v>0</v>
      </c>
      <c r="M86" s="305">
        <v>0</v>
      </c>
      <c r="N86" s="305">
        <v>0</v>
      </c>
      <c r="O86" s="305">
        <v>0</v>
      </c>
      <c r="P86" s="305">
        <v>0</v>
      </c>
      <c r="Q86" s="305">
        <v>0</v>
      </c>
      <c r="R86" s="305">
        <v>0</v>
      </c>
      <c r="S86" s="305">
        <v>0</v>
      </c>
      <c r="T86" s="305">
        <v>0</v>
      </c>
      <c r="U86" s="305">
        <v>0</v>
      </c>
      <c r="V86" s="305">
        <v>0</v>
      </c>
      <c r="W86" s="305">
        <v>0</v>
      </c>
      <c r="X86" s="305">
        <v>0</v>
      </c>
      <c r="Z86" s="305">
        <v>-0.216</v>
      </c>
      <c r="AA86" s="283">
        <v>0</v>
      </c>
      <c r="AB86" s="282">
        <f t="shared" si="164"/>
        <v>0</v>
      </c>
      <c r="AC86" s="282">
        <f t="shared" si="164"/>
        <v>0</v>
      </c>
      <c r="AD86" s="282">
        <f t="shared" si="164"/>
        <v>0</v>
      </c>
      <c r="AE86" s="282">
        <f t="shared" si="164"/>
        <v>0</v>
      </c>
      <c r="AF86" s="282">
        <f t="shared" si="164"/>
        <v>0</v>
      </c>
      <c r="AG86" s="305">
        <v>0</v>
      </c>
      <c r="AH86" s="305">
        <v>0</v>
      </c>
    </row>
    <row r="87" spans="2:35" s="283" customFormat="1" ht="10.5" customHeight="1">
      <c r="C87" s="432" t="s">
        <v>615</v>
      </c>
      <c r="E87" s="305">
        <v>0</v>
      </c>
      <c r="F87" s="305">
        <v>0</v>
      </c>
      <c r="G87" s="305">
        <v>0</v>
      </c>
      <c r="H87" s="305">
        <v>0</v>
      </c>
      <c r="I87" s="305">
        <v>0</v>
      </c>
      <c r="J87" s="305">
        <v>0</v>
      </c>
      <c r="K87" s="305">
        <v>0</v>
      </c>
      <c r="L87" s="305">
        <v>0</v>
      </c>
      <c r="M87" s="305">
        <v>2.9020000000000001</v>
      </c>
      <c r="N87" s="305">
        <v>0</v>
      </c>
      <c r="O87" s="305">
        <v>0</v>
      </c>
      <c r="P87" s="305">
        <v>0</v>
      </c>
      <c r="Q87" s="305">
        <v>0</v>
      </c>
      <c r="R87" s="305">
        <v>0</v>
      </c>
      <c r="S87" s="305">
        <v>0</v>
      </c>
      <c r="T87" s="305">
        <v>0</v>
      </c>
      <c r="U87" s="305">
        <v>0</v>
      </c>
      <c r="V87" s="305">
        <v>0</v>
      </c>
      <c r="W87" s="305">
        <v>0</v>
      </c>
      <c r="X87" s="305">
        <v>0</v>
      </c>
      <c r="Z87" s="305">
        <v>0</v>
      </c>
      <c r="AA87" s="283">
        <f t="shared" ref="AA87" si="165">SUMIF($E$5:$T$5,AA$5,$E87:$T87)</f>
        <v>0</v>
      </c>
      <c r="AB87" s="282">
        <f t="shared" si="164"/>
        <v>0</v>
      </c>
      <c r="AC87" s="282">
        <f t="shared" si="164"/>
        <v>0</v>
      </c>
      <c r="AD87" s="282">
        <f t="shared" si="164"/>
        <v>2.9020000000000001</v>
      </c>
      <c r="AE87" s="282">
        <f t="shared" si="164"/>
        <v>0</v>
      </c>
      <c r="AF87" s="282">
        <f t="shared" si="164"/>
        <v>0</v>
      </c>
      <c r="AG87" s="305">
        <v>0</v>
      </c>
      <c r="AH87" s="305">
        <v>0</v>
      </c>
    </row>
    <row r="88" spans="2:35" s="283" customFormat="1" ht="10.5" customHeight="1">
      <c r="C88" s="316" t="s">
        <v>605</v>
      </c>
      <c r="E88" s="382">
        <f t="shared" ref="E88:Q88" si="166">SUM(E71:E87)</f>
        <v>8.7819999999999947</v>
      </c>
      <c r="F88" s="382">
        <f t="shared" si="166"/>
        <v>3.5119999999999809</v>
      </c>
      <c r="G88" s="382">
        <f t="shared" si="166"/>
        <v>-28.272999999999982</v>
      </c>
      <c r="H88" s="382">
        <f t="shared" si="166"/>
        <v>-27.666999999999994</v>
      </c>
      <c r="I88" s="382">
        <f t="shared" si="166"/>
        <v>-18.568000000000012</v>
      </c>
      <c r="J88" s="382">
        <f t="shared" si="166"/>
        <v>-36.42799999999999</v>
      </c>
      <c r="K88" s="382">
        <f t="shared" si="166"/>
        <v>-11.800999999999979</v>
      </c>
      <c r="L88" s="382">
        <f t="shared" si="166"/>
        <v>1.1770000000000072</v>
      </c>
      <c r="M88" s="382">
        <f t="shared" si="166"/>
        <v>-14.662999999999979</v>
      </c>
      <c r="N88" s="382">
        <f t="shared" si="166"/>
        <v>9.2889999999999837</v>
      </c>
      <c r="O88" s="382">
        <f t="shared" si="166"/>
        <v>25.885999999999989</v>
      </c>
      <c r="P88" s="382">
        <f t="shared" si="166"/>
        <v>15.450999999999953</v>
      </c>
      <c r="Q88" s="382">
        <f t="shared" si="166"/>
        <v>33.067000000000007</v>
      </c>
      <c r="R88" s="769">
        <f>SUM(R71:R87)</f>
        <v>25.289000000000016</v>
      </c>
      <c r="S88" s="769">
        <f t="shared" ref="S88:T88" si="167">SUM(S71:S87)</f>
        <v>-7.5609999999999866</v>
      </c>
      <c r="T88" s="769">
        <f t="shared" si="167"/>
        <v>37.161000000000001</v>
      </c>
      <c r="U88" s="382">
        <f t="shared" ref="U88:X88" si="168">SUM(U71:U87)</f>
        <v>5.1820000000000013</v>
      </c>
      <c r="V88" s="382">
        <f t="shared" ca="1" si="168"/>
        <v>34.043678225883745</v>
      </c>
      <c r="W88" s="382">
        <f t="shared" ca="1" si="168"/>
        <v>15.094107257837113</v>
      </c>
      <c r="X88" s="382">
        <f t="shared" ca="1" si="168"/>
        <v>46.301985699327204</v>
      </c>
      <c r="Z88" s="382">
        <f t="shared" ref="Z88:AG88" si="169">SUM(Z71:Z87)</f>
        <v>52.552999999999976</v>
      </c>
      <c r="AA88" s="382">
        <f t="shared" si="169"/>
        <v>33.469000000000023</v>
      </c>
      <c r="AB88" s="382">
        <f t="shared" si="169"/>
        <v>-43.646000000000079</v>
      </c>
      <c r="AC88" s="382">
        <f t="shared" si="169"/>
        <v>-65.619999999999877</v>
      </c>
      <c r="AD88" s="382">
        <f t="shared" si="169"/>
        <v>35.962999999999901</v>
      </c>
      <c r="AE88" s="382">
        <f t="shared" si="169"/>
        <v>87.956000000000046</v>
      </c>
      <c r="AF88" s="382">
        <f t="shared" ca="1" si="169"/>
        <v>100.62177118304798</v>
      </c>
      <c r="AG88" s="382">
        <f t="shared" ca="1" si="169"/>
        <v>105.47524518629649</v>
      </c>
      <c r="AH88" s="382">
        <f t="shared" ref="AH88" ca="1" si="170">SUM(AH71:AH87)</f>
        <v>116.33988920288216</v>
      </c>
    </row>
    <row r="89" spans="2:35" ht="10.5" customHeight="1">
      <c r="E89" s="314"/>
      <c r="F89" s="314"/>
      <c r="G89" s="314"/>
      <c r="H89" s="314"/>
      <c r="I89" s="314"/>
      <c r="J89" s="314"/>
      <c r="K89" s="314"/>
      <c r="L89" s="314"/>
      <c r="M89" s="314"/>
      <c r="N89" s="314"/>
      <c r="O89" s="314"/>
      <c r="P89" s="314"/>
      <c r="Q89" s="314"/>
      <c r="R89" s="283"/>
      <c r="S89" s="283"/>
      <c r="T89" s="283"/>
      <c r="U89" s="283"/>
      <c r="V89" s="283"/>
      <c r="W89" s="283"/>
      <c r="X89" s="283"/>
      <c r="Y89" s="283"/>
      <c r="Z89" s="283"/>
      <c r="AA89" s="283"/>
      <c r="AB89" s="283"/>
      <c r="AC89" s="283"/>
      <c r="AD89" s="283"/>
      <c r="AE89" s="283"/>
      <c r="AF89" s="283"/>
      <c r="AG89" s="283"/>
      <c r="AH89" s="283"/>
    </row>
    <row r="90" spans="2:35" ht="10.5" customHeight="1">
      <c r="C90" s="281" t="s">
        <v>457</v>
      </c>
      <c r="E90" s="283">
        <f>E211</f>
        <v>16.382999999999996</v>
      </c>
      <c r="F90" s="283">
        <f t="shared" ref="F90:T90" si="171">F211</f>
        <v>30.634999999999973</v>
      </c>
      <c r="G90" s="283">
        <f t="shared" si="171"/>
        <v>28.192000000000007</v>
      </c>
      <c r="H90" s="283">
        <f t="shared" si="171"/>
        <v>19.011000000000021</v>
      </c>
      <c r="I90" s="283">
        <f t="shared" si="171"/>
        <v>20.029999999999994</v>
      </c>
      <c r="J90" s="283">
        <f t="shared" si="171"/>
        <v>-11.316999999999995</v>
      </c>
      <c r="K90" s="283">
        <f t="shared" si="171"/>
        <v>54.896000000000015</v>
      </c>
      <c r="L90" s="283">
        <f t="shared" si="171"/>
        <v>57.257000000000019</v>
      </c>
      <c r="M90" s="283">
        <f t="shared" si="171"/>
        <v>4.9270000000000076</v>
      </c>
      <c r="N90" s="283">
        <f t="shared" si="171"/>
        <v>37.526000000000003</v>
      </c>
      <c r="O90" s="283">
        <f t="shared" si="171"/>
        <v>73.438999999999993</v>
      </c>
      <c r="P90" s="283">
        <f t="shared" si="171"/>
        <v>64.90100000000001</v>
      </c>
      <c r="Q90" s="283">
        <f t="shared" si="171"/>
        <v>37.936000000000007</v>
      </c>
      <c r="R90" s="283">
        <f t="shared" si="171"/>
        <v>86.304000000000016</v>
      </c>
      <c r="S90" s="283">
        <f t="shared" si="171"/>
        <v>42.742000000000004</v>
      </c>
      <c r="T90" s="283">
        <f t="shared" si="171"/>
        <v>53.355000000000018</v>
      </c>
      <c r="U90" s="283">
        <f t="shared" ref="U90:X90" si="172">U211</f>
        <v>37.908999999999999</v>
      </c>
      <c r="V90" s="283">
        <f t="shared" ca="1" si="172"/>
        <v>75.226229587688366</v>
      </c>
      <c r="W90" s="283">
        <f t="shared" ca="1" si="172"/>
        <v>47.909015776738741</v>
      </c>
      <c r="X90" s="283">
        <f t="shared" ca="1" si="172"/>
        <v>87.566343411148722</v>
      </c>
      <c r="Y90" s="283"/>
      <c r="Z90" s="283">
        <f>Z211</f>
        <v>225.32800000000003</v>
      </c>
      <c r="AA90" s="283">
        <f t="shared" ref="AA90:AG90" si="173">AA211</f>
        <v>115.87800000000001</v>
      </c>
      <c r="AB90" s="283">
        <f t="shared" si="173"/>
        <v>94.221000000000018</v>
      </c>
      <c r="AC90" s="283">
        <f t="shared" si="173"/>
        <v>120.86600000000006</v>
      </c>
      <c r="AD90" s="283">
        <f t="shared" si="173"/>
        <v>180.79300000000001</v>
      </c>
      <c r="AE90" s="283">
        <f t="shared" si="173"/>
        <v>220.33700000000005</v>
      </c>
      <c r="AF90" s="283">
        <f t="shared" ca="1" si="173"/>
        <v>248.61058877557588</v>
      </c>
      <c r="AG90" s="283">
        <f t="shared" ca="1" si="173"/>
        <v>248.80956951851869</v>
      </c>
      <c r="AH90" s="283">
        <f t="shared" ref="AH90" ca="1" si="174">AH211</f>
        <v>198.47805108673461</v>
      </c>
    </row>
    <row r="91" spans="2:35" ht="10.5" customHeight="1">
      <c r="C91" s="392" t="s">
        <v>458</v>
      </c>
      <c r="E91" s="283">
        <f>E213</f>
        <v>-17.635000000000002</v>
      </c>
      <c r="F91" s="283">
        <f t="shared" ref="F91:T91" si="175">F213</f>
        <v>-25.669</v>
      </c>
      <c r="G91" s="283">
        <f t="shared" si="175"/>
        <v>-39.980999999999995</v>
      </c>
      <c r="H91" s="283">
        <f t="shared" si="175"/>
        <v>-53.647999999999996</v>
      </c>
      <c r="I91" s="283">
        <f t="shared" si="175"/>
        <v>-33.070999999999998</v>
      </c>
      <c r="J91" s="283">
        <f t="shared" si="175"/>
        <v>-38.174000000000007</v>
      </c>
      <c r="K91" s="283">
        <f t="shared" si="175"/>
        <v>-26.092999999999989</v>
      </c>
      <c r="L91" s="283">
        <f t="shared" si="175"/>
        <v>-24.083000000000013</v>
      </c>
      <c r="M91" s="283">
        <f t="shared" si="175"/>
        <v>-19.87</v>
      </c>
      <c r="N91" s="283">
        <f t="shared" si="175"/>
        <v>-10.818999999999999</v>
      </c>
      <c r="O91" s="283">
        <f t="shared" si="175"/>
        <v>-23.692999999999998</v>
      </c>
      <c r="P91" s="283">
        <f t="shared" si="175"/>
        <v>-36.634000000000007</v>
      </c>
      <c r="Q91" s="283">
        <f t="shared" si="175"/>
        <v>-21.413</v>
      </c>
      <c r="R91" s="283">
        <f t="shared" si="175"/>
        <v>-31.898</v>
      </c>
      <c r="S91" s="283">
        <f t="shared" si="175"/>
        <v>-27.098999999999997</v>
      </c>
      <c r="T91" s="283">
        <f t="shared" si="175"/>
        <v>-29.507000000000005</v>
      </c>
      <c r="U91" s="283">
        <f t="shared" ref="U91:X91" si="176">U213</f>
        <v>-21.478000000000002</v>
      </c>
      <c r="V91" s="283">
        <f t="shared" ca="1" si="176"/>
        <v>-37.913911032813431</v>
      </c>
      <c r="W91" s="283">
        <f t="shared" ca="1" si="176"/>
        <v>-39.84552116882557</v>
      </c>
      <c r="X91" s="283">
        <f t="shared" ca="1" si="176"/>
        <v>-35.943333312695493</v>
      </c>
      <c r="Y91" s="283"/>
      <c r="Z91" s="283">
        <f>Z213</f>
        <v>-164.78800000000001</v>
      </c>
      <c r="AA91" s="283">
        <f t="shared" ref="AA91:AG91" si="177">AA213</f>
        <v>-98.037999999999997</v>
      </c>
      <c r="AB91" s="283">
        <f t="shared" si="177"/>
        <v>-136.93299999999999</v>
      </c>
      <c r="AC91" s="283">
        <f t="shared" si="177"/>
        <v>-121.42100000000001</v>
      </c>
      <c r="AD91" s="283">
        <f t="shared" si="177"/>
        <v>-91.016000000000005</v>
      </c>
      <c r="AE91" s="283">
        <f t="shared" si="177"/>
        <v>-109.917</v>
      </c>
      <c r="AF91" s="283">
        <f t="shared" ca="1" si="177"/>
        <v>-135.1807655143345</v>
      </c>
      <c r="AG91" s="283">
        <f t="shared" ca="1" si="177"/>
        <v>-134.39989280083753</v>
      </c>
      <c r="AH91" s="283">
        <f t="shared" ref="AH91" ca="1" si="178">AH213</f>
        <v>-136.97818123357399</v>
      </c>
    </row>
    <row r="92" spans="2:35" ht="10.5" customHeight="1">
      <c r="C92" s="320" t="s">
        <v>459</v>
      </c>
      <c r="E92" s="379">
        <f>SUM(E90:E91)</f>
        <v>-1.252000000000006</v>
      </c>
      <c r="F92" s="379">
        <f t="shared" ref="F92:Z92" si="179">SUM(F90:F91)</f>
        <v>4.9659999999999727</v>
      </c>
      <c r="G92" s="379">
        <f t="shared" si="179"/>
        <v>-11.788999999999987</v>
      </c>
      <c r="H92" s="379">
        <f t="shared" si="179"/>
        <v>-34.636999999999972</v>
      </c>
      <c r="I92" s="379">
        <f t="shared" si="179"/>
        <v>-13.041000000000004</v>
      </c>
      <c r="J92" s="379">
        <f t="shared" si="179"/>
        <v>-49.491</v>
      </c>
      <c r="K92" s="379">
        <f t="shared" si="179"/>
        <v>28.803000000000026</v>
      </c>
      <c r="L92" s="379">
        <f t="shared" si="179"/>
        <v>33.174000000000007</v>
      </c>
      <c r="M92" s="379">
        <f t="shared" si="179"/>
        <v>-14.942999999999994</v>
      </c>
      <c r="N92" s="379">
        <f t="shared" si="179"/>
        <v>26.707000000000004</v>
      </c>
      <c r="O92" s="379">
        <f t="shared" si="179"/>
        <v>49.745999999999995</v>
      </c>
      <c r="P92" s="379">
        <f t="shared" si="179"/>
        <v>28.267000000000003</v>
      </c>
      <c r="Q92" s="379">
        <f t="shared" si="179"/>
        <v>16.523000000000007</v>
      </c>
      <c r="R92" s="768">
        <f t="shared" si="179"/>
        <v>54.40600000000002</v>
      </c>
      <c r="S92" s="379">
        <f t="shared" si="179"/>
        <v>15.643000000000008</v>
      </c>
      <c r="T92" s="379">
        <f t="shared" si="179"/>
        <v>23.848000000000013</v>
      </c>
      <c r="U92" s="379">
        <f t="shared" ref="U92:X92" si="180">SUM(U90:U91)</f>
        <v>16.430999999999997</v>
      </c>
      <c r="V92" s="379">
        <f t="shared" ca="1" si="180"/>
        <v>37.312318554874935</v>
      </c>
      <c r="W92" s="379">
        <f t="shared" ca="1" si="180"/>
        <v>8.0634946079131709</v>
      </c>
      <c r="X92" s="379">
        <f t="shared" ca="1" si="180"/>
        <v>51.623010098453229</v>
      </c>
      <c r="Y92" s="283"/>
      <c r="Z92" s="379">
        <f t="shared" si="179"/>
        <v>60.54000000000002</v>
      </c>
      <c r="AA92" s="379">
        <f t="shared" ref="AA92:AG92" si="181">SUM(AA90:AA91)</f>
        <v>17.840000000000018</v>
      </c>
      <c r="AB92" s="379">
        <f t="shared" si="181"/>
        <v>-42.711999999999975</v>
      </c>
      <c r="AC92" s="379">
        <f t="shared" si="181"/>
        <v>-0.55499999999994998</v>
      </c>
      <c r="AD92" s="379">
        <f t="shared" si="181"/>
        <v>89.777000000000001</v>
      </c>
      <c r="AE92" s="379">
        <f t="shared" si="181"/>
        <v>110.42000000000004</v>
      </c>
      <c r="AF92" s="379">
        <f t="shared" ca="1" si="181"/>
        <v>113.42982326124138</v>
      </c>
      <c r="AG92" s="379">
        <f t="shared" ca="1" si="181"/>
        <v>114.40967671768115</v>
      </c>
      <c r="AH92" s="379">
        <f t="shared" ref="AH92" ca="1" si="182">SUM(AH90:AH91)</f>
        <v>61.499869853160618</v>
      </c>
    </row>
    <row r="93" spans="2:35" ht="10.5" customHeight="1">
      <c r="Y93" s="283"/>
    </row>
    <row r="94" spans="2:35" s="283" customFormat="1" ht="10.5" customHeight="1">
      <c r="B94" s="286" t="s">
        <v>137</v>
      </c>
      <c r="C94" s="287" t="s">
        <v>333</v>
      </c>
      <c r="D94" s="287"/>
      <c r="E94" s="286"/>
      <c r="F94" s="286"/>
      <c r="G94" s="286"/>
      <c r="H94" s="286"/>
      <c r="I94" s="286"/>
      <c r="J94" s="286"/>
      <c r="K94" s="286"/>
      <c r="L94" s="286"/>
      <c r="M94" s="286"/>
      <c r="N94" s="286"/>
      <c r="O94" s="286"/>
      <c r="P94" s="286"/>
      <c r="Q94" s="286"/>
      <c r="R94" s="286"/>
      <c r="S94" s="286"/>
      <c r="T94" s="286"/>
      <c r="U94" s="286"/>
      <c r="V94" s="286"/>
      <c r="W94" s="286"/>
      <c r="X94" s="286"/>
      <c r="Z94" s="286"/>
      <c r="AA94" s="286"/>
      <c r="AB94" s="286"/>
      <c r="AC94" s="286"/>
      <c r="AD94" s="286"/>
      <c r="AE94" s="286"/>
      <c r="AF94" s="286"/>
      <c r="AG94" s="286"/>
      <c r="AH94" s="286"/>
    </row>
    <row r="95" spans="2:35" ht="10.5" customHeight="1">
      <c r="Y95" s="283"/>
    </row>
    <row r="96" spans="2:35" ht="10.5" customHeight="1">
      <c r="C96" s="281" t="s">
        <v>642</v>
      </c>
      <c r="E96" s="305">
        <v>212.56899999999999</v>
      </c>
      <c r="F96" s="305">
        <v>239.72200000000001</v>
      </c>
      <c r="G96" s="305">
        <v>60.856000000000002</v>
      </c>
      <c r="H96" s="305">
        <v>27.388999999999999</v>
      </c>
      <c r="I96" s="305">
        <v>11.797000000000001</v>
      </c>
      <c r="J96" s="305">
        <v>9.4339999999999993</v>
      </c>
      <c r="K96" s="305">
        <v>32.994999999999997</v>
      </c>
      <c r="L96" s="305">
        <v>62.451999999999998</v>
      </c>
      <c r="M96" s="305">
        <v>215.715</v>
      </c>
      <c r="N96" s="305">
        <v>75.923000000000002</v>
      </c>
      <c r="O96" s="305">
        <v>98.668999999999997</v>
      </c>
      <c r="P96" s="305">
        <v>129.83000000000001</v>
      </c>
      <c r="Q96" s="305">
        <v>139.75</v>
      </c>
      <c r="R96" s="305">
        <v>181.494</v>
      </c>
      <c r="S96" s="305">
        <v>190.904</v>
      </c>
      <c r="T96" s="305">
        <v>210.01</v>
      </c>
      <c r="U96" s="305">
        <v>212.029</v>
      </c>
      <c r="V96" s="282">
        <f ca="1">V237-V97</f>
        <v>245.6943185548752</v>
      </c>
      <c r="W96" s="282">
        <f ca="1">W237-W97</f>
        <v>250.11081316278836</v>
      </c>
      <c r="X96" s="282">
        <f ca="1">X237-X97</f>
        <v>298.08682326124159</v>
      </c>
      <c r="Y96" s="283"/>
      <c r="Z96" s="305">
        <v>169.77699999999999</v>
      </c>
      <c r="AA96" s="305">
        <v>186.107</v>
      </c>
      <c r="AB96" s="283">
        <f>SUMIF($E$6:$X$6,AB$6,$E96:$X96)</f>
        <v>27.388999999999999</v>
      </c>
      <c r="AC96" s="283">
        <f t="shared" ref="AC96:AF107" si="183">SUMIF($E$6:$X$6,AC$6,$E96:$X96)</f>
        <v>62.451999999999998</v>
      </c>
      <c r="AD96" s="283">
        <f t="shared" si="183"/>
        <v>129.83000000000001</v>
      </c>
      <c r="AE96" s="283">
        <f t="shared" si="183"/>
        <v>210.01</v>
      </c>
      <c r="AF96" s="283">
        <f t="shared" ca="1" si="183"/>
        <v>298.08682326124159</v>
      </c>
      <c r="AG96" s="282">
        <f ca="1">AG237-AG97</f>
        <v>397.90849997892269</v>
      </c>
      <c r="AH96" s="282">
        <f ca="1">AH237-AH97</f>
        <v>444.82036983208332</v>
      </c>
      <c r="AI96" s="283"/>
    </row>
    <row r="97" spans="3:35" ht="10.5" customHeight="1">
      <c r="C97" s="281" t="s">
        <v>643</v>
      </c>
      <c r="E97" s="305">
        <v>1.0049999999999999</v>
      </c>
      <c r="F97" s="305">
        <v>1.0049999999999999</v>
      </c>
      <c r="G97" s="305">
        <v>1.01</v>
      </c>
      <c r="H97" s="305">
        <v>1.0249999999999999</v>
      </c>
      <c r="I97" s="305">
        <v>1.0249999999999999</v>
      </c>
      <c r="J97" s="305">
        <v>1.0249999999999999</v>
      </c>
      <c r="K97" s="305">
        <v>1.0249999999999999</v>
      </c>
      <c r="L97" s="305">
        <v>1.0249999999999999</v>
      </c>
      <c r="M97" s="305">
        <v>1.0529999999999999</v>
      </c>
      <c r="N97" s="305">
        <v>1.0529999999999999</v>
      </c>
      <c r="O97" s="305">
        <v>1.0529999999999999</v>
      </c>
      <c r="P97" s="305">
        <v>1.0529999999999999</v>
      </c>
      <c r="Q97" s="305">
        <v>1.0529999999999999</v>
      </c>
      <c r="R97" s="305">
        <v>1.0529999999999999</v>
      </c>
      <c r="S97" s="305">
        <v>1.0529999999999999</v>
      </c>
      <c r="T97" s="305">
        <v>1.0529999999999999</v>
      </c>
      <c r="U97" s="384">
        <v>1.0409999999999999</v>
      </c>
      <c r="V97" s="319">
        <f t="shared" ref="V97:X97" si="184">U97</f>
        <v>1.0409999999999999</v>
      </c>
      <c r="W97" s="319">
        <f t="shared" si="184"/>
        <v>1.0409999999999999</v>
      </c>
      <c r="X97" s="319">
        <f t="shared" si="184"/>
        <v>1.0409999999999999</v>
      </c>
      <c r="Y97" s="283"/>
      <c r="Z97" s="305">
        <v>2.2000000000000002</v>
      </c>
      <c r="AA97" s="305">
        <v>1.032</v>
      </c>
      <c r="AB97" s="283">
        <f>SUMIF($E$6:$X$6,AB$6,$E97:$X97)</f>
        <v>1.0249999999999999</v>
      </c>
      <c r="AC97" s="283">
        <f t="shared" si="183"/>
        <v>1.0249999999999999</v>
      </c>
      <c r="AD97" s="283">
        <f t="shared" si="183"/>
        <v>1.0529999999999999</v>
      </c>
      <c r="AE97" s="283">
        <f t="shared" si="183"/>
        <v>1.0529999999999999</v>
      </c>
      <c r="AF97" s="283">
        <f t="shared" si="183"/>
        <v>1.0409999999999999</v>
      </c>
      <c r="AG97" s="319">
        <f>AF97</f>
        <v>1.0409999999999999</v>
      </c>
      <c r="AH97" s="319">
        <f>AG97</f>
        <v>1.0409999999999999</v>
      </c>
      <c r="AI97" s="283"/>
    </row>
    <row r="98" spans="3:35" ht="10.5" customHeight="1" collapsed="1">
      <c r="C98" s="281" t="s">
        <v>368</v>
      </c>
      <c r="E98" s="282">
        <f t="shared" ref="E98:R98" si="185">SUM(E99:E101)</f>
        <v>39.006</v>
      </c>
      <c r="F98" s="282">
        <f t="shared" si="185"/>
        <v>29.024000000000001</v>
      </c>
      <c r="G98" s="282">
        <f t="shared" si="185"/>
        <v>39.875</v>
      </c>
      <c r="H98" s="282">
        <f t="shared" si="185"/>
        <v>25.817999999999998</v>
      </c>
      <c r="I98" s="282">
        <f t="shared" si="185"/>
        <v>31.579000000000001</v>
      </c>
      <c r="J98" s="282">
        <f t="shared" si="185"/>
        <v>39.57</v>
      </c>
      <c r="K98" s="282">
        <f t="shared" si="185"/>
        <v>37.18</v>
      </c>
      <c r="L98" s="282">
        <f t="shared" si="185"/>
        <v>38.420999999999999</v>
      </c>
      <c r="M98" s="282">
        <f t="shared" si="185"/>
        <v>27.797000000000004</v>
      </c>
      <c r="N98" s="282">
        <f t="shared" si="185"/>
        <v>41.701000000000001</v>
      </c>
      <c r="O98" s="282">
        <f t="shared" si="185"/>
        <v>41.449000000000005</v>
      </c>
      <c r="P98" s="282">
        <f t="shared" si="185"/>
        <v>39.192999999999998</v>
      </c>
      <c r="Q98" s="282">
        <f t="shared" si="185"/>
        <v>43.749000000000002</v>
      </c>
      <c r="R98" s="282">
        <f t="shared" si="185"/>
        <v>50.644999999999996</v>
      </c>
      <c r="S98" s="282">
        <f t="shared" ref="S98:U98" si="186">SUM(S99:S101)</f>
        <v>42.972999999999999</v>
      </c>
      <c r="T98" s="305">
        <v>44.585999999999999</v>
      </c>
      <c r="U98" s="282">
        <f t="shared" si="186"/>
        <v>41.91</v>
      </c>
      <c r="V98" s="283">
        <f ca="1">(V181*SUM(S10:V10)/365)</f>
        <v>41.0448845805197</v>
      </c>
      <c r="W98" s="283">
        <f ca="1">(W181*SUM(T10:W10)/365)</f>
        <v>41.00694720902122</v>
      </c>
      <c r="X98" s="283">
        <f ca="1">(X181*SUM(U10:X10)/365)</f>
        <v>40.656963001940788</v>
      </c>
      <c r="Y98" s="283"/>
      <c r="Z98" s="282">
        <f>SUM(Z99:Z101)</f>
        <v>30.048999999999999</v>
      </c>
      <c r="AA98" s="282">
        <f>SUM(AA99:AA101)</f>
        <v>32.19</v>
      </c>
      <c r="AB98" s="282">
        <f>SUM(AB99:AB101)</f>
        <v>25.817999999999998</v>
      </c>
      <c r="AC98" s="282">
        <f>SUM(AC99:AC101)</f>
        <v>38.420999999999999</v>
      </c>
      <c r="AD98" s="282">
        <f>SUM(AD99:AD101)</f>
        <v>39.192999999999998</v>
      </c>
      <c r="AE98" s="283">
        <f>SUMIF($E$6:$X$6,AE$6,$E98:$X98)</f>
        <v>44.585999999999999</v>
      </c>
      <c r="AF98" s="283">
        <f ca="1">SUMIF($E$6:$X$6,AF$6,$E98:$X98)</f>
        <v>40.656963001940788</v>
      </c>
      <c r="AG98" s="283">
        <f ca="1">(AG181*AG10/365)</f>
        <v>37.91769074064387</v>
      </c>
      <c r="AH98" s="283">
        <f ca="1">(AH181*AH10/365)</f>
        <v>73.847072313263382</v>
      </c>
      <c r="AI98" s="283"/>
    </row>
    <row r="99" spans="3:35" s="306" customFormat="1" ht="10.5" customHeight="1" outlineLevel="1">
      <c r="C99" s="436" t="s">
        <v>544</v>
      </c>
      <c r="D99" s="437"/>
      <c r="E99" s="438">
        <v>19.713000000000001</v>
      </c>
      <c r="F99" s="438">
        <v>9.7170000000000005</v>
      </c>
      <c r="G99" s="438">
        <v>12.946999999999999</v>
      </c>
      <c r="H99" s="438">
        <v>4.1840000000000002</v>
      </c>
      <c r="I99" s="438">
        <v>9.5860000000000003</v>
      </c>
      <c r="J99" s="438">
        <v>6.8769999999999998</v>
      </c>
      <c r="K99" s="438">
        <v>6.2220000000000004</v>
      </c>
      <c r="L99" s="438">
        <v>11.952</v>
      </c>
      <c r="M99" s="438">
        <v>6.0620000000000003</v>
      </c>
      <c r="N99" s="438">
        <v>26.003</v>
      </c>
      <c r="O99" s="438">
        <v>28.463999999999999</v>
      </c>
      <c r="P99" s="438">
        <v>27.864000000000001</v>
      </c>
      <c r="Q99" s="438">
        <v>35.274000000000001</v>
      </c>
      <c r="R99" s="438">
        <v>41.311</v>
      </c>
      <c r="S99" s="438">
        <v>32.820999999999998</v>
      </c>
      <c r="T99" s="438"/>
      <c r="U99" s="438">
        <v>33.323999999999998</v>
      </c>
      <c r="V99" s="438">
        <v>0</v>
      </c>
      <c r="W99" s="438">
        <v>0</v>
      </c>
      <c r="X99" s="438">
        <v>0</v>
      </c>
      <c r="Y99" s="283"/>
      <c r="Z99" s="438">
        <v>20.082000000000001</v>
      </c>
      <c r="AA99" s="438">
        <v>14.805</v>
      </c>
      <c r="AB99" s="440">
        <f t="shared" ref="AB99:AB101" si="187">SUMIF($E$6:$X$6,AB$6,$E99:$X99)</f>
        <v>4.1840000000000002</v>
      </c>
      <c r="AC99" s="440">
        <f t="shared" si="183"/>
        <v>11.952</v>
      </c>
      <c r="AD99" s="440">
        <f t="shared" si="183"/>
        <v>27.864000000000001</v>
      </c>
      <c r="AE99" s="438">
        <f t="shared" si="183"/>
        <v>0</v>
      </c>
      <c r="AF99" s="438">
        <f t="shared" si="183"/>
        <v>0</v>
      </c>
      <c r="AG99" s="438">
        <v>0</v>
      </c>
      <c r="AH99" s="438">
        <v>0</v>
      </c>
      <c r="AI99" s="283"/>
    </row>
    <row r="100" spans="3:35" s="306" customFormat="1" ht="10.5" customHeight="1" outlineLevel="1">
      <c r="C100" s="436" t="s">
        <v>545</v>
      </c>
      <c r="D100" s="437"/>
      <c r="E100" s="438">
        <v>10.382</v>
      </c>
      <c r="F100" s="438">
        <v>10.382</v>
      </c>
      <c r="G100" s="438">
        <v>19.315999999999999</v>
      </c>
      <c r="H100" s="438">
        <v>14.191000000000001</v>
      </c>
      <c r="I100" s="438">
        <v>16.831</v>
      </c>
      <c r="J100" s="438">
        <v>25.326000000000001</v>
      </c>
      <c r="K100" s="438">
        <v>22.902000000000001</v>
      </c>
      <c r="L100" s="438">
        <v>20.047999999999998</v>
      </c>
      <c r="M100" s="438">
        <v>12.547000000000001</v>
      </c>
      <c r="N100" s="438">
        <v>11.847</v>
      </c>
      <c r="O100" s="438">
        <v>6.343</v>
      </c>
      <c r="P100" s="438">
        <v>0</v>
      </c>
      <c r="Q100" s="438">
        <v>0</v>
      </c>
      <c r="R100" s="438">
        <v>0</v>
      </c>
      <c r="S100" s="438">
        <v>0</v>
      </c>
      <c r="T100" s="438"/>
      <c r="U100" s="438">
        <v>0</v>
      </c>
      <c r="V100" s="438">
        <v>0</v>
      </c>
      <c r="W100" s="438">
        <v>0</v>
      </c>
      <c r="X100" s="438">
        <v>0</v>
      </c>
      <c r="Y100" s="283"/>
      <c r="Z100" s="438">
        <v>0.187</v>
      </c>
      <c r="AA100" s="438">
        <v>10.382</v>
      </c>
      <c r="AB100" s="440">
        <f t="shared" si="187"/>
        <v>14.191000000000001</v>
      </c>
      <c r="AC100" s="440">
        <f t="shared" si="183"/>
        <v>20.047999999999998</v>
      </c>
      <c r="AD100" s="440">
        <f t="shared" si="183"/>
        <v>0</v>
      </c>
      <c r="AE100" s="438">
        <f t="shared" si="183"/>
        <v>0</v>
      </c>
      <c r="AF100" s="438">
        <f t="shared" si="183"/>
        <v>0</v>
      </c>
      <c r="AG100" s="438">
        <v>0</v>
      </c>
      <c r="AH100" s="438">
        <v>0</v>
      </c>
      <c r="AI100" s="283"/>
    </row>
    <row r="101" spans="3:35" s="306" customFormat="1" ht="10.5" customHeight="1" outlineLevel="1">
      <c r="C101" s="436" t="s">
        <v>546</v>
      </c>
      <c r="D101" s="437"/>
      <c r="E101" s="438">
        <v>8.9109999999999996</v>
      </c>
      <c r="F101" s="438">
        <v>8.9250000000000007</v>
      </c>
      <c r="G101" s="438">
        <v>7.6120000000000001</v>
      </c>
      <c r="H101" s="438">
        <v>7.4429999999999996</v>
      </c>
      <c r="I101" s="438">
        <v>5.1619999999999999</v>
      </c>
      <c r="J101" s="438">
        <v>7.367</v>
      </c>
      <c r="K101" s="438">
        <v>8.0559999999999992</v>
      </c>
      <c r="L101" s="438">
        <v>6.4210000000000003</v>
      </c>
      <c r="M101" s="438">
        <v>9.1880000000000006</v>
      </c>
      <c r="N101" s="438">
        <v>3.851</v>
      </c>
      <c r="O101" s="438">
        <v>6.6420000000000003</v>
      </c>
      <c r="P101" s="438">
        <v>11.329000000000001</v>
      </c>
      <c r="Q101" s="438">
        <v>8.4749999999999996</v>
      </c>
      <c r="R101" s="438">
        <v>9.3339999999999996</v>
      </c>
      <c r="S101" s="438">
        <v>10.151999999999999</v>
      </c>
      <c r="T101" s="438"/>
      <c r="U101" s="438">
        <v>8.5860000000000003</v>
      </c>
      <c r="V101" s="438">
        <v>0</v>
      </c>
      <c r="W101" s="438">
        <v>0</v>
      </c>
      <c r="X101" s="438">
        <v>0</v>
      </c>
      <c r="Y101" s="283"/>
      <c r="Z101" s="438">
        <v>9.7799999999999994</v>
      </c>
      <c r="AA101" s="438">
        <v>7.0030000000000001</v>
      </c>
      <c r="AB101" s="440">
        <f t="shared" si="187"/>
        <v>7.4429999999999996</v>
      </c>
      <c r="AC101" s="440">
        <f t="shared" si="183"/>
        <v>6.4210000000000003</v>
      </c>
      <c r="AD101" s="440">
        <f t="shared" si="183"/>
        <v>11.329000000000001</v>
      </c>
      <c r="AE101" s="438">
        <f t="shared" si="183"/>
        <v>0</v>
      </c>
      <c r="AF101" s="438">
        <f t="shared" si="183"/>
        <v>0</v>
      </c>
      <c r="AG101" s="438">
        <v>0</v>
      </c>
      <c r="AH101" s="438">
        <v>0</v>
      </c>
      <c r="AI101" s="283"/>
    </row>
    <row r="102" spans="3:35" ht="10.5" customHeight="1">
      <c r="C102" s="281" t="s">
        <v>193</v>
      </c>
      <c r="E102" s="282">
        <f>E103+E104</f>
        <v>62.802999999999997</v>
      </c>
      <c r="F102" s="282">
        <f t="shared" ref="F102:R102" si="188">F103+F104</f>
        <v>61.054000000000002</v>
      </c>
      <c r="G102" s="282">
        <f t="shared" si="188"/>
        <v>76.087999999999994</v>
      </c>
      <c r="H102" s="282">
        <f t="shared" si="188"/>
        <v>87.532999999999987</v>
      </c>
      <c r="I102" s="282">
        <f t="shared" si="188"/>
        <v>78.674000000000007</v>
      </c>
      <c r="J102" s="282">
        <f t="shared" si="188"/>
        <v>80.602000000000004</v>
      </c>
      <c r="K102" s="282">
        <f t="shared" si="188"/>
        <v>98.251000000000005</v>
      </c>
      <c r="L102" s="282">
        <f t="shared" si="188"/>
        <v>66.212999999999994</v>
      </c>
      <c r="M102" s="282">
        <f t="shared" si="188"/>
        <v>75.122</v>
      </c>
      <c r="N102" s="282">
        <f t="shared" si="188"/>
        <v>82.542000000000002</v>
      </c>
      <c r="O102" s="282">
        <f t="shared" si="188"/>
        <v>87.63</v>
      </c>
      <c r="P102" s="282">
        <f t="shared" si="188"/>
        <v>96.543999999999997</v>
      </c>
      <c r="Q102" s="282">
        <f t="shared" si="188"/>
        <v>94.25200000000001</v>
      </c>
      <c r="R102" s="282">
        <f t="shared" si="188"/>
        <v>82.962000000000003</v>
      </c>
      <c r="S102" s="282">
        <f t="shared" ref="S102:U102" si="189">S103+S104</f>
        <v>58.439</v>
      </c>
      <c r="T102" s="305">
        <v>67.765000000000001</v>
      </c>
      <c r="U102" s="282">
        <f t="shared" si="189"/>
        <v>73.09</v>
      </c>
      <c r="V102" s="283">
        <f ca="1">V182*SUM(S11:V11)/365</f>
        <v>72.764623336027853</v>
      </c>
      <c r="W102" s="283">
        <f ca="1">W182*SUM(T11:W11)/365</f>
        <v>71.893066768329717</v>
      </c>
      <c r="X102" s="283">
        <f ca="1">X182*SUM(U11:X11)/365</f>
        <v>72.275925716336786</v>
      </c>
      <c r="Y102" s="283"/>
      <c r="Z102" s="282">
        <f>Z103+Z104</f>
        <v>50.022999999999996</v>
      </c>
      <c r="AA102" s="282">
        <f>AA103+AA104</f>
        <v>55.466000000000001</v>
      </c>
      <c r="AB102" s="282">
        <f>AB103+AB104</f>
        <v>87.532999999999987</v>
      </c>
      <c r="AC102" s="282">
        <f>AC103+AC104</f>
        <v>66.212999999999994</v>
      </c>
      <c r="AD102" s="282">
        <f>AD103+AD104</f>
        <v>96.543999999999997</v>
      </c>
      <c r="AE102" s="283">
        <f>SUMIF($E$6:$X$6,AE$6,$E102:$X102)</f>
        <v>67.765000000000001</v>
      </c>
      <c r="AF102" s="283">
        <f ca="1">SUMIF($E$6:$X$6,AF$6,$E102:$X102)</f>
        <v>72.275925716336786</v>
      </c>
      <c r="AG102" s="283">
        <f>AG182*AG11/365</f>
        <v>71.046575342465758</v>
      </c>
      <c r="AH102" s="283">
        <f>AH182*AH11/365</f>
        <v>86.853698630136989</v>
      </c>
      <c r="AI102" s="283"/>
    </row>
    <row r="103" spans="3:35" ht="10.5" customHeight="1" outlineLevel="1">
      <c r="C103" s="385" t="s">
        <v>334</v>
      </c>
      <c r="D103" s="386"/>
      <c r="E103" s="388">
        <v>37.024000000000001</v>
      </c>
      <c r="F103" s="388">
        <v>35.168999999999997</v>
      </c>
      <c r="G103" s="388">
        <v>42.463999999999999</v>
      </c>
      <c r="H103" s="388">
        <v>53.171999999999997</v>
      </c>
      <c r="I103" s="388">
        <v>44.61</v>
      </c>
      <c r="J103" s="388">
        <v>45.284999999999997</v>
      </c>
      <c r="K103" s="388">
        <v>63.164000000000001</v>
      </c>
      <c r="L103" s="388">
        <v>30.364000000000001</v>
      </c>
      <c r="M103" s="388">
        <v>39.450000000000003</v>
      </c>
      <c r="N103" s="388">
        <v>46.676000000000002</v>
      </c>
      <c r="O103" s="388">
        <v>50.018999999999998</v>
      </c>
      <c r="P103" s="388">
        <v>57.936</v>
      </c>
      <c r="Q103" s="388">
        <v>56.917000000000002</v>
      </c>
      <c r="R103" s="388">
        <v>43.814</v>
      </c>
      <c r="S103" s="388">
        <v>17.594000000000001</v>
      </c>
      <c r="T103" s="388"/>
      <c r="U103" s="388">
        <v>29.852</v>
      </c>
      <c r="V103" s="388">
        <v>0</v>
      </c>
      <c r="W103" s="388">
        <v>0</v>
      </c>
      <c r="X103" s="388">
        <v>0</v>
      </c>
      <c r="Y103" s="283"/>
      <c r="Z103" s="388">
        <v>25.943999999999999</v>
      </c>
      <c r="AA103" s="388">
        <v>29.366</v>
      </c>
      <c r="AB103" s="387">
        <f t="shared" ref="AB103:AB107" si="190">SUMIF($E$6:$X$6,AB$6,$E103:$X103)</f>
        <v>53.171999999999997</v>
      </c>
      <c r="AC103" s="387">
        <f t="shared" si="183"/>
        <v>30.364000000000001</v>
      </c>
      <c r="AD103" s="387">
        <f t="shared" si="183"/>
        <v>57.936</v>
      </c>
      <c r="AE103" s="387">
        <f t="shared" si="183"/>
        <v>0</v>
      </c>
      <c r="AF103" s="388">
        <f t="shared" si="183"/>
        <v>0</v>
      </c>
      <c r="AG103" s="388">
        <v>0</v>
      </c>
      <c r="AH103" s="388">
        <v>0</v>
      </c>
      <c r="AI103" s="283"/>
    </row>
    <row r="104" spans="3:35" ht="10.5" customHeight="1" outlineLevel="1">
      <c r="C104" s="385" t="s">
        <v>335</v>
      </c>
      <c r="D104" s="386"/>
      <c r="E104" s="388">
        <v>25.779</v>
      </c>
      <c r="F104" s="388">
        <v>25.885000000000002</v>
      </c>
      <c r="G104" s="388">
        <v>33.624000000000002</v>
      </c>
      <c r="H104" s="388">
        <v>34.360999999999997</v>
      </c>
      <c r="I104" s="388">
        <v>34.064</v>
      </c>
      <c r="J104" s="388">
        <v>35.317</v>
      </c>
      <c r="K104" s="388">
        <v>35.087000000000003</v>
      </c>
      <c r="L104" s="388">
        <v>35.848999999999997</v>
      </c>
      <c r="M104" s="388">
        <v>35.671999999999997</v>
      </c>
      <c r="N104" s="388">
        <v>35.866</v>
      </c>
      <c r="O104" s="388">
        <v>37.610999999999997</v>
      </c>
      <c r="P104" s="388">
        <v>38.607999999999997</v>
      </c>
      <c r="Q104" s="388">
        <v>37.335000000000001</v>
      </c>
      <c r="R104" s="388">
        <v>39.148000000000003</v>
      </c>
      <c r="S104" s="388">
        <v>40.844999999999999</v>
      </c>
      <c r="T104" s="388"/>
      <c r="U104" s="388">
        <v>43.238</v>
      </c>
      <c r="V104" s="388">
        <v>0</v>
      </c>
      <c r="W104" s="388">
        <v>0</v>
      </c>
      <c r="X104" s="388">
        <v>0</v>
      </c>
      <c r="Y104" s="283"/>
      <c r="Z104" s="388">
        <v>24.079000000000001</v>
      </c>
      <c r="AA104" s="388">
        <v>26.1</v>
      </c>
      <c r="AB104" s="387">
        <f t="shared" si="190"/>
        <v>34.360999999999997</v>
      </c>
      <c r="AC104" s="387">
        <f t="shared" si="183"/>
        <v>35.848999999999997</v>
      </c>
      <c r="AD104" s="387">
        <f t="shared" si="183"/>
        <v>38.607999999999997</v>
      </c>
      <c r="AE104" s="387">
        <f t="shared" si="183"/>
        <v>0</v>
      </c>
      <c r="AF104" s="388">
        <f t="shared" si="183"/>
        <v>0</v>
      </c>
      <c r="AG104" s="388">
        <v>0</v>
      </c>
      <c r="AH104" s="388">
        <v>0</v>
      </c>
      <c r="AI104" s="283"/>
    </row>
    <row r="105" spans="3:35" ht="10.5" customHeight="1">
      <c r="C105" s="281" t="s">
        <v>367</v>
      </c>
      <c r="E105" s="305">
        <v>0</v>
      </c>
      <c r="F105" s="305">
        <v>0</v>
      </c>
      <c r="G105" s="305">
        <v>0</v>
      </c>
      <c r="H105" s="305">
        <v>12.231</v>
      </c>
      <c r="I105" s="305">
        <v>13.818</v>
      </c>
      <c r="J105" s="305">
        <v>0.28799999999999998</v>
      </c>
      <c r="K105" s="305">
        <v>0.1</v>
      </c>
      <c r="L105" s="305">
        <v>0.107</v>
      </c>
      <c r="M105" s="305">
        <v>5.1139999999999999</v>
      </c>
      <c r="N105" s="305">
        <v>5.1479999999999997</v>
      </c>
      <c r="O105" s="305">
        <v>0.107</v>
      </c>
      <c r="P105" s="305">
        <v>0</v>
      </c>
      <c r="Q105" s="305">
        <v>0</v>
      </c>
      <c r="R105" s="305">
        <v>0</v>
      </c>
      <c r="S105" s="305">
        <v>0</v>
      </c>
      <c r="T105" s="305">
        <v>0</v>
      </c>
      <c r="U105" s="305">
        <v>0</v>
      </c>
      <c r="V105" s="283">
        <f t="shared" ref="V105:X105" si="191">U105</f>
        <v>0</v>
      </c>
      <c r="W105" s="283">
        <f t="shared" si="191"/>
        <v>0</v>
      </c>
      <c r="X105" s="283">
        <f t="shared" si="191"/>
        <v>0</v>
      </c>
      <c r="Y105" s="283"/>
      <c r="Z105" s="305">
        <v>0</v>
      </c>
      <c r="AA105" s="305">
        <v>2.79</v>
      </c>
      <c r="AB105" s="283">
        <f t="shared" si="190"/>
        <v>12.231</v>
      </c>
      <c r="AC105" s="283">
        <f t="shared" si="183"/>
        <v>0.107</v>
      </c>
      <c r="AD105" s="283">
        <f t="shared" si="183"/>
        <v>0</v>
      </c>
      <c r="AE105" s="283">
        <f t="shared" si="183"/>
        <v>0</v>
      </c>
      <c r="AF105" s="283">
        <f t="shared" si="183"/>
        <v>0</v>
      </c>
      <c r="AG105" s="283">
        <f>AF105</f>
        <v>0</v>
      </c>
      <c r="AH105" s="283">
        <f>AG105</f>
        <v>0</v>
      </c>
      <c r="AI105" s="283"/>
    </row>
    <row r="106" spans="3:35" ht="10.5" customHeight="1">
      <c r="C106" s="281" t="s">
        <v>337</v>
      </c>
      <c r="E106" s="305">
        <v>17.369</v>
      </c>
      <c r="F106" s="305">
        <v>17.006</v>
      </c>
      <c r="G106" s="305">
        <v>21.51</v>
      </c>
      <c r="H106" s="305">
        <v>11.179</v>
      </c>
      <c r="I106" s="305">
        <v>8.2390000000000008</v>
      </c>
      <c r="J106" s="305">
        <v>15.523999999999999</v>
      </c>
      <c r="K106" s="305">
        <v>10.4</v>
      </c>
      <c r="L106" s="305">
        <v>11.930999999999999</v>
      </c>
      <c r="M106" s="305">
        <v>18.794</v>
      </c>
      <c r="N106" s="305">
        <v>9.5670000000000002</v>
      </c>
      <c r="O106" s="305">
        <v>7.3010000000000002</v>
      </c>
      <c r="P106" s="305">
        <v>15.644</v>
      </c>
      <c r="Q106" s="305">
        <v>12.971</v>
      </c>
      <c r="R106" s="305">
        <v>10.198</v>
      </c>
      <c r="S106" s="305">
        <v>12.744</v>
      </c>
      <c r="T106" s="305">
        <v>19.265999999999998</v>
      </c>
      <c r="U106" s="305">
        <v>16.927</v>
      </c>
      <c r="V106" s="282">
        <f ca="1">V177*V10</f>
        <v>20.272286458281211</v>
      </c>
      <c r="W106" s="282">
        <f ca="1">W177*W10</f>
        <v>17.501722665118162</v>
      </c>
      <c r="X106" s="282">
        <f ca="1">X177*X10</f>
        <v>20.126067890375477</v>
      </c>
      <c r="Y106" s="283"/>
      <c r="Z106" s="305">
        <v>12.125</v>
      </c>
      <c r="AA106" s="305">
        <v>10.925000000000001</v>
      </c>
      <c r="AB106" s="283">
        <f t="shared" si="190"/>
        <v>11.179</v>
      </c>
      <c r="AC106" s="283">
        <f t="shared" si="183"/>
        <v>11.930999999999999</v>
      </c>
      <c r="AD106" s="283">
        <f t="shared" si="183"/>
        <v>15.644</v>
      </c>
      <c r="AE106" s="283">
        <f t="shared" si="183"/>
        <v>19.265999999999998</v>
      </c>
      <c r="AF106" s="283">
        <f t="shared" ca="1" si="183"/>
        <v>20.126067890375477</v>
      </c>
      <c r="AG106" s="282">
        <f ca="1">AG177*AG10</f>
        <v>19.894938360481579</v>
      </c>
      <c r="AH106" s="282">
        <f ca="1">AH177*AH10</f>
        <v>27.883635925180482</v>
      </c>
      <c r="AI106" s="283"/>
    </row>
    <row r="107" spans="3:35" ht="10.5" customHeight="1">
      <c r="C107" s="281" t="s">
        <v>336</v>
      </c>
      <c r="E107" s="305">
        <v>0</v>
      </c>
      <c r="F107" s="305">
        <v>0</v>
      </c>
      <c r="G107" s="305">
        <v>0</v>
      </c>
      <c r="H107" s="305">
        <v>0</v>
      </c>
      <c r="I107" s="305">
        <v>0</v>
      </c>
      <c r="J107" s="305">
        <v>0</v>
      </c>
      <c r="K107" s="305">
        <v>0</v>
      </c>
      <c r="L107" s="305">
        <v>0</v>
      </c>
      <c r="M107" s="305">
        <v>0</v>
      </c>
      <c r="N107" s="305">
        <v>0</v>
      </c>
      <c r="O107" s="305">
        <v>0</v>
      </c>
      <c r="P107" s="305">
        <v>3.47</v>
      </c>
      <c r="Q107" s="305">
        <v>7.1950000000000003</v>
      </c>
      <c r="R107" s="305">
        <v>5.8789999999999996</v>
      </c>
      <c r="S107" s="305">
        <v>5.22</v>
      </c>
      <c r="T107" s="305">
        <v>0</v>
      </c>
      <c r="U107" s="305">
        <v>0</v>
      </c>
      <c r="V107" s="319">
        <f t="shared" ref="V107:X107" si="192">U107</f>
        <v>0</v>
      </c>
      <c r="W107" s="319">
        <f t="shared" si="192"/>
        <v>0</v>
      </c>
      <c r="X107" s="319">
        <f t="shared" si="192"/>
        <v>0</v>
      </c>
      <c r="Y107" s="283"/>
      <c r="Z107" s="305">
        <v>0</v>
      </c>
      <c r="AA107" s="305">
        <v>0</v>
      </c>
      <c r="AB107" s="283">
        <f t="shared" si="190"/>
        <v>0</v>
      </c>
      <c r="AC107" s="283">
        <f t="shared" si="183"/>
        <v>0</v>
      </c>
      <c r="AD107" s="283">
        <f t="shared" si="183"/>
        <v>3.47</v>
      </c>
      <c r="AE107" s="283">
        <f t="shared" si="183"/>
        <v>0</v>
      </c>
      <c r="AF107" s="283">
        <f t="shared" si="183"/>
        <v>0</v>
      </c>
      <c r="AG107" s="319">
        <f>AF107</f>
        <v>0</v>
      </c>
      <c r="AH107" s="319">
        <f>AG107</f>
        <v>0</v>
      </c>
      <c r="AI107" s="283"/>
    </row>
    <row r="108" spans="3:35" ht="10.5" customHeight="1">
      <c r="C108" s="320" t="s">
        <v>338</v>
      </c>
      <c r="E108" s="379">
        <f>+SUM(E96:E98,E102,E105:E107)</f>
        <v>332.75199999999995</v>
      </c>
      <c r="F108" s="379">
        <f t="shared" ref="F108:R108" si="193">+SUM(F96:F98,F102,F105:F107)</f>
        <v>347.81099999999992</v>
      </c>
      <c r="G108" s="379">
        <f t="shared" si="193"/>
        <v>199.339</v>
      </c>
      <c r="H108" s="379">
        <f t="shared" si="193"/>
        <v>165.17499999999998</v>
      </c>
      <c r="I108" s="379">
        <f t="shared" si="193"/>
        <v>145.13200000000003</v>
      </c>
      <c r="J108" s="379">
        <f t="shared" si="193"/>
        <v>146.44300000000001</v>
      </c>
      <c r="K108" s="379">
        <f t="shared" si="193"/>
        <v>179.95099999999999</v>
      </c>
      <c r="L108" s="379">
        <f t="shared" si="193"/>
        <v>180.149</v>
      </c>
      <c r="M108" s="379">
        <f t="shared" si="193"/>
        <v>343.59499999999997</v>
      </c>
      <c r="N108" s="379">
        <f t="shared" si="193"/>
        <v>215.934</v>
      </c>
      <c r="O108" s="379">
        <f t="shared" si="193"/>
        <v>236.20899999999997</v>
      </c>
      <c r="P108" s="379">
        <f t="shared" si="193"/>
        <v>285.73400000000004</v>
      </c>
      <c r="Q108" s="379">
        <f t="shared" si="193"/>
        <v>298.96999999999997</v>
      </c>
      <c r="R108" s="768">
        <f t="shared" si="193"/>
        <v>332.23099999999999</v>
      </c>
      <c r="S108" s="768">
        <f t="shared" ref="S108:T108" si="194">+SUM(S96:S98,S102,S105:S107)</f>
        <v>311.33300000000008</v>
      </c>
      <c r="T108" s="768">
        <f t="shared" si="194"/>
        <v>342.68</v>
      </c>
      <c r="U108" s="768">
        <f t="shared" ref="U108:V108" si="195">+SUM(U96:U98,U102,U105:U107)</f>
        <v>344.99700000000001</v>
      </c>
      <c r="V108" s="379">
        <f t="shared" ca="1" si="195"/>
        <v>380.81711292970397</v>
      </c>
      <c r="W108" s="379">
        <f t="shared" ref="W108:X108" ca="1" si="196">+SUM(W96:W98,W102,W105:W107)</f>
        <v>381.55354980525749</v>
      </c>
      <c r="X108" s="379">
        <f t="shared" ca="1" si="196"/>
        <v>432.18677986989462</v>
      </c>
      <c r="Y108" s="283"/>
      <c r="Z108" s="379">
        <f t="shared" ref="Z108:AF108" si="197">+SUM(Z96:Z98,Z102,Z105:Z107)</f>
        <v>264.17399999999998</v>
      </c>
      <c r="AA108" s="379">
        <f t="shared" si="197"/>
        <v>288.51000000000005</v>
      </c>
      <c r="AB108" s="379">
        <f t="shared" si="197"/>
        <v>165.17499999999998</v>
      </c>
      <c r="AC108" s="379">
        <f t="shared" si="197"/>
        <v>180.149</v>
      </c>
      <c r="AD108" s="379">
        <f t="shared" si="197"/>
        <v>285.73400000000004</v>
      </c>
      <c r="AE108" s="379">
        <f t="shared" si="197"/>
        <v>342.68</v>
      </c>
      <c r="AF108" s="379">
        <f t="shared" ca="1" si="197"/>
        <v>432.18677986989462</v>
      </c>
      <c r="AG108" s="379">
        <f t="shared" ref="AG108:AH108" ca="1" si="198">+SUM(AG96:AG98,AG102,AG105:AG107)</f>
        <v>527.80870442251387</v>
      </c>
      <c r="AH108" s="379">
        <f t="shared" ca="1" si="198"/>
        <v>634.44577670066406</v>
      </c>
      <c r="AI108" s="283"/>
    </row>
    <row r="109" spans="3:35" ht="10.5" customHeight="1">
      <c r="S109" s="283"/>
      <c r="T109" s="283"/>
      <c r="U109" s="283"/>
      <c r="Y109" s="283"/>
      <c r="AI109" s="283"/>
    </row>
    <row r="110" spans="3:35" ht="10.5" customHeight="1" collapsed="1">
      <c r="C110" s="281" t="s">
        <v>339</v>
      </c>
      <c r="E110" s="380">
        <f>E111+E112</f>
        <v>42.01</v>
      </c>
      <c r="F110" s="380">
        <f t="shared" ref="F110:R110" si="199">F111+F112</f>
        <v>13.004999999999999</v>
      </c>
      <c r="G110" s="380">
        <f t="shared" si="199"/>
        <v>7.19</v>
      </c>
      <c r="H110" s="380">
        <f t="shared" si="199"/>
        <v>6.5830000000000002</v>
      </c>
      <c r="I110" s="380">
        <f t="shared" si="199"/>
        <v>6.7679999999999998</v>
      </c>
      <c r="J110" s="380">
        <f t="shared" si="199"/>
        <v>5.8150000000000004</v>
      </c>
      <c r="K110" s="380">
        <f t="shared" si="199"/>
        <v>7.3490000000000002</v>
      </c>
      <c r="L110" s="380">
        <f t="shared" si="199"/>
        <v>6.2069999999999999</v>
      </c>
      <c r="M110" s="380">
        <f t="shared" si="199"/>
        <v>4.9189999999999996</v>
      </c>
      <c r="N110" s="380">
        <f t="shared" si="199"/>
        <v>12.162000000000001</v>
      </c>
      <c r="O110" s="380">
        <f t="shared" si="199"/>
        <v>17.361999999999998</v>
      </c>
      <c r="P110" s="380">
        <f t="shared" si="199"/>
        <v>15.148</v>
      </c>
      <c r="Q110" s="380">
        <f t="shared" si="199"/>
        <v>11.717000000000001</v>
      </c>
      <c r="R110" s="283">
        <f t="shared" si="199"/>
        <v>11.083</v>
      </c>
      <c r="S110" s="283">
        <f t="shared" ref="S110:U110" si="200">S111+S112</f>
        <v>8.0299999999999994</v>
      </c>
      <c r="T110" s="305">
        <v>10.843999999999999</v>
      </c>
      <c r="U110" s="283">
        <f t="shared" si="200"/>
        <v>29.204000000000001</v>
      </c>
      <c r="V110" s="319">
        <f t="shared" ref="V110:X110" si="201">U110</f>
        <v>29.204000000000001</v>
      </c>
      <c r="W110" s="319">
        <f t="shared" si="201"/>
        <v>29.204000000000001</v>
      </c>
      <c r="X110" s="319">
        <f t="shared" si="201"/>
        <v>29.204000000000001</v>
      </c>
      <c r="Y110" s="283"/>
      <c r="Z110" s="380">
        <f>Z111+Z112</f>
        <v>34.119</v>
      </c>
      <c r="AA110" s="380">
        <f>AA111+AA112</f>
        <v>41.319000000000003</v>
      </c>
      <c r="AB110" s="380">
        <f>AB111+AB112</f>
        <v>6.5830000000000002</v>
      </c>
      <c r="AC110" s="380">
        <f>AC111+AC112</f>
        <v>6.2069999999999999</v>
      </c>
      <c r="AD110" s="380">
        <f>AD111+AD112</f>
        <v>15.148</v>
      </c>
      <c r="AE110" s="283">
        <f>SUMIF($E$6:$X$6,AE$6,$E110:$X110)</f>
        <v>10.843999999999999</v>
      </c>
      <c r="AF110" s="283">
        <f>SUMIF($E$6:$X$6,AF$6,$E110:$X110)</f>
        <v>29.204000000000001</v>
      </c>
      <c r="AG110" s="319">
        <f>AF110</f>
        <v>29.204000000000001</v>
      </c>
      <c r="AH110" s="319">
        <f>AG110</f>
        <v>29.204000000000001</v>
      </c>
      <c r="AI110" s="283"/>
    </row>
    <row r="111" spans="3:35" s="306" customFormat="1" ht="10.5" customHeight="1" outlineLevel="1">
      <c r="C111" s="437" t="s">
        <v>547</v>
      </c>
      <c r="D111" s="437"/>
      <c r="E111" s="438">
        <v>34.357999999999997</v>
      </c>
      <c r="F111" s="438">
        <v>5.556</v>
      </c>
      <c r="G111" s="438">
        <v>0</v>
      </c>
      <c r="H111" s="438">
        <v>0</v>
      </c>
      <c r="I111" s="438">
        <v>0</v>
      </c>
      <c r="J111" s="438">
        <v>0</v>
      </c>
      <c r="K111" s="438">
        <v>0</v>
      </c>
      <c r="L111" s="438">
        <v>0</v>
      </c>
      <c r="M111" s="438">
        <v>0</v>
      </c>
      <c r="N111" s="438">
        <v>0</v>
      </c>
      <c r="O111" s="438">
        <v>0</v>
      </c>
      <c r="P111" s="438">
        <v>0</v>
      </c>
      <c r="Q111" s="438">
        <v>0</v>
      </c>
      <c r="R111" s="438">
        <v>0</v>
      </c>
      <c r="S111" s="438">
        <v>0</v>
      </c>
      <c r="T111" s="438"/>
      <c r="U111" s="438">
        <v>0</v>
      </c>
      <c r="V111" s="438">
        <v>0</v>
      </c>
      <c r="W111" s="438">
        <v>0</v>
      </c>
      <c r="X111" s="438">
        <v>0</v>
      </c>
      <c r="Y111" s="283"/>
      <c r="Z111" s="438">
        <v>29.117000000000001</v>
      </c>
      <c r="AA111" s="438">
        <v>33.758000000000003</v>
      </c>
      <c r="AB111" s="440">
        <f t="shared" ref="AB111:AF118" si="202">SUMIF($E$6:$X$6,AB$6,$E111:$X111)</f>
        <v>0</v>
      </c>
      <c r="AC111" s="440">
        <f t="shared" si="202"/>
        <v>0</v>
      </c>
      <c r="AD111" s="440">
        <f t="shared" si="202"/>
        <v>0</v>
      </c>
      <c r="AE111" s="438">
        <f t="shared" si="202"/>
        <v>0</v>
      </c>
      <c r="AF111" s="438">
        <f t="shared" si="202"/>
        <v>0</v>
      </c>
      <c r="AG111" s="438">
        <v>0</v>
      </c>
      <c r="AH111" s="438">
        <v>0</v>
      </c>
      <c r="AI111" s="283"/>
    </row>
    <row r="112" spans="3:35" s="306" customFormat="1" ht="10.5" customHeight="1" outlineLevel="1">
      <c r="C112" s="437" t="s">
        <v>548</v>
      </c>
      <c r="D112" s="437"/>
      <c r="E112" s="438">
        <v>7.6520000000000001</v>
      </c>
      <c r="F112" s="438">
        <v>7.4489999999999998</v>
      </c>
      <c r="G112" s="438">
        <v>7.19</v>
      </c>
      <c r="H112" s="438">
        <v>6.5830000000000002</v>
      </c>
      <c r="I112" s="438">
        <v>6.7679999999999998</v>
      </c>
      <c r="J112" s="438">
        <v>5.8150000000000004</v>
      </c>
      <c r="K112" s="438">
        <v>7.3490000000000002</v>
      </c>
      <c r="L112" s="438">
        <v>6.2069999999999999</v>
      </c>
      <c r="M112" s="438">
        <v>4.9189999999999996</v>
      </c>
      <c r="N112" s="438">
        <v>12.162000000000001</v>
      </c>
      <c r="O112" s="438">
        <v>17.361999999999998</v>
      </c>
      <c r="P112" s="438">
        <v>15.148</v>
      </c>
      <c r="Q112" s="438">
        <v>11.717000000000001</v>
      </c>
      <c r="R112" s="438">
        <v>11.083</v>
      </c>
      <c r="S112" s="438">
        <v>8.0299999999999994</v>
      </c>
      <c r="T112" s="438"/>
      <c r="U112" s="438">
        <v>29.204000000000001</v>
      </c>
      <c r="V112" s="438">
        <v>0</v>
      </c>
      <c r="W112" s="438">
        <v>0</v>
      </c>
      <c r="X112" s="438">
        <v>0</v>
      </c>
      <c r="Y112" s="283"/>
      <c r="Z112" s="438">
        <v>5.0019999999999998</v>
      </c>
      <c r="AA112" s="438">
        <v>7.5609999999999999</v>
      </c>
      <c r="AB112" s="440">
        <f t="shared" si="202"/>
        <v>6.5830000000000002</v>
      </c>
      <c r="AC112" s="440">
        <f t="shared" si="202"/>
        <v>6.2069999999999999</v>
      </c>
      <c r="AD112" s="440">
        <f t="shared" si="202"/>
        <v>15.148</v>
      </c>
      <c r="AE112" s="438">
        <f t="shared" si="202"/>
        <v>0</v>
      </c>
      <c r="AF112" s="438">
        <f t="shared" si="202"/>
        <v>0</v>
      </c>
      <c r="AG112" s="438">
        <v>0</v>
      </c>
      <c r="AH112" s="438">
        <v>0</v>
      </c>
      <c r="AI112" s="283"/>
    </row>
    <row r="113" spans="3:35" ht="10.5" customHeight="1">
      <c r="C113" s="281" t="s">
        <v>340</v>
      </c>
      <c r="E113" s="305">
        <v>2008.704</v>
      </c>
      <c r="F113" s="305">
        <v>2006.5920000000001</v>
      </c>
      <c r="G113" s="305">
        <v>2487.4290000000001</v>
      </c>
      <c r="H113" s="305">
        <v>2520.0039999999999</v>
      </c>
      <c r="I113" s="305">
        <v>2508.9810000000002</v>
      </c>
      <c r="J113" s="305">
        <v>2485.8690000000001</v>
      </c>
      <c r="K113" s="305">
        <v>2455.511</v>
      </c>
      <c r="L113" s="305">
        <v>2423.6979999999999</v>
      </c>
      <c r="M113" s="305">
        <v>2393.1869999999999</v>
      </c>
      <c r="N113" s="305">
        <v>2354.8829999999998</v>
      </c>
      <c r="O113" s="305">
        <v>2342.038</v>
      </c>
      <c r="P113" s="305">
        <v>2345.2190000000001</v>
      </c>
      <c r="Q113" s="305">
        <v>2320.547</v>
      </c>
      <c r="R113" s="305">
        <v>2305.3589999999999</v>
      </c>
      <c r="S113" s="305">
        <v>2331.018</v>
      </c>
      <c r="T113" s="305">
        <v>2310.81</v>
      </c>
      <c r="U113" s="305">
        <v>2298.8580000000002</v>
      </c>
      <c r="V113" s="283">
        <f t="shared" ref="V113" ca="1" si="203">V166</f>
        <v>2295.2102794085249</v>
      </c>
      <c r="W113" s="283">
        <f t="shared" ref="W113:X113" ca="1" si="204">W166</f>
        <v>2296.8102464141057</v>
      </c>
      <c r="X113" s="283">
        <f t="shared" ca="1" si="204"/>
        <v>2302.5587655143349</v>
      </c>
      <c r="Y113" s="283"/>
      <c r="Z113" s="305">
        <v>2032.6849999999999</v>
      </c>
      <c r="AA113" s="305">
        <v>1999.3109999999999</v>
      </c>
      <c r="AB113" s="283">
        <f>SUMIF($E$6:$X$6,AB$6,$E113:$X113)</f>
        <v>2520.0039999999999</v>
      </c>
      <c r="AC113" s="283">
        <f t="shared" si="202"/>
        <v>2423.6979999999999</v>
      </c>
      <c r="AD113" s="283">
        <f t="shared" si="202"/>
        <v>2345.2190000000001</v>
      </c>
      <c r="AE113" s="283">
        <f t="shared" si="202"/>
        <v>2310.81</v>
      </c>
      <c r="AF113" s="283">
        <f t="shared" ca="1" si="202"/>
        <v>2302.5587655143349</v>
      </c>
      <c r="AG113" s="283">
        <f ca="1">AG166</f>
        <v>2286.6586583151725</v>
      </c>
      <c r="AH113" s="283">
        <f ca="1">AH166</f>
        <v>2261.3368395487464</v>
      </c>
      <c r="AI113" s="283"/>
    </row>
    <row r="114" spans="3:35" ht="10.5" customHeight="1" collapsed="1">
      <c r="C114" s="281" t="s">
        <v>553</v>
      </c>
      <c r="E114" s="282">
        <f>SUM(E115:E118)</f>
        <v>14.625</v>
      </c>
      <c r="F114" s="282">
        <f t="shared" ref="F114:Z114" si="205">SUM(F115:F118)</f>
        <v>25.186</v>
      </c>
      <c r="G114" s="282">
        <f t="shared" si="205"/>
        <v>16.3</v>
      </c>
      <c r="H114" s="282">
        <f t="shared" si="205"/>
        <v>12.182</v>
      </c>
      <c r="I114" s="282">
        <f t="shared" si="205"/>
        <v>33.723999999999997</v>
      </c>
      <c r="J114" s="282">
        <f t="shared" si="205"/>
        <v>32.585999999999999</v>
      </c>
      <c r="K114" s="282">
        <f t="shared" si="205"/>
        <v>30.366999999999997</v>
      </c>
      <c r="L114" s="282">
        <f t="shared" si="205"/>
        <v>27.254000000000001</v>
      </c>
      <c r="M114" s="282">
        <f t="shared" si="205"/>
        <v>22.423000000000002</v>
      </c>
      <c r="N114" s="282">
        <f t="shared" si="205"/>
        <v>20.429000000000002</v>
      </c>
      <c r="O114" s="282">
        <f t="shared" si="205"/>
        <v>19.541</v>
      </c>
      <c r="P114" s="282">
        <f t="shared" si="205"/>
        <v>21.622999999999998</v>
      </c>
      <c r="Q114" s="282">
        <f t="shared" si="205"/>
        <v>23.843</v>
      </c>
      <c r="R114" s="282">
        <f t="shared" si="205"/>
        <v>22.565000000000001</v>
      </c>
      <c r="S114" s="282">
        <f t="shared" ref="S114:T114" si="206">SUM(S115:S118)</f>
        <v>24.036000000000001</v>
      </c>
      <c r="T114" s="282">
        <f t="shared" si="206"/>
        <v>64.474000000000004</v>
      </c>
      <c r="U114" s="282">
        <f t="shared" ref="U114:V114" si="207">SUM(U115:U118)</f>
        <v>65.84</v>
      </c>
      <c r="V114" s="282">
        <f t="shared" si="207"/>
        <v>65.84</v>
      </c>
      <c r="W114" s="282">
        <f t="shared" ref="W114:X114" si="208">SUM(W115:W118)</f>
        <v>65.84</v>
      </c>
      <c r="X114" s="282">
        <f t="shared" si="208"/>
        <v>65.84</v>
      </c>
      <c r="Y114" s="283"/>
      <c r="Z114" s="282">
        <f t="shared" si="205"/>
        <v>40.698999999999998</v>
      </c>
      <c r="AA114" s="282">
        <f t="shared" ref="AA114:AF114" si="209">SUM(AA115:AA118)</f>
        <v>16.018000000000001</v>
      </c>
      <c r="AB114" s="282">
        <f t="shared" si="209"/>
        <v>12.182</v>
      </c>
      <c r="AC114" s="282">
        <f t="shared" si="209"/>
        <v>27.254000000000001</v>
      </c>
      <c r="AD114" s="282">
        <f t="shared" si="209"/>
        <v>21.622999999999998</v>
      </c>
      <c r="AE114" s="282">
        <f t="shared" si="209"/>
        <v>64.474000000000004</v>
      </c>
      <c r="AF114" s="282">
        <f t="shared" si="209"/>
        <v>65.84</v>
      </c>
      <c r="AG114" s="282">
        <f t="shared" ref="AG114:AH114" si="210">SUM(AG115:AG118)</f>
        <v>65.84</v>
      </c>
      <c r="AH114" s="282">
        <f t="shared" si="210"/>
        <v>65.84</v>
      </c>
      <c r="AI114" s="283"/>
    </row>
    <row r="115" spans="3:35" s="306" customFormat="1" ht="10.5" customHeight="1" outlineLevel="1">
      <c r="C115" s="437" t="s">
        <v>549</v>
      </c>
      <c r="D115" s="437"/>
      <c r="E115" s="438">
        <v>0.67100000000000004</v>
      </c>
      <c r="F115" s="438">
        <v>1.179</v>
      </c>
      <c r="G115" s="438">
        <v>1.601</v>
      </c>
      <c r="H115" s="438">
        <v>1.9870000000000001</v>
      </c>
      <c r="I115" s="438">
        <v>3.0579999999999998</v>
      </c>
      <c r="J115" s="438">
        <v>3.395</v>
      </c>
      <c r="K115" s="438">
        <v>3.7010000000000001</v>
      </c>
      <c r="L115" s="438">
        <v>3.5369999999999999</v>
      </c>
      <c r="M115" s="438">
        <v>3.0070000000000001</v>
      </c>
      <c r="N115" s="438">
        <v>3.181</v>
      </c>
      <c r="O115" s="438">
        <v>3.4079999999999999</v>
      </c>
      <c r="P115" s="438">
        <v>2.9119999999999999</v>
      </c>
      <c r="Q115" s="438">
        <v>3.8860000000000001</v>
      </c>
      <c r="R115" s="438">
        <v>5.09</v>
      </c>
      <c r="S115" s="438">
        <v>5.5759999999999996</v>
      </c>
      <c r="T115" s="438">
        <v>45.561999999999998</v>
      </c>
      <c r="U115" s="438">
        <v>45.561999999999998</v>
      </c>
      <c r="V115" s="441">
        <f t="shared" ref="V115:W118" si="211">U115</f>
        <v>45.561999999999998</v>
      </c>
      <c r="W115" s="441">
        <f t="shared" si="211"/>
        <v>45.561999999999998</v>
      </c>
      <c r="X115" s="441">
        <f t="shared" ref="X115:X118" si="212">W115</f>
        <v>45.561999999999998</v>
      </c>
      <c r="Y115" s="283"/>
      <c r="Z115" s="438">
        <v>35.814999999999998</v>
      </c>
      <c r="AA115" s="438">
        <v>1.5089999999999999</v>
      </c>
      <c r="AB115" s="387">
        <f t="shared" ref="AB115:AB118" si="213">SUMIF($E$6:$X$6,AB$6,$E115:$X115)</f>
        <v>1.9870000000000001</v>
      </c>
      <c r="AC115" s="387">
        <f t="shared" si="202"/>
        <v>3.5369999999999999</v>
      </c>
      <c r="AD115" s="387">
        <f t="shared" si="202"/>
        <v>2.9119999999999999</v>
      </c>
      <c r="AE115" s="387">
        <f t="shared" si="202"/>
        <v>45.561999999999998</v>
      </c>
      <c r="AF115" s="387">
        <f t="shared" si="202"/>
        <v>45.561999999999998</v>
      </c>
      <c r="AG115" s="441">
        <f t="shared" ref="AG115:AH118" si="214">AF115</f>
        <v>45.561999999999998</v>
      </c>
      <c r="AH115" s="441">
        <f t="shared" si="214"/>
        <v>45.561999999999998</v>
      </c>
      <c r="AI115" s="283"/>
    </row>
    <row r="116" spans="3:35" s="306" customFormat="1" ht="10.5" customHeight="1" outlineLevel="1">
      <c r="C116" s="437" t="s">
        <v>550</v>
      </c>
      <c r="D116" s="437"/>
      <c r="E116" s="438">
        <v>13.954000000000001</v>
      </c>
      <c r="F116" s="438">
        <v>24.007000000000001</v>
      </c>
      <c r="G116" s="438">
        <v>14.699</v>
      </c>
      <c r="H116" s="438">
        <v>10.195</v>
      </c>
      <c r="I116" s="438">
        <v>10.019</v>
      </c>
      <c r="J116" s="438">
        <v>10.172000000000001</v>
      </c>
      <c r="K116" s="438">
        <v>9.3529999999999998</v>
      </c>
      <c r="L116" s="438">
        <v>7.3360000000000003</v>
      </c>
      <c r="M116" s="438">
        <v>4.5069999999999997</v>
      </c>
      <c r="N116" s="438">
        <v>4.0279999999999996</v>
      </c>
      <c r="O116" s="438">
        <v>4.2050000000000001</v>
      </c>
      <c r="P116" s="438">
        <v>3.5249999999999999</v>
      </c>
      <c r="Q116" s="438">
        <v>3.8359999999999999</v>
      </c>
      <c r="R116" s="438">
        <v>3.7210000000000001</v>
      </c>
      <c r="S116" s="438">
        <v>3.5110000000000001</v>
      </c>
      <c r="T116" s="438">
        <v>6.4770000000000003</v>
      </c>
      <c r="U116" s="438">
        <v>7.9359999999999999</v>
      </c>
      <c r="V116" s="441">
        <f t="shared" si="211"/>
        <v>7.9359999999999999</v>
      </c>
      <c r="W116" s="441">
        <f t="shared" si="211"/>
        <v>7.9359999999999999</v>
      </c>
      <c r="X116" s="441">
        <f t="shared" si="212"/>
        <v>7.9359999999999999</v>
      </c>
      <c r="Y116" s="283"/>
      <c r="Z116" s="438">
        <v>4.8840000000000003</v>
      </c>
      <c r="AA116" s="438">
        <v>14.509</v>
      </c>
      <c r="AB116" s="387">
        <f t="shared" si="213"/>
        <v>10.195</v>
      </c>
      <c r="AC116" s="387">
        <f t="shared" si="202"/>
        <v>7.3360000000000003</v>
      </c>
      <c r="AD116" s="387">
        <f t="shared" si="202"/>
        <v>3.5249999999999999</v>
      </c>
      <c r="AE116" s="387">
        <f t="shared" si="202"/>
        <v>6.4770000000000003</v>
      </c>
      <c r="AF116" s="387">
        <f t="shared" si="202"/>
        <v>7.9359999999999999</v>
      </c>
      <c r="AG116" s="441">
        <f t="shared" si="214"/>
        <v>7.9359999999999999</v>
      </c>
      <c r="AH116" s="441">
        <f t="shared" si="214"/>
        <v>7.9359999999999999</v>
      </c>
      <c r="AI116" s="283"/>
    </row>
    <row r="117" spans="3:35" s="306" customFormat="1" ht="10.5" customHeight="1" outlineLevel="1">
      <c r="C117" s="437" t="s">
        <v>551</v>
      </c>
      <c r="D117" s="437"/>
      <c r="E117" s="438">
        <v>0</v>
      </c>
      <c r="F117" s="438">
        <v>0</v>
      </c>
      <c r="G117" s="438">
        <v>0</v>
      </c>
      <c r="H117" s="438">
        <v>0</v>
      </c>
      <c r="I117" s="438">
        <v>20.646999999999998</v>
      </c>
      <c r="J117" s="438">
        <v>19.018999999999998</v>
      </c>
      <c r="K117" s="438">
        <v>17.312999999999999</v>
      </c>
      <c r="L117" s="438">
        <v>16.381</v>
      </c>
      <c r="M117" s="438">
        <v>14.909000000000001</v>
      </c>
      <c r="N117" s="438">
        <v>13.22</v>
      </c>
      <c r="O117" s="438">
        <v>11.928000000000001</v>
      </c>
      <c r="P117" s="438">
        <v>10.628</v>
      </c>
      <c r="Q117" s="438">
        <v>9.7750000000000004</v>
      </c>
      <c r="R117" s="438">
        <v>8.9019999999999992</v>
      </c>
      <c r="S117" s="438">
        <v>8.2010000000000005</v>
      </c>
      <c r="T117" s="438">
        <v>12.435</v>
      </c>
      <c r="U117" s="438">
        <v>12.342000000000001</v>
      </c>
      <c r="V117" s="441">
        <f t="shared" si="211"/>
        <v>12.342000000000001</v>
      </c>
      <c r="W117" s="441">
        <f t="shared" si="211"/>
        <v>12.342000000000001</v>
      </c>
      <c r="X117" s="441">
        <f t="shared" si="212"/>
        <v>12.342000000000001</v>
      </c>
      <c r="Y117" s="283"/>
      <c r="Z117" s="438">
        <v>0</v>
      </c>
      <c r="AA117" s="438">
        <v>0</v>
      </c>
      <c r="AB117" s="387">
        <f t="shared" si="213"/>
        <v>0</v>
      </c>
      <c r="AC117" s="387">
        <f t="shared" si="202"/>
        <v>16.381</v>
      </c>
      <c r="AD117" s="387">
        <f t="shared" si="202"/>
        <v>10.628</v>
      </c>
      <c r="AE117" s="387">
        <f t="shared" si="202"/>
        <v>12.435</v>
      </c>
      <c r="AF117" s="387">
        <f t="shared" si="202"/>
        <v>12.342000000000001</v>
      </c>
      <c r="AG117" s="441">
        <f t="shared" si="214"/>
        <v>12.342000000000001</v>
      </c>
      <c r="AH117" s="441">
        <f t="shared" si="214"/>
        <v>12.342000000000001</v>
      </c>
      <c r="AI117" s="283"/>
    </row>
    <row r="118" spans="3:35" s="306" customFormat="1" ht="10.5" customHeight="1" outlineLevel="1">
      <c r="C118" s="437" t="s">
        <v>552</v>
      </c>
      <c r="D118" s="437"/>
      <c r="E118" s="438">
        <v>0</v>
      </c>
      <c r="F118" s="438">
        <v>0</v>
      </c>
      <c r="G118" s="438">
        <v>0</v>
      </c>
      <c r="H118" s="438">
        <v>0</v>
      </c>
      <c r="I118" s="438">
        <v>0</v>
      </c>
      <c r="J118" s="438">
        <v>0</v>
      </c>
      <c r="K118" s="438">
        <v>0</v>
      </c>
      <c r="L118" s="438">
        <v>0</v>
      </c>
      <c r="M118" s="438">
        <v>0</v>
      </c>
      <c r="N118" s="438">
        <v>0</v>
      </c>
      <c r="O118" s="438">
        <v>0</v>
      </c>
      <c r="P118" s="438">
        <v>4.5579999999999998</v>
      </c>
      <c r="Q118" s="438">
        <v>6.3460000000000001</v>
      </c>
      <c r="R118" s="438">
        <v>4.8520000000000003</v>
      </c>
      <c r="S118" s="438">
        <v>6.7480000000000002</v>
      </c>
      <c r="T118" s="438">
        <v>0</v>
      </c>
      <c r="U118" s="438">
        <v>0</v>
      </c>
      <c r="V118" s="441">
        <f t="shared" si="211"/>
        <v>0</v>
      </c>
      <c r="W118" s="441">
        <f t="shared" si="211"/>
        <v>0</v>
      </c>
      <c r="X118" s="441">
        <f t="shared" si="212"/>
        <v>0</v>
      </c>
      <c r="Y118" s="283"/>
      <c r="Z118" s="438">
        <v>0</v>
      </c>
      <c r="AA118" s="438">
        <v>0</v>
      </c>
      <c r="AB118" s="387">
        <f t="shared" si="213"/>
        <v>0</v>
      </c>
      <c r="AC118" s="387">
        <f t="shared" si="202"/>
        <v>0</v>
      </c>
      <c r="AD118" s="387">
        <f t="shared" si="202"/>
        <v>4.5579999999999998</v>
      </c>
      <c r="AE118" s="387">
        <f t="shared" si="202"/>
        <v>0</v>
      </c>
      <c r="AF118" s="387">
        <f t="shared" si="202"/>
        <v>0</v>
      </c>
      <c r="AG118" s="441">
        <f t="shared" si="214"/>
        <v>0</v>
      </c>
      <c r="AH118" s="441">
        <f t="shared" si="214"/>
        <v>0</v>
      </c>
      <c r="AI118" s="283"/>
    </row>
    <row r="119" spans="3:35" ht="10.5" customHeight="1">
      <c r="C119" s="320" t="s">
        <v>190</v>
      </c>
      <c r="E119" s="381">
        <f t="shared" ref="E119:R119" si="215">E108+E110+SUM(E113:E114)</f>
        <v>2398.0909999999999</v>
      </c>
      <c r="F119" s="381">
        <f t="shared" si="215"/>
        <v>2392.5940000000001</v>
      </c>
      <c r="G119" s="381">
        <f t="shared" si="215"/>
        <v>2710.2580000000003</v>
      </c>
      <c r="H119" s="381">
        <f t="shared" si="215"/>
        <v>2703.9439999999995</v>
      </c>
      <c r="I119" s="381">
        <f t="shared" si="215"/>
        <v>2694.6050000000005</v>
      </c>
      <c r="J119" s="381">
        <f t="shared" si="215"/>
        <v>2670.7129999999997</v>
      </c>
      <c r="K119" s="381">
        <f t="shared" si="215"/>
        <v>2673.1780000000003</v>
      </c>
      <c r="L119" s="381">
        <f t="shared" si="215"/>
        <v>2637.308</v>
      </c>
      <c r="M119" s="381">
        <f t="shared" si="215"/>
        <v>2764.1239999999998</v>
      </c>
      <c r="N119" s="381">
        <f t="shared" si="215"/>
        <v>2603.4079999999999</v>
      </c>
      <c r="O119" s="381">
        <f t="shared" si="215"/>
        <v>2615.15</v>
      </c>
      <c r="P119" s="381">
        <f t="shared" si="215"/>
        <v>2667.7240000000002</v>
      </c>
      <c r="Q119" s="381">
        <f t="shared" si="215"/>
        <v>2655.0769999999998</v>
      </c>
      <c r="R119" s="770">
        <f t="shared" si="215"/>
        <v>2671.2379999999998</v>
      </c>
      <c r="S119" s="768">
        <f t="shared" ref="S119:T119" si="216">S108+S110+SUM(S113:S114)</f>
        <v>2674.4170000000004</v>
      </c>
      <c r="T119" s="768">
        <f t="shared" si="216"/>
        <v>2728.808</v>
      </c>
      <c r="U119" s="768">
        <f t="shared" ref="U119:V119" si="217">U108+U110+SUM(U113:U114)</f>
        <v>2738.8990000000003</v>
      </c>
      <c r="V119" s="381">
        <f t="shared" ca="1" si="217"/>
        <v>2771.0713923382291</v>
      </c>
      <c r="W119" s="381">
        <f t="shared" ref="W119:X119" ca="1" si="218">W108+W110+SUM(W113:W114)</f>
        <v>2773.4077962193633</v>
      </c>
      <c r="X119" s="381">
        <f t="shared" ca="1" si="218"/>
        <v>2829.7895453842298</v>
      </c>
      <c r="Y119" s="283"/>
      <c r="Z119" s="381">
        <f t="shared" ref="Z119:AF119" si="219">Z108+Z110+SUM(Z113:Z114)</f>
        <v>2371.6770000000001</v>
      </c>
      <c r="AA119" s="381">
        <f t="shared" si="219"/>
        <v>2345.1579999999999</v>
      </c>
      <c r="AB119" s="381">
        <f t="shared" si="219"/>
        <v>2703.9439999999995</v>
      </c>
      <c r="AC119" s="381">
        <f t="shared" si="219"/>
        <v>2637.308</v>
      </c>
      <c r="AD119" s="381">
        <f t="shared" si="219"/>
        <v>2667.7240000000002</v>
      </c>
      <c r="AE119" s="381">
        <f t="shared" si="219"/>
        <v>2728.808</v>
      </c>
      <c r="AF119" s="381">
        <f t="shared" ca="1" si="219"/>
        <v>2829.7895453842298</v>
      </c>
      <c r="AG119" s="381">
        <f t="shared" ref="AG119:AH119" ca="1" si="220">AG108+AG110+SUM(AG113:AG114)</f>
        <v>2909.5113627376863</v>
      </c>
      <c r="AH119" s="381">
        <f t="shared" ca="1" si="220"/>
        <v>2990.8266162494106</v>
      </c>
      <c r="AI119" s="283"/>
    </row>
    <row r="120" spans="3:35" ht="10.5" customHeight="1">
      <c r="S120" s="283"/>
      <c r="T120" s="283"/>
      <c r="U120" s="283"/>
      <c r="Y120" s="283"/>
      <c r="AI120" s="283"/>
    </row>
    <row r="121" spans="3:35" ht="10.5" customHeight="1">
      <c r="C121" s="281" t="s">
        <v>341</v>
      </c>
      <c r="E121" s="305">
        <v>51.636000000000003</v>
      </c>
      <c r="F121" s="305">
        <v>53.835000000000001</v>
      </c>
      <c r="G121" s="305">
        <v>65.754999999999995</v>
      </c>
      <c r="H121" s="305">
        <v>77.861000000000004</v>
      </c>
      <c r="I121" s="305">
        <v>61.68</v>
      </c>
      <c r="J121" s="305">
        <v>69.335999999999999</v>
      </c>
      <c r="K121" s="305">
        <v>57.86</v>
      </c>
      <c r="L121" s="305">
        <v>57.716000000000001</v>
      </c>
      <c r="M121" s="305">
        <v>49.436999999999998</v>
      </c>
      <c r="N121" s="305">
        <v>40.789000000000001</v>
      </c>
      <c r="O121" s="305">
        <v>55.314999999999998</v>
      </c>
      <c r="P121" s="384">
        <v>68.516000000000005</v>
      </c>
      <c r="Q121" s="305">
        <v>53.13</v>
      </c>
      <c r="R121" s="305">
        <v>62.183</v>
      </c>
      <c r="S121" s="305">
        <v>62.570999999999998</v>
      </c>
      <c r="T121" s="305">
        <v>68.099999999999994</v>
      </c>
      <c r="U121" s="305">
        <v>73.786000000000001</v>
      </c>
      <c r="V121" s="283">
        <f ca="1">V183*SUM(S11:V11)/365</f>
        <v>74.594476524655576</v>
      </c>
      <c r="W121" s="283">
        <f ca="1">W183*SUM(T11:W11)/365</f>
        <v>74.78944451829166</v>
      </c>
      <c r="X121" s="283">
        <f ca="1">X183*SUM(U11:X11)/365</f>
        <v>77.432659327515267</v>
      </c>
      <c r="Y121" s="283"/>
      <c r="Z121" s="305">
        <v>60.064</v>
      </c>
      <c r="AA121" s="305">
        <v>46.548999999999999</v>
      </c>
      <c r="AB121" s="283">
        <f t="shared" ref="AB121:AF122" si="221">SUMIF($E$6:$X$6,AB$6,$E121:$X121)</f>
        <v>77.861000000000004</v>
      </c>
      <c r="AC121" s="283">
        <f t="shared" si="221"/>
        <v>57.716000000000001</v>
      </c>
      <c r="AD121" s="283">
        <f t="shared" si="221"/>
        <v>68.516000000000005</v>
      </c>
      <c r="AE121" s="283">
        <f t="shared" si="221"/>
        <v>68.099999999999994</v>
      </c>
      <c r="AF121" s="283">
        <f t="shared" ca="1" si="221"/>
        <v>77.432659327515267</v>
      </c>
      <c r="AG121" s="283">
        <f>AG183*AG11/365</f>
        <v>65.126027397260273</v>
      </c>
      <c r="AH121" s="283">
        <f>AH183*AH11/365</f>
        <v>51.090410958904108</v>
      </c>
      <c r="AI121" s="283"/>
    </row>
    <row r="122" spans="3:35" ht="10.5" customHeight="1">
      <c r="C122" s="281" t="s">
        <v>342</v>
      </c>
      <c r="E122" s="305">
        <v>21.42</v>
      </c>
      <c r="F122" s="305">
        <v>23.661000000000001</v>
      </c>
      <c r="G122" s="305">
        <v>29.488</v>
      </c>
      <c r="H122" s="305">
        <v>30.033999999999999</v>
      </c>
      <c r="I122" s="305">
        <v>36.435000000000002</v>
      </c>
      <c r="J122" s="305">
        <v>21.356999999999999</v>
      </c>
      <c r="K122" s="305">
        <v>23.146999999999998</v>
      </c>
      <c r="L122" s="305">
        <v>26.916</v>
      </c>
      <c r="M122" s="305">
        <v>34.478000000000002</v>
      </c>
      <c r="N122" s="305">
        <v>24.561</v>
      </c>
      <c r="O122" s="305">
        <v>29.201000000000001</v>
      </c>
      <c r="P122" s="384">
        <v>31.806999999999999</v>
      </c>
      <c r="Q122" s="305">
        <v>22.8</v>
      </c>
      <c r="R122" s="305">
        <v>24.27</v>
      </c>
      <c r="S122" s="305">
        <v>26.492999999999999</v>
      </c>
      <c r="T122" s="305">
        <v>28.713999999999999</v>
      </c>
      <c r="U122" s="305">
        <v>34.863999999999997</v>
      </c>
      <c r="V122" s="283">
        <f ca="1">V178*V10</f>
        <v>36.853877834831508</v>
      </c>
      <c r="W122" s="283">
        <f ca="1">W178*W10</f>
        <v>31.817148515868663</v>
      </c>
      <c r="X122" s="283">
        <f ca="1">X178*X10</f>
        <v>36.5880606932934</v>
      </c>
      <c r="Y122" s="283"/>
      <c r="Z122" s="305">
        <v>36.515000000000001</v>
      </c>
      <c r="AA122" s="305">
        <v>31.259</v>
      </c>
      <c r="AB122" s="283">
        <f t="shared" si="221"/>
        <v>30.033999999999999</v>
      </c>
      <c r="AC122" s="283">
        <f t="shared" si="221"/>
        <v>26.916</v>
      </c>
      <c r="AD122" s="283">
        <f t="shared" si="221"/>
        <v>31.806999999999999</v>
      </c>
      <c r="AE122" s="283">
        <f t="shared" si="221"/>
        <v>28.713999999999999</v>
      </c>
      <c r="AF122" s="283">
        <f t="shared" ca="1" si="221"/>
        <v>36.5880606932934</v>
      </c>
      <c r="AG122" s="283">
        <f ca="1">AG178*AG10</f>
        <v>34.59989280083753</v>
      </c>
      <c r="AH122" s="283">
        <f ca="1">AH178*AH10</f>
        <v>18.58909061678699</v>
      </c>
      <c r="AI122" s="283"/>
    </row>
    <row r="123" spans="3:35" ht="10.5" customHeight="1" collapsed="1">
      <c r="C123" s="281" t="s">
        <v>554</v>
      </c>
      <c r="E123" s="282">
        <f>SUM(E124:E127)</f>
        <v>28.893999999999998</v>
      </c>
      <c r="F123" s="282">
        <f t="shared" ref="F123:Z123" si="222">SUM(F124:F127)</f>
        <v>13.507</v>
      </c>
      <c r="G123" s="282">
        <f t="shared" si="222"/>
        <v>24.522999999999996</v>
      </c>
      <c r="H123" s="282">
        <f t="shared" si="222"/>
        <v>19.625</v>
      </c>
      <c r="I123" s="282">
        <f t="shared" si="222"/>
        <v>30.821999999999996</v>
      </c>
      <c r="J123" s="282">
        <f t="shared" si="222"/>
        <v>8.3160000000000007</v>
      </c>
      <c r="K123" s="282">
        <f t="shared" si="222"/>
        <v>45.810999999999993</v>
      </c>
      <c r="L123" s="282">
        <f t="shared" si="222"/>
        <v>10.582000000000001</v>
      </c>
      <c r="M123" s="282">
        <f t="shared" si="222"/>
        <v>17.808</v>
      </c>
      <c r="N123" s="282">
        <f t="shared" si="222"/>
        <v>21.491000000000003</v>
      </c>
      <c r="O123" s="282">
        <f t="shared" si="222"/>
        <v>12.973999999999998</v>
      </c>
      <c r="P123" s="282">
        <f t="shared" si="222"/>
        <v>22.644000000000002</v>
      </c>
      <c r="Q123" s="282">
        <f t="shared" si="222"/>
        <v>13.151999999999999</v>
      </c>
      <c r="R123" s="282">
        <f t="shared" si="222"/>
        <v>19.434000000000001</v>
      </c>
      <c r="S123" s="282">
        <f t="shared" ref="S123:T123" si="223">SUM(S124:S127)</f>
        <v>13.881</v>
      </c>
      <c r="T123" s="282">
        <f t="shared" si="223"/>
        <v>26.858999999999998</v>
      </c>
      <c r="U123" s="282">
        <f t="shared" ref="U123:V123" si="224">SUM(U124:U127)</f>
        <v>21.469000000000001</v>
      </c>
      <c r="V123" s="282">
        <f t="shared" si="224"/>
        <v>21.469000000000001</v>
      </c>
      <c r="W123" s="282">
        <f t="shared" ref="W123:X123" si="225">SUM(W124:W127)</f>
        <v>21.469000000000001</v>
      </c>
      <c r="X123" s="282">
        <f t="shared" si="225"/>
        <v>21.469000000000001</v>
      </c>
      <c r="Y123" s="283"/>
      <c r="Z123" s="282">
        <f t="shared" si="222"/>
        <v>17.87</v>
      </c>
      <c r="AA123" s="282">
        <f t="shared" ref="AA123:AF123" si="226">SUM(AA124:AA127)</f>
        <v>22.035</v>
      </c>
      <c r="AB123" s="282">
        <f t="shared" si="226"/>
        <v>19.625</v>
      </c>
      <c r="AC123" s="282">
        <f t="shared" si="226"/>
        <v>10.582000000000001</v>
      </c>
      <c r="AD123" s="282">
        <f t="shared" si="226"/>
        <v>22.644000000000002</v>
      </c>
      <c r="AE123" s="282">
        <f t="shared" si="226"/>
        <v>26.858999999999998</v>
      </c>
      <c r="AF123" s="282">
        <f t="shared" si="226"/>
        <v>21.469000000000001</v>
      </c>
      <c r="AG123" s="282">
        <f t="shared" ref="AG123:AH123" si="227">SUM(AG124:AG127)</f>
        <v>21.469000000000001</v>
      </c>
      <c r="AH123" s="282">
        <f t="shared" si="227"/>
        <v>21.469000000000001</v>
      </c>
      <c r="AI123" s="283"/>
    </row>
    <row r="124" spans="3:35" ht="10.5" customHeight="1" outlineLevel="1">
      <c r="C124" s="437" t="s">
        <v>555</v>
      </c>
      <c r="D124" s="437"/>
      <c r="E124" s="438">
        <v>7.2729999999999997</v>
      </c>
      <c r="F124" s="438">
        <v>6.1429999999999998</v>
      </c>
      <c r="G124" s="438">
        <v>8.2739999999999991</v>
      </c>
      <c r="H124" s="438">
        <v>7.7270000000000003</v>
      </c>
      <c r="I124" s="438">
        <v>9.109</v>
      </c>
      <c r="J124" s="438">
        <v>1.4339999999999999</v>
      </c>
      <c r="K124" s="438">
        <v>2.16</v>
      </c>
      <c r="L124" s="438">
        <v>4.7759999999999998</v>
      </c>
      <c r="M124" s="438">
        <v>5.8419999999999996</v>
      </c>
      <c r="N124" s="438">
        <v>8.4510000000000005</v>
      </c>
      <c r="O124" s="438">
        <v>7.89</v>
      </c>
      <c r="P124" s="442">
        <v>8.3490000000000002</v>
      </c>
      <c r="Q124" s="438">
        <v>7.8540000000000001</v>
      </c>
      <c r="R124" s="438">
        <v>4.8380000000000001</v>
      </c>
      <c r="S124" s="438">
        <v>8.5570000000000004</v>
      </c>
      <c r="T124" s="438">
        <v>12.305999999999999</v>
      </c>
      <c r="U124" s="438">
        <v>16.128</v>
      </c>
      <c r="V124" s="441">
        <f t="shared" ref="V124:W127" si="228">U124</f>
        <v>16.128</v>
      </c>
      <c r="W124" s="441">
        <f t="shared" si="228"/>
        <v>16.128</v>
      </c>
      <c r="X124" s="441">
        <f t="shared" ref="X124:X127" si="229">W124</f>
        <v>16.128</v>
      </c>
      <c r="Y124" s="283"/>
      <c r="Z124" s="438">
        <v>9.0609999999999999</v>
      </c>
      <c r="AA124" s="438">
        <v>5.9189999999999996</v>
      </c>
      <c r="AB124" s="387">
        <f t="shared" ref="AB124:AF127" si="230">SUMIF($E$6:$X$6,AB$6,$E124:$X124)</f>
        <v>7.7270000000000003</v>
      </c>
      <c r="AC124" s="387">
        <f t="shared" si="230"/>
        <v>4.7759999999999998</v>
      </c>
      <c r="AD124" s="387">
        <f t="shared" si="230"/>
        <v>8.3490000000000002</v>
      </c>
      <c r="AE124" s="387">
        <f t="shared" si="230"/>
        <v>12.305999999999999</v>
      </c>
      <c r="AF124" s="387">
        <f t="shared" si="230"/>
        <v>16.128</v>
      </c>
      <c r="AG124" s="441">
        <f t="shared" ref="AG124:AH127" si="231">AF124</f>
        <v>16.128</v>
      </c>
      <c r="AH124" s="441">
        <f t="shared" si="231"/>
        <v>16.128</v>
      </c>
      <c r="AI124" s="283"/>
    </row>
    <row r="125" spans="3:35" ht="10.5" customHeight="1" outlineLevel="1">
      <c r="C125" s="437" t="s">
        <v>556</v>
      </c>
      <c r="D125" s="437"/>
      <c r="E125" s="438">
        <v>14.555</v>
      </c>
      <c r="F125" s="438">
        <v>5.976</v>
      </c>
      <c r="G125" s="438">
        <v>15.044</v>
      </c>
      <c r="H125" s="438">
        <v>5.9610000000000003</v>
      </c>
      <c r="I125" s="438">
        <v>15.016999999999999</v>
      </c>
      <c r="J125" s="438">
        <v>5.984</v>
      </c>
      <c r="K125" s="438">
        <v>15.039</v>
      </c>
      <c r="L125" s="438">
        <v>5.8040000000000003</v>
      </c>
      <c r="M125" s="438">
        <v>4.3049999999999997</v>
      </c>
      <c r="N125" s="438">
        <v>12.914</v>
      </c>
      <c r="O125" s="438">
        <v>4.9349999999999996</v>
      </c>
      <c r="P125" s="442">
        <v>14.157</v>
      </c>
      <c r="Q125" s="438">
        <v>5.1749999999999998</v>
      </c>
      <c r="R125" s="438">
        <v>14.48</v>
      </c>
      <c r="S125" s="438">
        <v>5.2210000000000001</v>
      </c>
      <c r="T125" s="438">
        <v>14.454000000000001</v>
      </c>
      <c r="U125" s="438">
        <v>5.2320000000000002</v>
      </c>
      <c r="V125" s="441">
        <f t="shared" si="228"/>
        <v>5.2320000000000002</v>
      </c>
      <c r="W125" s="441">
        <f t="shared" si="228"/>
        <v>5.2320000000000002</v>
      </c>
      <c r="X125" s="441">
        <f t="shared" si="229"/>
        <v>5.2320000000000002</v>
      </c>
      <c r="Y125" s="283"/>
      <c r="Z125" s="438">
        <v>5.7450000000000001</v>
      </c>
      <c r="AA125" s="438">
        <v>5.7450000000000001</v>
      </c>
      <c r="AB125" s="387">
        <f t="shared" si="230"/>
        <v>5.9610000000000003</v>
      </c>
      <c r="AC125" s="387">
        <f t="shared" si="230"/>
        <v>5.8040000000000003</v>
      </c>
      <c r="AD125" s="387">
        <f t="shared" si="230"/>
        <v>14.157</v>
      </c>
      <c r="AE125" s="387">
        <f t="shared" si="230"/>
        <v>14.454000000000001</v>
      </c>
      <c r="AF125" s="387">
        <f t="shared" si="230"/>
        <v>5.2320000000000002</v>
      </c>
      <c r="AG125" s="441">
        <f t="shared" si="231"/>
        <v>5.2320000000000002</v>
      </c>
      <c r="AH125" s="441">
        <f t="shared" si="231"/>
        <v>5.2320000000000002</v>
      </c>
      <c r="AI125" s="283"/>
    </row>
    <row r="126" spans="3:35" ht="10.5" customHeight="1" outlineLevel="1">
      <c r="C126" s="437" t="s">
        <v>557</v>
      </c>
      <c r="D126" s="437"/>
      <c r="E126" s="438">
        <v>7.0659999999999998</v>
      </c>
      <c r="F126" s="438">
        <v>1.3879999999999999</v>
      </c>
      <c r="G126" s="438">
        <v>1.2050000000000001</v>
      </c>
      <c r="H126" s="438">
        <v>5.9370000000000003</v>
      </c>
      <c r="I126" s="438">
        <v>6.6959999999999997</v>
      </c>
      <c r="J126" s="438">
        <v>0.89800000000000002</v>
      </c>
      <c r="K126" s="438">
        <v>8.5280000000000005</v>
      </c>
      <c r="L126" s="438">
        <v>2E-3</v>
      </c>
      <c r="M126" s="438">
        <v>7.6609999999999996</v>
      </c>
      <c r="N126" s="438">
        <v>0.126</v>
      </c>
      <c r="O126" s="438">
        <v>0.14899999999999999</v>
      </c>
      <c r="P126" s="442">
        <v>0.13800000000000001</v>
      </c>
      <c r="Q126" s="438">
        <v>0.123</v>
      </c>
      <c r="R126" s="438">
        <v>0.11600000000000001</v>
      </c>
      <c r="S126" s="438">
        <v>0.10299999999999999</v>
      </c>
      <c r="T126" s="438">
        <v>9.9000000000000005E-2</v>
      </c>
      <c r="U126" s="438">
        <v>0.109</v>
      </c>
      <c r="V126" s="441">
        <f t="shared" si="228"/>
        <v>0.109</v>
      </c>
      <c r="W126" s="441">
        <f t="shared" si="228"/>
        <v>0.109</v>
      </c>
      <c r="X126" s="441">
        <f t="shared" si="229"/>
        <v>0.109</v>
      </c>
      <c r="Y126" s="283"/>
      <c r="Z126" s="438">
        <v>3.0640000000000001</v>
      </c>
      <c r="AA126" s="438">
        <v>10.371</v>
      </c>
      <c r="AB126" s="387">
        <f t="shared" si="230"/>
        <v>5.9370000000000003</v>
      </c>
      <c r="AC126" s="387">
        <f t="shared" si="230"/>
        <v>2E-3</v>
      </c>
      <c r="AD126" s="387">
        <f t="shared" si="230"/>
        <v>0.13800000000000001</v>
      </c>
      <c r="AE126" s="387">
        <f t="shared" si="230"/>
        <v>9.9000000000000005E-2</v>
      </c>
      <c r="AF126" s="387">
        <f t="shared" si="230"/>
        <v>0.109</v>
      </c>
      <c r="AG126" s="441">
        <f t="shared" si="231"/>
        <v>0.109</v>
      </c>
      <c r="AH126" s="441">
        <f t="shared" si="231"/>
        <v>0.109</v>
      </c>
      <c r="AI126" s="283"/>
    </row>
    <row r="127" spans="3:35" ht="10.5" customHeight="1" outlineLevel="1">
      <c r="C127" s="437" t="s">
        <v>558</v>
      </c>
      <c r="D127" s="437"/>
      <c r="E127" s="438">
        <v>0</v>
      </c>
      <c r="F127" s="438">
        <v>0</v>
      </c>
      <c r="G127" s="438">
        <v>0</v>
      </c>
      <c r="H127" s="438">
        <v>0</v>
      </c>
      <c r="I127" s="438">
        <v>0</v>
      </c>
      <c r="J127" s="438">
        <v>0</v>
      </c>
      <c r="K127" s="438">
        <v>20.084</v>
      </c>
      <c r="L127" s="438">
        <v>0</v>
      </c>
      <c r="M127" s="438">
        <v>0</v>
      </c>
      <c r="N127" s="438">
        <v>0</v>
      </c>
      <c r="O127" s="438">
        <v>0</v>
      </c>
      <c r="P127" s="442">
        <v>0</v>
      </c>
      <c r="Q127" s="438">
        <v>0</v>
      </c>
      <c r="R127" s="438">
        <v>0</v>
      </c>
      <c r="S127" s="438">
        <v>0</v>
      </c>
      <c r="T127" s="438">
        <v>0</v>
      </c>
      <c r="U127" s="438">
        <v>0</v>
      </c>
      <c r="V127" s="441">
        <f t="shared" si="228"/>
        <v>0</v>
      </c>
      <c r="W127" s="441">
        <f t="shared" si="228"/>
        <v>0</v>
      </c>
      <c r="X127" s="441">
        <f t="shared" si="229"/>
        <v>0</v>
      </c>
      <c r="Y127" s="283"/>
      <c r="Z127" s="438">
        <v>0</v>
      </c>
      <c r="AA127" s="438">
        <v>0</v>
      </c>
      <c r="AB127" s="387">
        <f t="shared" si="230"/>
        <v>0</v>
      </c>
      <c r="AC127" s="387">
        <f t="shared" si="230"/>
        <v>0</v>
      </c>
      <c r="AD127" s="387">
        <f t="shared" si="230"/>
        <v>0</v>
      </c>
      <c r="AE127" s="387">
        <f t="shared" si="230"/>
        <v>0</v>
      </c>
      <c r="AF127" s="387">
        <f t="shared" si="230"/>
        <v>0</v>
      </c>
      <c r="AG127" s="441">
        <f t="shared" si="231"/>
        <v>0</v>
      </c>
      <c r="AH127" s="441">
        <f t="shared" si="231"/>
        <v>0</v>
      </c>
      <c r="AI127" s="283"/>
    </row>
    <row r="128" spans="3:35" ht="10.5" customHeight="1">
      <c r="C128" s="320" t="s">
        <v>348</v>
      </c>
      <c r="E128" s="379">
        <f>SUM(E121:E123)</f>
        <v>101.95000000000002</v>
      </c>
      <c r="F128" s="379">
        <f t="shared" ref="F128:AF128" si="232">SUM(F121:F123)</f>
        <v>91.003000000000014</v>
      </c>
      <c r="G128" s="379">
        <f t="shared" si="232"/>
        <v>119.76599999999999</v>
      </c>
      <c r="H128" s="379">
        <f t="shared" si="232"/>
        <v>127.52000000000001</v>
      </c>
      <c r="I128" s="379">
        <f t="shared" si="232"/>
        <v>128.93700000000001</v>
      </c>
      <c r="J128" s="379">
        <f t="shared" si="232"/>
        <v>99.009</v>
      </c>
      <c r="K128" s="379">
        <f t="shared" si="232"/>
        <v>126.818</v>
      </c>
      <c r="L128" s="379">
        <f t="shared" si="232"/>
        <v>95.213999999999999</v>
      </c>
      <c r="M128" s="379">
        <f t="shared" si="232"/>
        <v>101.72299999999998</v>
      </c>
      <c r="N128" s="379">
        <f t="shared" si="232"/>
        <v>86.840999999999994</v>
      </c>
      <c r="O128" s="379">
        <f t="shared" si="232"/>
        <v>97.49</v>
      </c>
      <c r="P128" s="379">
        <f t="shared" si="232"/>
        <v>122.96700000000001</v>
      </c>
      <c r="Q128" s="379">
        <f t="shared" si="232"/>
        <v>89.082000000000008</v>
      </c>
      <c r="R128" s="768">
        <f t="shared" si="232"/>
        <v>105.887</v>
      </c>
      <c r="S128" s="768">
        <f t="shared" ref="S128:T128" si="233">SUM(S121:S123)</f>
        <v>102.94499999999999</v>
      </c>
      <c r="T128" s="768">
        <f t="shared" si="233"/>
        <v>123.67299999999999</v>
      </c>
      <c r="U128" s="768">
        <f t="shared" ref="U128:V128" si="234">SUM(U121:U123)</f>
        <v>130.119</v>
      </c>
      <c r="V128" s="379">
        <f t="shared" ca="1" si="234"/>
        <v>132.91735435948709</v>
      </c>
      <c r="W128" s="379">
        <f t="shared" ref="W128:X128" ca="1" si="235">SUM(W121:W123)</f>
        <v>128.07559303416033</v>
      </c>
      <c r="X128" s="379">
        <f t="shared" ca="1" si="235"/>
        <v>135.48972002080868</v>
      </c>
      <c r="Y128" s="283"/>
      <c r="Z128" s="379">
        <f t="shared" si="232"/>
        <v>114.44900000000001</v>
      </c>
      <c r="AA128" s="379">
        <f t="shared" si="232"/>
        <v>99.842999999999989</v>
      </c>
      <c r="AB128" s="379">
        <f t="shared" si="232"/>
        <v>127.52000000000001</v>
      </c>
      <c r="AC128" s="379">
        <f t="shared" si="232"/>
        <v>95.213999999999999</v>
      </c>
      <c r="AD128" s="379">
        <f t="shared" si="232"/>
        <v>122.96700000000001</v>
      </c>
      <c r="AE128" s="379">
        <f t="shared" si="232"/>
        <v>123.67299999999999</v>
      </c>
      <c r="AF128" s="379">
        <f t="shared" ca="1" si="232"/>
        <v>135.48972002080868</v>
      </c>
      <c r="AG128" s="379">
        <f t="shared" ref="AG128:AH128" ca="1" si="236">SUM(AG121:AG123)</f>
        <v>121.1949201980978</v>
      </c>
      <c r="AH128" s="379">
        <f t="shared" ca="1" si="236"/>
        <v>91.148501575691085</v>
      </c>
      <c r="AI128" s="283"/>
    </row>
    <row r="129" spans="3:35" ht="10.5" customHeight="1">
      <c r="P129" s="399"/>
      <c r="S129" s="283"/>
      <c r="T129" s="283"/>
      <c r="U129" s="283"/>
      <c r="Y129" s="283"/>
      <c r="AI129" s="283"/>
    </row>
    <row r="130" spans="3:35" s="283" customFormat="1" ht="10.5" customHeight="1" collapsed="1">
      <c r="C130" s="283" t="s">
        <v>344</v>
      </c>
      <c r="E130" s="283">
        <f>E131+E132</f>
        <v>12.763</v>
      </c>
      <c r="F130" s="283">
        <f t="shared" ref="F130:R130" si="237">F131+F132</f>
        <v>14.771999999999998</v>
      </c>
      <c r="G130" s="283">
        <f t="shared" si="237"/>
        <v>14.707000000000001</v>
      </c>
      <c r="H130" s="283">
        <f t="shared" si="237"/>
        <v>13.135000000000002</v>
      </c>
      <c r="I130" s="283">
        <f t="shared" si="237"/>
        <v>15.16</v>
      </c>
      <c r="J130" s="283">
        <f t="shared" si="237"/>
        <v>13.405000000000001</v>
      </c>
      <c r="K130" s="283">
        <f t="shared" si="237"/>
        <v>14.273</v>
      </c>
      <c r="L130" s="283">
        <f t="shared" si="237"/>
        <v>12.643000000000001</v>
      </c>
      <c r="M130" s="283">
        <f t="shared" si="237"/>
        <v>11.201000000000001</v>
      </c>
      <c r="N130" s="283">
        <f t="shared" si="237"/>
        <v>12.802</v>
      </c>
      <c r="O130" s="283">
        <f t="shared" si="237"/>
        <v>14.07</v>
      </c>
      <c r="P130" s="283">
        <f t="shared" si="237"/>
        <v>15.764999999999999</v>
      </c>
      <c r="Q130" s="283">
        <f t="shared" si="237"/>
        <v>17.010000000000002</v>
      </c>
      <c r="R130" s="283">
        <f t="shared" si="237"/>
        <v>15.128</v>
      </c>
      <c r="S130" s="283">
        <f t="shared" ref="S130:T130" si="238">S131+S132</f>
        <v>14.177</v>
      </c>
      <c r="T130" s="283">
        <f t="shared" si="238"/>
        <v>13.388</v>
      </c>
      <c r="U130" s="283">
        <f t="shared" ref="U130" si="239">U131+U132</f>
        <v>8.5350000000000001</v>
      </c>
      <c r="V130" s="319">
        <f t="shared" ref="V130:X130" si="240">U130</f>
        <v>8.5350000000000001</v>
      </c>
      <c r="W130" s="319">
        <f t="shared" si="240"/>
        <v>8.5350000000000001</v>
      </c>
      <c r="X130" s="319">
        <f t="shared" si="240"/>
        <v>8.5350000000000001</v>
      </c>
      <c r="Z130" s="283">
        <f t="shared" ref="Z130:AE130" si="241">Z131+Z132</f>
        <v>11.491</v>
      </c>
      <c r="AA130" s="283">
        <f t="shared" si="241"/>
        <v>11.800999999999998</v>
      </c>
      <c r="AB130" s="283">
        <f t="shared" si="241"/>
        <v>13.135000000000002</v>
      </c>
      <c r="AC130" s="283">
        <f t="shared" si="241"/>
        <v>12.643000000000001</v>
      </c>
      <c r="AD130" s="283">
        <f t="shared" si="241"/>
        <v>15.764999999999999</v>
      </c>
      <c r="AE130" s="283">
        <f t="shared" si="241"/>
        <v>13.388</v>
      </c>
      <c r="AF130" s="283">
        <f t="shared" ref="AF130" si="242">SUMIF($E$6:$X$6,AF$6,$E130:$X130)</f>
        <v>8.5350000000000001</v>
      </c>
      <c r="AG130" s="319">
        <f>AF130</f>
        <v>8.5350000000000001</v>
      </c>
      <c r="AH130" s="319">
        <f>AG130</f>
        <v>8.5350000000000001</v>
      </c>
    </row>
    <row r="131" spans="3:35" s="283" customFormat="1" ht="10.5" customHeight="1" outlineLevel="1">
      <c r="C131" s="478" t="s">
        <v>369</v>
      </c>
      <c r="D131" s="387"/>
      <c r="E131" s="388">
        <v>5.6689999999999996</v>
      </c>
      <c r="F131" s="388">
        <v>6.0149999999999997</v>
      </c>
      <c r="G131" s="388">
        <v>6.069</v>
      </c>
      <c r="H131" s="388">
        <v>5.2640000000000002</v>
      </c>
      <c r="I131" s="388">
        <v>5.8579999999999997</v>
      </c>
      <c r="J131" s="388">
        <v>5.3920000000000003</v>
      </c>
      <c r="K131" s="388">
        <v>5.7039999999999997</v>
      </c>
      <c r="L131" s="388">
        <v>5.4290000000000003</v>
      </c>
      <c r="M131" s="388">
        <v>5.391</v>
      </c>
      <c r="N131" s="388">
        <v>5.7450000000000001</v>
      </c>
      <c r="O131" s="388">
        <v>6.1870000000000003</v>
      </c>
      <c r="P131" s="388">
        <v>6.4909999999999997</v>
      </c>
      <c r="Q131" s="388">
        <v>6.7060000000000004</v>
      </c>
      <c r="R131" s="388">
        <v>6.2229999999999999</v>
      </c>
      <c r="S131" s="388">
        <v>5.6369999999999996</v>
      </c>
      <c r="T131" s="388">
        <v>5.6120000000000001</v>
      </c>
      <c r="U131" s="388">
        <v>8.5350000000000001</v>
      </c>
      <c r="V131" s="388">
        <v>0</v>
      </c>
      <c r="W131" s="388">
        <v>0</v>
      </c>
      <c r="X131" s="388">
        <v>0</v>
      </c>
      <c r="Z131" s="388">
        <v>5.6529999999999996</v>
      </c>
      <c r="AA131" s="388">
        <v>5.6079999999999997</v>
      </c>
      <c r="AB131" s="387">
        <f t="shared" ref="AB131:AF133" si="243">SUMIF($E$6:$X$6,AB$6,$E131:$X131)</f>
        <v>5.2640000000000002</v>
      </c>
      <c r="AC131" s="387">
        <f t="shared" si="243"/>
        <v>5.4290000000000003</v>
      </c>
      <c r="AD131" s="387">
        <f t="shared" si="243"/>
        <v>6.4909999999999997</v>
      </c>
      <c r="AE131" s="387">
        <f t="shared" si="243"/>
        <v>5.6120000000000001</v>
      </c>
      <c r="AF131" s="387">
        <f t="shared" si="243"/>
        <v>0</v>
      </c>
      <c r="AG131" s="388">
        <v>0</v>
      </c>
      <c r="AH131" s="388">
        <v>0</v>
      </c>
    </row>
    <row r="132" spans="3:35" s="283" customFormat="1" ht="10.5" customHeight="1" outlineLevel="1">
      <c r="C132" s="478" t="s">
        <v>370</v>
      </c>
      <c r="D132" s="387"/>
      <c r="E132" s="388">
        <v>7.0940000000000003</v>
      </c>
      <c r="F132" s="388">
        <v>8.7569999999999997</v>
      </c>
      <c r="G132" s="388">
        <v>8.6379999999999999</v>
      </c>
      <c r="H132" s="388">
        <v>7.8710000000000004</v>
      </c>
      <c r="I132" s="388">
        <v>9.3019999999999996</v>
      </c>
      <c r="J132" s="388">
        <v>8.0129999999999999</v>
      </c>
      <c r="K132" s="388">
        <v>8.5690000000000008</v>
      </c>
      <c r="L132" s="388">
        <v>7.2140000000000004</v>
      </c>
      <c r="M132" s="388">
        <v>5.81</v>
      </c>
      <c r="N132" s="388">
        <v>7.0570000000000004</v>
      </c>
      <c r="O132" s="388">
        <v>7.883</v>
      </c>
      <c r="P132" s="388">
        <v>9.2739999999999991</v>
      </c>
      <c r="Q132" s="388">
        <v>10.304</v>
      </c>
      <c r="R132" s="388">
        <v>8.9049999999999994</v>
      </c>
      <c r="S132" s="388">
        <v>8.5399999999999991</v>
      </c>
      <c r="T132" s="388">
        <v>7.7759999999999998</v>
      </c>
      <c r="U132" s="388">
        <v>0</v>
      </c>
      <c r="V132" s="388">
        <v>0</v>
      </c>
      <c r="W132" s="388">
        <v>0</v>
      </c>
      <c r="X132" s="388">
        <v>0</v>
      </c>
      <c r="Z132" s="388">
        <v>5.8380000000000001</v>
      </c>
      <c r="AA132" s="388">
        <v>6.1929999999999996</v>
      </c>
      <c r="AB132" s="387">
        <f t="shared" si="243"/>
        <v>7.8710000000000004</v>
      </c>
      <c r="AC132" s="387">
        <f t="shared" si="243"/>
        <v>7.2140000000000004</v>
      </c>
      <c r="AD132" s="387">
        <f t="shared" si="243"/>
        <v>9.2739999999999991</v>
      </c>
      <c r="AE132" s="387">
        <f t="shared" si="243"/>
        <v>7.7759999999999998</v>
      </c>
      <c r="AF132" s="387">
        <f t="shared" si="243"/>
        <v>0</v>
      </c>
      <c r="AG132" s="388">
        <v>0</v>
      </c>
      <c r="AH132" s="388">
        <v>0</v>
      </c>
    </row>
    <row r="133" spans="3:35" s="283" customFormat="1" ht="10.5" customHeight="1">
      <c r="C133" s="283" t="s">
        <v>345</v>
      </c>
      <c r="E133" s="283">
        <f>E134+E135</f>
        <v>0</v>
      </c>
      <c r="F133" s="283">
        <f t="shared" ref="F133:R133" si="244">F134+F135</f>
        <v>0</v>
      </c>
      <c r="G133" s="283">
        <f t="shared" si="244"/>
        <v>0</v>
      </c>
      <c r="H133" s="283">
        <f t="shared" si="244"/>
        <v>0</v>
      </c>
      <c r="I133" s="283">
        <f t="shared" si="244"/>
        <v>20.664999999999999</v>
      </c>
      <c r="J133" s="283">
        <f t="shared" si="244"/>
        <v>19.038</v>
      </c>
      <c r="K133" s="283">
        <f t="shared" si="244"/>
        <v>17.329999999999998</v>
      </c>
      <c r="L133" s="283">
        <f t="shared" si="244"/>
        <v>16.398</v>
      </c>
      <c r="M133" s="283">
        <f t="shared" si="244"/>
        <v>14.930999999999999</v>
      </c>
      <c r="N133" s="283">
        <f t="shared" si="244"/>
        <v>13.241</v>
      </c>
      <c r="O133" s="283">
        <f t="shared" si="244"/>
        <v>11.945</v>
      </c>
      <c r="P133" s="283">
        <f t="shared" si="244"/>
        <v>10.641999999999999</v>
      </c>
      <c r="Q133" s="283">
        <f t="shared" si="244"/>
        <v>9.7859999999999996</v>
      </c>
      <c r="R133" s="283">
        <f t="shared" si="244"/>
        <v>8.9080000000000013</v>
      </c>
      <c r="S133" s="283">
        <f t="shared" ref="S133:T133" si="245">S134+S135</f>
        <v>8.2050000000000001</v>
      </c>
      <c r="T133" s="283">
        <f t="shared" si="245"/>
        <v>12.436</v>
      </c>
      <c r="U133" s="283">
        <f t="shared" ref="U133" si="246">U134+U135</f>
        <v>18.385000000000002</v>
      </c>
      <c r="V133" s="319">
        <f t="shared" ref="V133:X133" si="247">U133</f>
        <v>18.385000000000002</v>
      </c>
      <c r="W133" s="319">
        <f t="shared" si="247"/>
        <v>18.385000000000002</v>
      </c>
      <c r="X133" s="319">
        <f t="shared" si="247"/>
        <v>18.385000000000002</v>
      </c>
      <c r="Z133" s="283">
        <f>Z134+Z135</f>
        <v>0</v>
      </c>
      <c r="AA133" s="283">
        <f>AA134+AA135</f>
        <v>0</v>
      </c>
      <c r="AB133" s="283">
        <f>AB134+AB135</f>
        <v>0</v>
      </c>
      <c r="AC133" s="283">
        <f>AC134+AC135</f>
        <v>16.398</v>
      </c>
      <c r="AD133" s="283">
        <f>AD134+AD135</f>
        <v>10.641999999999999</v>
      </c>
      <c r="AE133" s="283">
        <f>SUMIF($E$6:$T$6,AE$6,$E133:$T133)</f>
        <v>12.436</v>
      </c>
      <c r="AF133" s="283">
        <f t="shared" si="243"/>
        <v>18.385000000000002</v>
      </c>
      <c r="AG133" s="319">
        <f>AF133</f>
        <v>18.385000000000002</v>
      </c>
      <c r="AH133" s="319">
        <f>AG133</f>
        <v>18.385000000000002</v>
      </c>
    </row>
    <row r="134" spans="3:35" s="283" customFormat="1" ht="10.5" customHeight="1" outlineLevel="1">
      <c r="C134" s="478" t="s">
        <v>371</v>
      </c>
      <c r="D134" s="387"/>
      <c r="E134" s="388">
        <v>0</v>
      </c>
      <c r="F134" s="388">
        <v>0</v>
      </c>
      <c r="G134" s="388">
        <v>0</v>
      </c>
      <c r="H134" s="388">
        <v>0</v>
      </c>
      <c r="I134" s="388">
        <v>6.7009999999999996</v>
      </c>
      <c r="J134" s="388">
        <v>6.6280000000000001</v>
      </c>
      <c r="K134" s="388">
        <v>5.8639999999999999</v>
      </c>
      <c r="L134" s="388">
        <v>5.58</v>
      </c>
      <c r="M134" s="388">
        <v>4.7919999999999998</v>
      </c>
      <c r="N134" s="388">
        <v>4.1619999999999999</v>
      </c>
      <c r="O134" s="388">
        <v>3.59</v>
      </c>
      <c r="P134" s="388">
        <v>3.008</v>
      </c>
      <c r="Q134" s="388">
        <v>2.8319999999999999</v>
      </c>
      <c r="R134" s="388">
        <v>2.54</v>
      </c>
      <c r="S134" s="388">
        <v>2.3849999999999998</v>
      </c>
      <c r="T134" s="388">
        <v>2.4860000000000002</v>
      </c>
      <c r="U134" s="388">
        <v>0</v>
      </c>
      <c r="V134" s="388">
        <v>0</v>
      </c>
      <c r="W134" s="388">
        <v>0</v>
      </c>
      <c r="X134" s="388">
        <v>0</v>
      </c>
      <c r="Z134" s="388">
        <v>0</v>
      </c>
      <c r="AA134" s="388">
        <v>0</v>
      </c>
      <c r="AB134" s="387">
        <f t="shared" ref="AB134:AF136" si="248">SUMIF($E$6:$X$6,AB$6,$E134:$X134)</f>
        <v>0</v>
      </c>
      <c r="AC134" s="387">
        <f t="shared" si="248"/>
        <v>5.58</v>
      </c>
      <c r="AD134" s="387">
        <f t="shared" si="248"/>
        <v>3.008</v>
      </c>
      <c r="AE134" s="387">
        <f t="shared" si="248"/>
        <v>2.4860000000000002</v>
      </c>
      <c r="AF134" s="387">
        <f t="shared" si="248"/>
        <v>0</v>
      </c>
      <c r="AG134" s="388">
        <v>0</v>
      </c>
      <c r="AH134" s="388">
        <v>0</v>
      </c>
    </row>
    <row r="135" spans="3:35" s="283" customFormat="1" ht="10.5" customHeight="1" outlineLevel="1">
      <c r="C135" s="478" t="s">
        <v>372</v>
      </c>
      <c r="D135" s="387"/>
      <c r="E135" s="388">
        <v>0</v>
      </c>
      <c r="F135" s="388">
        <v>0</v>
      </c>
      <c r="G135" s="388">
        <v>0</v>
      </c>
      <c r="H135" s="388">
        <v>0</v>
      </c>
      <c r="I135" s="388">
        <v>13.964</v>
      </c>
      <c r="J135" s="388">
        <v>12.41</v>
      </c>
      <c r="K135" s="388">
        <v>11.465999999999999</v>
      </c>
      <c r="L135" s="388">
        <v>10.818</v>
      </c>
      <c r="M135" s="388">
        <v>10.138999999999999</v>
      </c>
      <c r="N135" s="388">
        <v>9.0790000000000006</v>
      </c>
      <c r="O135" s="388">
        <v>8.3550000000000004</v>
      </c>
      <c r="P135" s="388">
        <v>7.6340000000000003</v>
      </c>
      <c r="Q135" s="388">
        <v>6.9539999999999997</v>
      </c>
      <c r="R135" s="388">
        <v>6.3680000000000003</v>
      </c>
      <c r="S135" s="388">
        <v>5.82</v>
      </c>
      <c r="T135" s="388">
        <v>9.9499999999999993</v>
      </c>
      <c r="U135" s="388">
        <v>18.385000000000002</v>
      </c>
      <c r="V135" s="388">
        <v>0</v>
      </c>
      <c r="W135" s="388">
        <v>0</v>
      </c>
      <c r="X135" s="388">
        <v>0</v>
      </c>
      <c r="Z135" s="388">
        <v>0</v>
      </c>
      <c r="AA135" s="388">
        <v>0</v>
      </c>
      <c r="AB135" s="387">
        <f t="shared" si="248"/>
        <v>0</v>
      </c>
      <c r="AC135" s="387">
        <f t="shared" si="248"/>
        <v>10.818</v>
      </c>
      <c r="AD135" s="387">
        <f t="shared" si="248"/>
        <v>7.6340000000000003</v>
      </c>
      <c r="AE135" s="387">
        <f t="shared" si="248"/>
        <v>9.9499999999999993</v>
      </c>
      <c r="AF135" s="387">
        <f t="shared" si="248"/>
        <v>0</v>
      </c>
      <c r="AG135" s="388">
        <v>0</v>
      </c>
      <c r="AH135" s="388">
        <v>0</v>
      </c>
    </row>
    <row r="136" spans="3:35" s="283" customFormat="1" ht="10.5" customHeight="1">
      <c r="C136" s="283" t="s">
        <v>346</v>
      </c>
      <c r="E136" s="283">
        <f>E137+E138</f>
        <v>87.201999999999998</v>
      </c>
      <c r="F136" s="283">
        <f t="shared" ref="F136:R136" si="249">F137+F138</f>
        <v>86.417000000000002</v>
      </c>
      <c r="G136" s="283">
        <f t="shared" si="249"/>
        <v>105.93499999999999</v>
      </c>
      <c r="H136" s="283">
        <f t="shared" si="249"/>
        <v>108.389</v>
      </c>
      <c r="I136" s="283">
        <f t="shared" si="249"/>
        <v>109.51100000000001</v>
      </c>
      <c r="J136" s="283">
        <f t="shared" si="249"/>
        <v>110.60599999999999</v>
      </c>
      <c r="K136" s="283">
        <f t="shared" si="249"/>
        <v>111.27799999999999</v>
      </c>
      <c r="L136" s="283">
        <f t="shared" si="249"/>
        <v>108.37400000000001</v>
      </c>
      <c r="M136" s="283">
        <f t="shared" si="249"/>
        <v>102.786</v>
      </c>
      <c r="N136" s="283">
        <f t="shared" si="249"/>
        <v>104.55799999999999</v>
      </c>
      <c r="O136" s="283">
        <f t="shared" si="249"/>
        <v>105.964</v>
      </c>
      <c r="P136" s="283">
        <f t="shared" si="249"/>
        <v>116.04799999999999</v>
      </c>
      <c r="Q136" s="283">
        <f t="shared" si="249"/>
        <v>120.26300000000001</v>
      </c>
      <c r="R136" s="283">
        <f t="shared" si="249"/>
        <v>120.645</v>
      </c>
      <c r="S136" s="283">
        <f t="shared" ref="S136:T136" si="250">S137+S138</f>
        <v>119.706</v>
      </c>
      <c r="T136" s="283">
        <f t="shared" si="250"/>
        <v>113.23099999999999</v>
      </c>
      <c r="U136" s="283">
        <f t="shared" ref="U136" si="251">U137+U138</f>
        <v>114.20599999999999</v>
      </c>
      <c r="V136" s="283">
        <f ca="1">V179*V10</f>
        <v>111.67841768130759</v>
      </c>
      <c r="W136" s="283">
        <f ca="1">W179*W10</f>
        <v>106.05716171956222</v>
      </c>
      <c r="X136" s="283">
        <f ca="1">X179*X10</f>
        <v>110.87291119179818</v>
      </c>
      <c r="Z136" s="283">
        <f t="shared" ref="Z136:AE136" si="252">Z137+Z138</f>
        <v>85.580000000000013</v>
      </c>
      <c r="AA136" s="283">
        <f t="shared" si="252"/>
        <v>86.045000000000002</v>
      </c>
      <c r="AB136" s="283">
        <f t="shared" si="252"/>
        <v>108.389</v>
      </c>
      <c r="AC136" s="283">
        <f t="shared" si="252"/>
        <v>108.37400000000001</v>
      </c>
      <c r="AD136" s="283">
        <f t="shared" si="252"/>
        <v>116.04799999999999</v>
      </c>
      <c r="AE136" s="283">
        <f t="shared" si="252"/>
        <v>113.23099999999999</v>
      </c>
      <c r="AF136" s="283">
        <f t="shared" ca="1" si="248"/>
        <v>110.87291119179818</v>
      </c>
      <c r="AG136" s="283">
        <f ca="1">AG179*AG10</f>
        <v>108.12466500261728</v>
      </c>
      <c r="AH136" s="283">
        <f ca="1">AH179*AH10</f>
        <v>111.53454370072193</v>
      </c>
    </row>
    <row r="137" spans="3:35" s="283" customFormat="1" ht="10.5" customHeight="1" outlineLevel="1">
      <c r="C137" s="478" t="s">
        <v>375</v>
      </c>
      <c r="D137" s="387"/>
      <c r="E137" s="388">
        <v>8.3149999999999995</v>
      </c>
      <c r="F137" s="388">
        <v>8.3149999999999995</v>
      </c>
      <c r="G137" s="388">
        <v>6.6210000000000004</v>
      </c>
      <c r="H137" s="388">
        <v>3.41</v>
      </c>
      <c r="I137" s="388">
        <v>5.3250000000000002</v>
      </c>
      <c r="J137" s="388">
        <v>6.8239999999999998</v>
      </c>
      <c r="K137" s="388">
        <v>7.4569999999999999</v>
      </c>
      <c r="L137" s="388">
        <v>4.5810000000000004</v>
      </c>
      <c r="M137" s="388">
        <v>5.2770000000000001</v>
      </c>
      <c r="N137" s="388">
        <v>5.109</v>
      </c>
      <c r="O137" s="388">
        <v>5.8920000000000003</v>
      </c>
      <c r="P137" s="388">
        <v>5.5819999999999999</v>
      </c>
      <c r="Q137" s="388">
        <v>6.5919999999999996</v>
      </c>
      <c r="R137" s="388">
        <v>7.9939999999999998</v>
      </c>
      <c r="S137" s="388">
        <v>11.036</v>
      </c>
      <c r="T137" s="388">
        <v>9.2590000000000003</v>
      </c>
      <c r="U137" s="388">
        <v>10.593999999999999</v>
      </c>
      <c r="V137" s="388">
        <v>0</v>
      </c>
      <c r="W137" s="388">
        <v>0</v>
      </c>
      <c r="X137" s="388">
        <v>0</v>
      </c>
      <c r="Z137" s="388">
        <v>5.6529999999999996</v>
      </c>
      <c r="AA137" s="388">
        <v>6.6790000000000003</v>
      </c>
      <c r="AB137" s="387">
        <f t="shared" ref="AB137:AF145" si="253">SUMIF($E$6:$X$6,AB$6,$E137:$X137)</f>
        <v>3.41</v>
      </c>
      <c r="AC137" s="387">
        <f t="shared" si="253"/>
        <v>4.5810000000000004</v>
      </c>
      <c r="AD137" s="387">
        <f t="shared" si="253"/>
        <v>5.5819999999999999</v>
      </c>
      <c r="AE137" s="395">
        <f t="shared" si="253"/>
        <v>9.2590000000000003</v>
      </c>
      <c r="AF137" s="388">
        <f t="shared" si="253"/>
        <v>0</v>
      </c>
      <c r="AG137" s="388">
        <v>0</v>
      </c>
      <c r="AH137" s="388">
        <v>0</v>
      </c>
    </row>
    <row r="138" spans="3:35" s="283" customFormat="1" ht="10.5" customHeight="1" outlineLevel="1">
      <c r="C138" s="478" t="s">
        <v>376</v>
      </c>
      <c r="D138" s="387"/>
      <c r="E138" s="388">
        <v>78.887</v>
      </c>
      <c r="F138" s="388">
        <v>78.102000000000004</v>
      </c>
      <c r="G138" s="388">
        <v>99.313999999999993</v>
      </c>
      <c r="H138" s="388">
        <v>104.979</v>
      </c>
      <c r="I138" s="388">
        <v>104.18600000000001</v>
      </c>
      <c r="J138" s="388">
        <v>103.782</v>
      </c>
      <c r="K138" s="388">
        <v>103.821</v>
      </c>
      <c r="L138" s="388">
        <v>103.79300000000001</v>
      </c>
      <c r="M138" s="388">
        <v>97.509</v>
      </c>
      <c r="N138" s="388">
        <v>99.448999999999998</v>
      </c>
      <c r="O138" s="388">
        <v>100.072</v>
      </c>
      <c r="P138" s="388">
        <v>110.46599999999999</v>
      </c>
      <c r="Q138" s="388">
        <v>113.67100000000001</v>
      </c>
      <c r="R138" s="388">
        <v>112.651</v>
      </c>
      <c r="S138" s="388">
        <v>108.67</v>
      </c>
      <c r="T138" s="388">
        <v>103.97199999999999</v>
      </c>
      <c r="U138" s="388">
        <v>103.61199999999999</v>
      </c>
      <c r="V138" s="388">
        <v>0</v>
      </c>
      <c r="W138" s="388">
        <v>0</v>
      </c>
      <c r="X138" s="388">
        <v>0</v>
      </c>
      <c r="Z138" s="388">
        <v>79.927000000000007</v>
      </c>
      <c r="AA138" s="388">
        <v>79.366</v>
      </c>
      <c r="AB138" s="387">
        <f t="shared" si="253"/>
        <v>104.979</v>
      </c>
      <c r="AC138" s="387">
        <f t="shared" si="253"/>
        <v>103.79300000000001</v>
      </c>
      <c r="AD138" s="387">
        <f t="shared" si="253"/>
        <v>110.46599999999999</v>
      </c>
      <c r="AE138" s="395">
        <f t="shared" si="253"/>
        <v>103.97199999999999</v>
      </c>
      <c r="AF138" s="388">
        <f t="shared" si="253"/>
        <v>0</v>
      </c>
      <c r="AG138" s="388">
        <v>0</v>
      </c>
      <c r="AH138" s="388">
        <v>0</v>
      </c>
    </row>
    <row r="139" spans="3:35" s="283" customFormat="1" ht="10.5" customHeight="1">
      <c r="C139" s="283" t="s">
        <v>347</v>
      </c>
      <c r="E139" s="282">
        <f>E140+E141</f>
        <v>0</v>
      </c>
      <c r="F139" s="282">
        <f t="shared" ref="F139:R139" si="254">F140+F141</f>
        <v>0</v>
      </c>
      <c r="G139" s="282">
        <f t="shared" si="254"/>
        <v>0</v>
      </c>
      <c r="H139" s="282">
        <f t="shared" si="254"/>
        <v>0</v>
      </c>
      <c r="I139" s="282">
        <f t="shared" si="254"/>
        <v>0</v>
      </c>
      <c r="J139" s="282">
        <f t="shared" si="254"/>
        <v>0</v>
      </c>
      <c r="K139" s="282">
        <f t="shared" si="254"/>
        <v>0</v>
      </c>
      <c r="L139" s="282">
        <f t="shared" si="254"/>
        <v>6.17</v>
      </c>
      <c r="M139" s="282">
        <f t="shared" si="254"/>
        <v>0</v>
      </c>
      <c r="N139" s="282">
        <f t="shared" si="254"/>
        <v>19.061</v>
      </c>
      <c r="O139" s="282">
        <f t="shared" si="254"/>
        <v>12.231999999999999</v>
      </c>
      <c r="P139" s="282">
        <f t="shared" si="254"/>
        <v>11.737</v>
      </c>
      <c r="Q139" s="282">
        <f t="shared" si="254"/>
        <v>3.9060000000000001</v>
      </c>
      <c r="R139" s="282">
        <f t="shared" si="254"/>
        <v>13.861000000000001</v>
      </c>
      <c r="S139" s="282">
        <f t="shared" ref="S139:T139" si="255">S140+S141</f>
        <v>4.931</v>
      </c>
      <c r="T139" s="282">
        <f t="shared" si="255"/>
        <v>37.881</v>
      </c>
      <c r="U139" s="282">
        <f t="shared" ref="U139" si="256">U140+U141</f>
        <v>82.394000000000005</v>
      </c>
      <c r="V139" s="319">
        <f t="shared" ref="V139:X139" si="257">U139</f>
        <v>82.394000000000005</v>
      </c>
      <c r="W139" s="319">
        <f t="shared" si="257"/>
        <v>82.394000000000005</v>
      </c>
      <c r="X139" s="319">
        <f t="shared" si="257"/>
        <v>82.394000000000005</v>
      </c>
      <c r="Z139" s="282">
        <f t="shared" ref="Z139:AE139" si="258">Z140+Z141</f>
        <v>0</v>
      </c>
      <c r="AA139" s="282">
        <f t="shared" si="258"/>
        <v>0</v>
      </c>
      <c r="AB139" s="282">
        <f t="shared" si="258"/>
        <v>0</v>
      </c>
      <c r="AC139" s="282">
        <f t="shared" si="258"/>
        <v>6.17</v>
      </c>
      <c r="AD139" s="282">
        <f t="shared" si="258"/>
        <v>11.737</v>
      </c>
      <c r="AE139" s="282">
        <f t="shared" si="258"/>
        <v>37.881</v>
      </c>
      <c r="AF139" s="283">
        <f t="shared" si="253"/>
        <v>82.394000000000005</v>
      </c>
      <c r="AG139" s="319">
        <f>AF139</f>
        <v>82.394000000000005</v>
      </c>
      <c r="AH139" s="319">
        <f>AG139</f>
        <v>82.394000000000005</v>
      </c>
    </row>
    <row r="140" spans="3:35" s="283" customFormat="1" ht="10.5" customHeight="1" outlineLevel="1">
      <c r="C140" s="478" t="s">
        <v>373</v>
      </c>
      <c r="D140" s="387"/>
      <c r="E140" s="388">
        <v>0</v>
      </c>
      <c r="F140" s="388">
        <v>0</v>
      </c>
      <c r="G140" s="388">
        <v>0</v>
      </c>
      <c r="H140" s="388">
        <v>0</v>
      </c>
      <c r="I140" s="388">
        <v>0</v>
      </c>
      <c r="J140" s="388">
        <v>0</v>
      </c>
      <c r="K140" s="388">
        <v>0</v>
      </c>
      <c r="L140" s="388">
        <v>6.17</v>
      </c>
      <c r="M140" s="388">
        <v>0</v>
      </c>
      <c r="N140" s="388">
        <v>13.779</v>
      </c>
      <c r="O140" s="388">
        <v>12.231999999999999</v>
      </c>
      <c r="P140" s="388">
        <v>11.737</v>
      </c>
      <c r="Q140" s="388">
        <v>3.9060000000000001</v>
      </c>
      <c r="R140" s="388">
        <v>6.7569999999999997</v>
      </c>
      <c r="S140" s="388">
        <v>4.1790000000000003</v>
      </c>
      <c r="T140" s="388">
        <v>19.353000000000002</v>
      </c>
      <c r="U140" s="388">
        <v>38.991999999999997</v>
      </c>
      <c r="V140" s="388">
        <v>0</v>
      </c>
      <c r="W140" s="388">
        <v>0</v>
      </c>
      <c r="X140" s="388">
        <v>0</v>
      </c>
      <c r="Z140" s="388">
        <v>0</v>
      </c>
      <c r="AA140" s="388">
        <v>0</v>
      </c>
      <c r="AB140" s="387">
        <f t="shared" si="253"/>
        <v>0</v>
      </c>
      <c r="AC140" s="387">
        <f t="shared" si="253"/>
        <v>6.17</v>
      </c>
      <c r="AD140" s="387">
        <f t="shared" si="253"/>
        <v>11.737</v>
      </c>
      <c r="AE140" s="395">
        <f t="shared" si="253"/>
        <v>19.353000000000002</v>
      </c>
      <c r="AF140" s="388">
        <f t="shared" si="253"/>
        <v>0</v>
      </c>
      <c r="AG140" s="388">
        <v>0</v>
      </c>
      <c r="AH140" s="388">
        <v>0</v>
      </c>
    </row>
    <row r="141" spans="3:35" s="283" customFormat="1" ht="10.5" customHeight="1" outlineLevel="1">
      <c r="C141" s="478" t="s">
        <v>374</v>
      </c>
      <c r="D141" s="387"/>
      <c r="E141" s="388">
        <v>0</v>
      </c>
      <c r="F141" s="388">
        <v>0</v>
      </c>
      <c r="G141" s="388">
        <v>0</v>
      </c>
      <c r="H141" s="388">
        <v>0</v>
      </c>
      <c r="I141" s="388">
        <v>0</v>
      </c>
      <c r="J141" s="388">
        <v>0</v>
      </c>
      <c r="K141" s="388">
        <v>0</v>
      </c>
      <c r="L141" s="388">
        <v>0</v>
      </c>
      <c r="M141" s="388">
        <v>0</v>
      </c>
      <c r="N141" s="388">
        <v>5.282</v>
      </c>
      <c r="O141" s="388">
        <v>0</v>
      </c>
      <c r="P141" s="388">
        <v>0</v>
      </c>
      <c r="Q141" s="388">
        <v>0</v>
      </c>
      <c r="R141" s="388">
        <v>7.1040000000000001</v>
      </c>
      <c r="S141" s="388">
        <v>0.752</v>
      </c>
      <c r="T141" s="388">
        <v>18.527999999999999</v>
      </c>
      <c r="U141" s="388">
        <v>43.402000000000001</v>
      </c>
      <c r="V141" s="388">
        <v>0</v>
      </c>
      <c r="W141" s="388">
        <v>0</v>
      </c>
      <c r="X141" s="388">
        <v>0</v>
      </c>
      <c r="Z141" s="388">
        <v>0</v>
      </c>
      <c r="AA141" s="388">
        <v>0</v>
      </c>
      <c r="AB141" s="387">
        <f t="shared" si="253"/>
        <v>0</v>
      </c>
      <c r="AC141" s="387">
        <f t="shared" si="253"/>
        <v>0</v>
      </c>
      <c r="AD141" s="387">
        <f t="shared" si="253"/>
        <v>0</v>
      </c>
      <c r="AE141" s="395">
        <f t="shared" si="253"/>
        <v>18.527999999999999</v>
      </c>
      <c r="AF141" s="388">
        <f t="shared" si="253"/>
        <v>0</v>
      </c>
      <c r="AG141" s="388">
        <v>0</v>
      </c>
      <c r="AH141" s="388">
        <v>0</v>
      </c>
    </row>
    <row r="142" spans="3:35" s="283" customFormat="1" ht="10.5" customHeight="1">
      <c r="C142" s="283" t="s">
        <v>349</v>
      </c>
      <c r="E142" s="305">
        <v>533.56600000000003</v>
      </c>
      <c r="F142" s="305">
        <v>533.23</v>
      </c>
      <c r="G142" s="305">
        <v>534.06700000000001</v>
      </c>
      <c r="H142" s="305">
        <v>532.79899999999998</v>
      </c>
      <c r="I142" s="305">
        <v>533.72299999999996</v>
      </c>
      <c r="J142" s="305">
        <v>586.66700000000003</v>
      </c>
      <c r="K142" s="305">
        <v>584.61800000000005</v>
      </c>
      <c r="L142" s="305">
        <v>504.72899999999998</v>
      </c>
      <c r="M142" s="314">
        <f>469.021+210</f>
        <v>679.02099999999996</v>
      </c>
      <c r="N142" s="314">
        <f>468.252+50</f>
        <v>518.25199999999995</v>
      </c>
      <c r="O142" s="305">
        <v>495.839</v>
      </c>
      <c r="P142" s="305">
        <v>507.24200000000002</v>
      </c>
      <c r="Q142" s="305">
        <v>507.99200000000002</v>
      </c>
      <c r="R142" s="305">
        <v>508.61099999999999</v>
      </c>
      <c r="S142" s="305">
        <v>507.71199999999999</v>
      </c>
      <c r="T142" s="305">
        <v>508.09500000000003</v>
      </c>
      <c r="U142" s="305">
        <v>508.85199999999998</v>
      </c>
      <c r="V142" s="317">
        <f ca="1">Debt!V15</f>
        <v>509.10215789473688</v>
      </c>
      <c r="W142" s="317">
        <f ca="1">Debt!W15</f>
        <v>509.35231578947372</v>
      </c>
      <c r="X142" s="317">
        <f ca="1">Debt!X15</f>
        <v>509.60247368421057</v>
      </c>
      <c r="Z142" s="314">
        <f>500.979+0.47</f>
        <v>501.44900000000001</v>
      </c>
      <c r="AA142" s="305">
        <v>502.22899999999998</v>
      </c>
      <c r="AB142" s="283">
        <f t="shared" si="253"/>
        <v>532.79899999999998</v>
      </c>
      <c r="AC142" s="283">
        <f t="shared" si="253"/>
        <v>504.72899999999998</v>
      </c>
      <c r="AD142" s="283">
        <f t="shared" si="253"/>
        <v>507.24200000000002</v>
      </c>
      <c r="AE142" s="283">
        <f t="shared" si="253"/>
        <v>508.09500000000003</v>
      </c>
      <c r="AF142" s="283">
        <f t="shared" ca="1" si="253"/>
        <v>509.60247368421057</v>
      </c>
      <c r="AG142" s="317">
        <f ca="1">Debt!AG15</f>
        <v>510.60310526315789</v>
      </c>
      <c r="AH142" s="317">
        <f ca="1">Debt!AH15</f>
        <v>511.60373684210526</v>
      </c>
    </row>
    <row r="143" spans="3:35" s="283" customFormat="1" ht="10.5" customHeight="1">
      <c r="C143" s="283" t="s">
        <v>350</v>
      </c>
      <c r="E143" s="305">
        <v>116.866</v>
      </c>
      <c r="F143" s="305">
        <v>112.462</v>
      </c>
      <c r="G143" s="305">
        <v>164.928</v>
      </c>
      <c r="H143" s="305">
        <v>173.53700000000001</v>
      </c>
      <c r="I143" s="305">
        <v>159.42500000000001</v>
      </c>
      <c r="J143" s="305">
        <v>148.33799999999999</v>
      </c>
      <c r="K143" s="305">
        <v>143.44200000000001</v>
      </c>
      <c r="L143" s="305">
        <v>138.28200000000001</v>
      </c>
      <c r="M143" s="305">
        <v>126.23699999999999</v>
      </c>
      <c r="N143" s="305">
        <v>128.67699999999999</v>
      </c>
      <c r="O143" s="305">
        <v>129.506</v>
      </c>
      <c r="P143" s="305">
        <v>132.47499999999999</v>
      </c>
      <c r="Q143" s="305">
        <v>149.22</v>
      </c>
      <c r="R143" s="305">
        <v>143.18100000000001</v>
      </c>
      <c r="S143" s="305">
        <v>142.75</v>
      </c>
      <c r="T143" s="305">
        <v>149.70599999999999</v>
      </c>
      <c r="U143" s="305">
        <v>140.81</v>
      </c>
      <c r="V143" s="319">
        <f t="shared" ref="V143:W145" si="259">U143</f>
        <v>140.81</v>
      </c>
      <c r="W143" s="319">
        <f t="shared" si="259"/>
        <v>140.81</v>
      </c>
      <c r="X143" s="319">
        <f t="shared" ref="X143:X145" si="260">W143</f>
        <v>140.81</v>
      </c>
      <c r="Z143" s="305">
        <v>122.855</v>
      </c>
      <c r="AA143" s="305">
        <v>124.352</v>
      </c>
      <c r="AB143" s="283">
        <f t="shared" si="253"/>
        <v>173.53700000000001</v>
      </c>
      <c r="AC143" s="283">
        <f t="shared" si="253"/>
        <v>138.28200000000001</v>
      </c>
      <c r="AD143" s="283">
        <f t="shared" si="253"/>
        <v>132.47499999999999</v>
      </c>
      <c r="AE143" s="283">
        <f t="shared" si="253"/>
        <v>149.70599999999999</v>
      </c>
      <c r="AF143" s="283">
        <f t="shared" si="253"/>
        <v>140.81</v>
      </c>
      <c r="AG143" s="319">
        <f t="shared" ref="AG143:AH145" si="261">AF143</f>
        <v>140.81</v>
      </c>
      <c r="AH143" s="319">
        <f t="shared" si="261"/>
        <v>140.81</v>
      </c>
    </row>
    <row r="144" spans="3:35" s="283" customFormat="1" ht="10.5" customHeight="1">
      <c r="C144" s="283" t="s">
        <v>351</v>
      </c>
      <c r="E144" s="305">
        <v>48.459000000000003</v>
      </c>
      <c r="F144" s="305">
        <v>48.972999999999999</v>
      </c>
      <c r="G144" s="305">
        <v>44.097000000000001</v>
      </c>
      <c r="H144" s="305">
        <v>47.710999999999999</v>
      </c>
      <c r="I144" s="305">
        <v>49.820999999999998</v>
      </c>
      <c r="J144" s="305">
        <v>48.448</v>
      </c>
      <c r="K144" s="305">
        <v>50.661999999999999</v>
      </c>
      <c r="L144" s="305">
        <v>56.219000000000001</v>
      </c>
      <c r="M144" s="305">
        <v>57.308999999999997</v>
      </c>
      <c r="N144" s="305">
        <v>58.847999999999999</v>
      </c>
      <c r="O144" s="305">
        <v>48.302999999999997</v>
      </c>
      <c r="P144" s="305">
        <v>44.143999999999998</v>
      </c>
      <c r="Q144" s="305">
        <v>28.797000000000001</v>
      </c>
      <c r="R144" s="305">
        <v>30.236999999999998</v>
      </c>
      <c r="S144" s="305">
        <v>26.228999999999999</v>
      </c>
      <c r="T144" s="305">
        <v>4.673</v>
      </c>
      <c r="U144" s="305">
        <v>0</v>
      </c>
      <c r="V144" s="319">
        <f t="shared" si="259"/>
        <v>0</v>
      </c>
      <c r="W144" s="319">
        <f t="shared" si="259"/>
        <v>0</v>
      </c>
      <c r="X144" s="319">
        <f t="shared" si="260"/>
        <v>0</v>
      </c>
      <c r="Z144" s="305">
        <v>44.491</v>
      </c>
      <c r="AA144" s="305">
        <v>46.628</v>
      </c>
      <c r="AB144" s="283">
        <f t="shared" si="253"/>
        <v>47.710999999999999</v>
      </c>
      <c r="AC144" s="283">
        <f t="shared" si="253"/>
        <v>56.219000000000001</v>
      </c>
      <c r="AD144" s="283">
        <f t="shared" si="253"/>
        <v>44.143999999999998</v>
      </c>
      <c r="AE144" s="283">
        <f t="shared" si="253"/>
        <v>4.673</v>
      </c>
      <c r="AF144" s="283">
        <f t="shared" si="253"/>
        <v>0</v>
      </c>
      <c r="AG144" s="319">
        <f t="shared" si="261"/>
        <v>0</v>
      </c>
      <c r="AH144" s="319">
        <f t="shared" si="261"/>
        <v>0</v>
      </c>
    </row>
    <row r="145" spans="2:35" s="283" customFormat="1" ht="10.5" customHeight="1">
      <c r="C145" s="283" t="s">
        <v>352</v>
      </c>
      <c r="E145" s="305">
        <v>2.7839999999999998</v>
      </c>
      <c r="F145" s="305">
        <v>4.4379999999999997</v>
      </c>
      <c r="G145" s="305">
        <v>4.6890000000000001</v>
      </c>
      <c r="H145" s="305">
        <v>9.89</v>
      </c>
      <c r="I145" s="305">
        <v>6.7930000000000001</v>
      </c>
      <c r="J145" s="305">
        <v>5.9740000000000002</v>
      </c>
      <c r="K145" s="305">
        <v>8.1129999999999995</v>
      </c>
      <c r="L145" s="305">
        <v>6.8559999999999999</v>
      </c>
      <c r="M145" s="305">
        <v>14.032999999999999</v>
      </c>
      <c r="N145" s="305">
        <v>2.4350000000000001</v>
      </c>
      <c r="O145" s="305">
        <v>6.1529999999999996</v>
      </c>
      <c r="P145" s="305">
        <v>4.3639999999999999</v>
      </c>
      <c r="Q145" s="305">
        <v>4.1459999999999999</v>
      </c>
      <c r="R145" s="305">
        <v>4.0979999999999999</v>
      </c>
      <c r="S145" s="305">
        <v>4.7869999999999999</v>
      </c>
      <c r="T145" s="305">
        <v>4.9379999999999997</v>
      </c>
      <c r="U145" s="305">
        <v>7.0549999999999997</v>
      </c>
      <c r="V145" s="319">
        <f t="shared" si="259"/>
        <v>7.0549999999999997</v>
      </c>
      <c r="W145" s="319">
        <f t="shared" si="259"/>
        <v>7.0549999999999997</v>
      </c>
      <c r="X145" s="319">
        <f t="shared" si="260"/>
        <v>7.0549999999999997</v>
      </c>
      <c r="Z145" s="305">
        <v>11.518000000000001</v>
      </c>
      <c r="AA145" s="305">
        <v>12.983000000000001</v>
      </c>
      <c r="AB145" s="283">
        <f t="shared" si="253"/>
        <v>9.89</v>
      </c>
      <c r="AC145" s="283">
        <f t="shared" si="253"/>
        <v>6.8559999999999999</v>
      </c>
      <c r="AD145" s="283">
        <f t="shared" si="253"/>
        <v>4.3639999999999999</v>
      </c>
      <c r="AE145" s="283">
        <f t="shared" si="253"/>
        <v>4.9379999999999997</v>
      </c>
      <c r="AF145" s="283">
        <f t="shared" si="253"/>
        <v>7.0549999999999997</v>
      </c>
      <c r="AG145" s="319">
        <f t="shared" si="261"/>
        <v>7.0549999999999997</v>
      </c>
      <c r="AH145" s="319">
        <f t="shared" si="261"/>
        <v>7.0549999999999997</v>
      </c>
    </row>
    <row r="146" spans="2:35" s="283" customFormat="1" ht="10.5" customHeight="1">
      <c r="C146" s="316" t="s">
        <v>353</v>
      </c>
      <c r="E146" s="379">
        <f t="shared" ref="E146:X146" si="262">E128+E130+E133+E136+E139+SUM(E142:E145)</f>
        <v>903.59000000000015</v>
      </c>
      <c r="F146" s="379">
        <f t="shared" si="262"/>
        <v>891.29499999999996</v>
      </c>
      <c r="G146" s="379">
        <f t="shared" si="262"/>
        <v>988.18899999999985</v>
      </c>
      <c r="H146" s="379">
        <f t="shared" si="262"/>
        <v>1012.981</v>
      </c>
      <c r="I146" s="379">
        <f t="shared" si="262"/>
        <v>1024.0349999999999</v>
      </c>
      <c r="J146" s="379">
        <f t="shared" si="262"/>
        <v>1031.4850000000001</v>
      </c>
      <c r="K146" s="379">
        <f t="shared" si="262"/>
        <v>1056.5340000000001</v>
      </c>
      <c r="L146" s="379">
        <f t="shared" si="262"/>
        <v>944.88499999999999</v>
      </c>
      <c r="M146" s="379">
        <f t="shared" si="262"/>
        <v>1107.241</v>
      </c>
      <c r="N146" s="379">
        <f t="shared" si="262"/>
        <v>944.71499999999992</v>
      </c>
      <c r="O146" s="379">
        <f t="shared" si="262"/>
        <v>921.50200000000007</v>
      </c>
      <c r="P146" s="379">
        <f t="shared" si="262"/>
        <v>965.38400000000001</v>
      </c>
      <c r="Q146" s="379">
        <f t="shared" si="262"/>
        <v>930.202</v>
      </c>
      <c r="R146" s="379">
        <f t="shared" si="262"/>
        <v>950.55599999999993</v>
      </c>
      <c r="S146" s="379">
        <f t="shared" si="262"/>
        <v>931.44200000000001</v>
      </c>
      <c r="T146" s="379">
        <f t="shared" si="262"/>
        <v>968.02099999999996</v>
      </c>
      <c r="U146" s="379">
        <f t="shared" si="262"/>
        <v>1010.356</v>
      </c>
      <c r="V146" s="379">
        <f t="shared" ref="V146" ca="1" si="263">V128+V130+V133+V136+V139+SUM(V142:V145)</f>
        <v>1010.8769299355315</v>
      </c>
      <c r="W146" s="379">
        <f t="shared" ca="1" si="262"/>
        <v>1000.6640705431962</v>
      </c>
      <c r="X146" s="379">
        <f t="shared" ca="1" si="262"/>
        <v>1013.1441048968173</v>
      </c>
      <c r="Z146" s="379">
        <f t="shared" ref="Z146:AH146" si="264">Z128+Z130+Z133+Z136+Z139+SUM(Z142:Z145)</f>
        <v>891.83300000000008</v>
      </c>
      <c r="AA146" s="379">
        <f t="shared" si="264"/>
        <v>883.88099999999997</v>
      </c>
      <c r="AB146" s="379">
        <f t="shared" si="264"/>
        <v>1012.981</v>
      </c>
      <c r="AC146" s="379">
        <f t="shared" si="264"/>
        <v>944.88499999999999</v>
      </c>
      <c r="AD146" s="379">
        <f t="shared" si="264"/>
        <v>965.38400000000001</v>
      </c>
      <c r="AE146" s="379">
        <f t="shared" si="264"/>
        <v>968.02099999999996</v>
      </c>
      <c r="AF146" s="379">
        <f t="shared" ca="1" si="264"/>
        <v>1013.1441048968173</v>
      </c>
      <c r="AG146" s="379">
        <f t="shared" ref="AG146" ca="1" si="265">AG128+AG130+AG133+AG136+AG139+SUM(AG142:AG145)</f>
        <v>997.10169046387284</v>
      </c>
      <c r="AH146" s="379">
        <f t="shared" ca="1" si="264"/>
        <v>971.46578211851818</v>
      </c>
    </row>
    <row r="147" spans="2:35" ht="10.5" customHeight="1">
      <c r="E147" s="474"/>
      <c r="P147" s="399"/>
      <c r="S147" s="283"/>
      <c r="T147" s="283"/>
      <c r="U147" s="283"/>
      <c r="Y147" s="283"/>
      <c r="AI147" s="283"/>
    </row>
    <row r="148" spans="2:35" s="283" customFormat="1" ht="10.5" customHeight="1">
      <c r="C148" s="283" t="s">
        <v>354</v>
      </c>
      <c r="E148" s="282">
        <f>E246</f>
        <v>3.9E-2</v>
      </c>
      <c r="F148" s="282">
        <f t="shared" ref="F148:Q148" si="266">F246</f>
        <v>3.9E-2</v>
      </c>
      <c r="G148" s="282">
        <f t="shared" si="266"/>
        <v>3.9E-2</v>
      </c>
      <c r="H148" s="282">
        <f t="shared" si="266"/>
        <v>3.9E-2</v>
      </c>
      <c r="I148" s="282">
        <f t="shared" si="266"/>
        <v>3.9E-2</v>
      </c>
      <c r="J148" s="282">
        <f t="shared" si="266"/>
        <v>3.9E-2</v>
      </c>
      <c r="K148" s="282">
        <f t="shared" si="266"/>
        <v>3.9E-2</v>
      </c>
      <c r="L148" s="282">
        <f t="shared" si="266"/>
        <v>3.9E-2</v>
      </c>
      <c r="M148" s="282">
        <f t="shared" si="266"/>
        <v>3.9E-2</v>
      </c>
      <c r="N148" s="282">
        <f t="shared" si="266"/>
        <v>3.9E-2</v>
      </c>
      <c r="O148" s="282">
        <f t="shared" si="266"/>
        <v>3.9E-2</v>
      </c>
      <c r="P148" s="282">
        <f t="shared" si="266"/>
        <v>3.9E-2</v>
      </c>
      <c r="Q148" s="282">
        <f t="shared" si="266"/>
        <v>3.9E-2</v>
      </c>
      <c r="R148" s="282">
        <f>R246</f>
        <v>3.9E-2</v>
      </c>
      <c r="S148" s="282">
        <f>S246</f>
        <v>3.9E-2</v>
      </c>
      <c r="T148" s="282">
        <f>T246</f>
        <v>3.9E-2</v>
      </c>
      <c r="U148" s="282">
        <f>U246</f>
        <v>3.9E-2</v>
      </c>
      <c r="V148" s="282">
        <f t="shared" ref="V148" si="267">V246</f>
        <v>3.9E-2</v>
      </c>
      <c r="W148" s="282">
        <f t="shared" ref="W148:X148" si="268">W246</f>
        <v>3.9E-2</v>
      </c>
      <c r="X148" s="282">
        <f t="shared" si="268"/>
        <v>3.9E-2</v>
      </c>
      <c r="Z148" s="282">
        <f>Z246</f>
        <v>3.9E-2</v>
      </c>
      <c r="AA148" s="282">
        <f>AA246</f>
        <v>3.9E-2</v>
      </c>
      <c r="AB148" s="283">
        <f>SUMIF($E$6:$X$6,AB$6,$E148:$X148)</f>
        <v>3.9E-2</v>
      </c>
      <c r="AC148" s="283">
        <f t="shared" ref="AC148:AF153" si="269">SUMIF($E$6:$X$6,AC$6,$E148:$X148)</f>
        <v>3.9E-2</v>
      </c>
      <c r="AD148" s="283">
        <f t="shared" si="269"/>
        <v>3.9E-2</v>
      </c>
      <c r="AE148" s="283">
        <f t="shared" si="269"/>
        <v>3.9E-2</v>
      </c>
      <c r="AF148" s="283">
        <f t="shared" si="269"/>
        <v>3.9E-2</v>
      </c>
      <c r="AG148" s="282">
        <f>AG246</f>
        <v>3.9E-2</v>
      </c>
      <c r="AH148" s="282">
        <f>AH246</f>
        <v>3.9E-2</v>
      </c>
    </row>
    <row r="149" spans="2:35" s="283" customFormat="1" ht="10.5" customHeight="1">
      <c r="C149" s="283" t="s">
        <v>355</v>
      </c>
      <c r="E149" s="282">
        <f>E260</f>
        <v>101.29</v>
      </c>
      <c r="F149" s="282">
        <f t="shared" ref="F149:Q149" si="270">F260</f>
        <v>101.643</v>
      </c>
      <c r="G149" s="282">
        <f t="shared" si="270"/>
        <v>121.28300000000002</v>
      </c>
      <c r="H149" s="282">
        <f t="shared" si="270"/>
        <v>121.95600000000002</v>
      </c>
      <c r="I149" s="282">
        <f t="shared" si="270"/>
        <v>122.05200000000002</v>
      </c>
      <c r="J149" s="282">
        <f t="shared" si="270"/>
        <v>123.70100000000002</v>
      </c>
      <c r="K149" s="282">
        <f t="shared" si="270"/>
        <v>124.13300000000002</v>
      </c>
      <c r="L149" s="282">
        <f t="shared" si="270"/>
        <v>132.292</v>
      </c>
      <c r="M149" s="282">
        <f t="shared" si="270"/>
        <v>132.381</v>
      </c>
      <c r="N149" s="282">
        <f t="shared" si="270"/>
        <v>133.69900000000001</v>
      </c>
      <c r="O149" s="282">
        <f t="shared" si="270"/>
        <v>134.42100000000005</v>
      </c>
      <c r="P149" s="282">
        <f t="shared" si="270"/>
        <v>134.62900000000005</v>
      </c>
      <c r="Q149" s="282">
        <f t="shared" si="270"/>
        <v>135.54600000000005</v>
      </c>
      <c r="R149" s="282">
        <f>R260</f>
        <v>136.06500000000005</v>
      </c>
      <c r="S149" s="282">
        <f>S260</f>
        <v>136.35000000000005</v>
      </c>
      <c r="T149" s="282">
        <f>T260</f>
        <v>136.39100000000005</v>
      </c>
      <c r="U149" s="282">
        <f>U260</f>
        <v>136.65700000000007</v>
      </c>
      <c r="V149" s="282">
        <f t="shared" ref="V149" si="271">V260</f>
        <v>136.65700000000007</v>
      </c>
      <c r="W149" s="282">
        <f t="shared" ref="W149:X149" si="272">W260</f>
        <v>136.65700000000007</v>
      </c>
      <c r="X149" s="282">
        <f t="shared" si="272"/>
        <v>136.65700000000007</v>
      </c>
      <c r="Z149" s="282">
        <f>Z260</f>
        <v>99.805999999999969</v>
      </c>
      <c r="AA149" s="282">
        <f>AA260</f>
        <v>100.92599999999996</v>
      </c>
      <c r="AB149" s="283">
        <f t="shared" ref="AB149:AB153" si="273">SUMIF($E$6:$X$6,AB$6,$E149:$X149)</f>
        <v>121.95600000000002</v>
      </c>
      <c r="AC149" s="283">
        <f t="shared" si="269"/>
        <v>132.292</v>
      </c>
      <c r="AD149" s="283">
        <f t="shared" si="269"/>
        <v>134.62900000000005</v>
      </c>
      <c r="AE149" s="283">
        <f t="shared" si="269"/>
        <v>136.39100000000005</v>
      </c>
      <c r="AF149" s="283">
        <f t="shared" si="269"/>
        <v>136.65700000000007</v>
      </c>
      <c r="AG149" s="282">
        <f>AG260</f>
        <v>136.65699999999995</v>
      </c>
      <c r="AH149" s="282">
        <f>AH260</f>
        <v>136.65699999999995</v>
      </c>
    </row>
    <row r="150" spans="2:35" s="283" customFormat="1" ht="10.5" customHeight="1">
      <c r="C150" s="283" t="s">
        <v>356</v>
      </c>
      <c r="E150" s="282">
        <f>E274</f>
        <v>1626.298</v>
      </c>
      <c r="F150" s="282">
        <f t="shared" ref="F150:Q150" si="274">F274</f>
        <v>1628.44</v>
      </c>
      <c r="G150" s="282">
        <f t="shared" si="274"/>
        <v>1872.9459999999999</v>
      </c>
      <c r="H150" s="282">
        <f t="shared" si="274"/>
        <v>1880.4809999999998</v>
      </c>
      <c r="I150" s="282">
        <f t="shared" si="274"/>
        <v>1882.6129999999996</v>
      </c>
      <c r="J150" s="282">
        <f t="shared" si="274"/>
        <v>1895.6169999999995</v>
      </c>
      <c r="K150" s="282">
        <f t="shared" si="274"/>
        <v>1897.3629999999994</v>
      </c>
      <c r="L150" s="282">
        <f t="shared" si="274"/>
        <v>1973.6999999999994</v>
      </c>
      <c r="M150" s="282">
        <f t="shared" si="274"/>
        <v>1976.0329999999994</v>
      </c>
      <c r="N150" s="282">
        <f t="shared" si="274"/>
        <v>1982.3999999999994</v>
      </c>
      <c r="O150" s="282">
        <f t="shared" si="274"/>
        <v>1998.3219999999994</v>
      </c>
      <c r="P150" s="282">
        <f t="shared" si="274"/>
        <v>2003.5759999999993</v>
      </c>
      <c r="Q150" s="282">
        <f t="shared" si="274"/>
        <v>2021.0719999999992</v>
      </c>
      <c r="R150" s="282">
        <f>R274</f>
        <v>2024.6449999999991</v>
      </c>
      <c r="S150" s="282">
        <f>S274</f>
        <v>2032.3339999999992</v>
      </c>
      <c r="T150" s="282">
        <f>T274</f>
        <v>2034.4849999999992</v>
      </c>
      <c r="U150" s="282">
        <f>U274</f>
        <v>2036.4169999999992</v>
      </c>
      <c r="V150" s="282">
        <f t="shared" ref="V150" ca="1" si="275">V274</f>
        <v>2037.5337841768123</v>
      </c>
      <c r="W150" s="282">
        <f t="shared" ref="W150:X150" ca="1" si="276">W274</f>
        <v>2038.4979401924447</v>
      </c>
      <c r="X150" s="282">
        <f t="shared" ca="1" si="276"/>
        <v>2039.6066693043626</v>
      </c>
      <c r="Z150" s="282">
        <f>Z274</f>
        <v>1597.2120000000002</v>
      </c>
      <c r="AA150" s="282">
        <f>AA274</f>
        <v>1619.816</v>
      </c>
      <c r="AB150" s="283">
        <f t="shared" si="273"/>
        <v>1880.4809999999998</v>
      </c>
      <c r="AC150" s="283">
        <f t="shared" si="269"/>
        <v>1973.6999999999994</v>
      </c>
      <c r="AD150" s="283">
        <f t="shared" si="269"/>
        <v>2003.5759999999993</v>
      </c>
      <c r="AE150" s="283">
        <f t="shared" si="269"/>
        <v>2034.4849999999992</v>
      </c>
      <c r="AF150" s="283">
        <f t="shared" ca="1" si="269"/>
        <v>2039.6066693043626</v>
      </c>
      <c r="AG150" s="282">
        <f ca="1">AG274</f>
        <v>2043.931655904468</v>
      </c>
      <c r="AH150" s="282">
        <f ca="1">AH274</f>
        <v>2048.5789285586648</v>
      </c>
    </row>
    <row r="151" spans="2:35" s="283" customFormat="1" ht="10.5" customHeight="1">
      <c r="C151" s="283" t="s">
        <v>357</v>
      </c>
      <c r="E151" s="282">
        <f>E283</f>
        <v>-187.09200000000001</v>
      </c>
      <c r="F151" s="282">
        <f t="shared" ref="F151:Q151" si="277">F283</f>
        <v>-176.15799999999999</v>
      </c>
      <c r="G151" s="282">
        <f t="shared" si="277"/>
        <v>-223.28</v>
      </c>
      <c r="H151" s="282">
        <f t="shared" si="277"/>
        <v>-248.30800000000002</v>
      </c>
      <c r="I151" s="282">
        <f t="shared" si="277"/>
        <v>-275.18799999999999</v>
      </c>
      <c r="J151" s="282">
        <f t="shared" si="277"/>
        <v>-323.07899999999995</v>
      </c>
      <c r="K151" s="282">
        <f t="shared" si="277"/>
        <v>-343.95799999999997</v>
      </c>
      <c r="L151" s="282">
        <f t="shared" si="277"/>
        <v>-353.33099999999996</v>
      </c>
      <c r="M151" s="282">
        <f t="shared" si="277"/>
        <v>-371.95799999999991</v>
      </c>
      <c r="N151" s="282">
        <f t="shared" si="277"/>
        <v>-387.68799999999987</v>
      </c>
      <c r="O151" s="282">
        <f t="shared" si="277"/>
        <v>-375.52699999999987</v>
      </c>
      <c r="P151" s="282">
        <f t="shared" si="277"/>
        <v>-379.51899999999983</v>
      </c>
      <c r="Q151" s="282">
        <f t="shared" si="277"/>
        <v>-377.22899999999998</v>
      </c>
      <c r="R151" s="283">
        <f>R283</f>
        <v>-382.60899999999992</v>
      </c>
      <c r="S151" s="283">
        <f>S283</f>
        <v>-362.02299999999997</v>
      </c>
      <c r="T151" s="283">
        <f>T283</f>
        <v>-353.65100000000001</v>
      </c>
      <c r="U151" s="283">
        <f>U283</f>
        <v>-353.00699999999995</v>
      </c>
      <c r="V151" s="283">
        <f t="shared" ref="V151" ca="1" si="278">V283</f>
        <v>-322.47232177411621</v>
      </c>
      <c r="W151" s="283">
        <f t="shared" ref="W151:X151" ca="1" si="279">W283</f>
        <v>-310.88721451627907</v>
      </c>
      <c r="X151" s="283">
        <f t="shared" ca="1" si="279"/>
        <v>-268.09422881695184</v>
      </c>
      <c r="Z151" s="282">
        <f>Z283</f>
        <v>-167.43700000000001</v>
      </c>
      <c r="AA151" s="282">
        <f>AA283</f>
        <v>-218.089</v>
      </c>
      <c r="AB151" s="283">
        <f t="shared" si="273"/>
        <v>-248.30800000000002</v>
      </c>
      <c r="AC151" s="283">
        <f t="shared" si="269"/>
        <v>-353.33099999999996</v>
      </c>
      <c r="AD151" s="283">
        <f t="shared" si="269"/>
        <v>-379.51899999999983</v>
      </c>
      <c r="AE151" s="283">
        <f t="shared" si="269"/>
        <v>-353.65100000000001</v>
      </c>
      <c r="AF151" s="283">
        <f t="shared" ca="1" si="269"/>
        <v>-268.09422881695184</v>
      </c>
      <c r="AG151" s="282">
        <f ca="1">AG283</f>
        <v>-176.65498363065555</v>
      </c>
      <c r="AH151" s="282">
        <f ca="1">AH283</f>
        <v>-74.35109442777339</v>
      </c>
    </row>
    <row r="152" spans="2:35" s="283" customFormat="1" ht="10.5" customHeight="1">
      <c r="C152" s="283" t="s">
        <v>358</v>
      </c>
      <c r="E152" s="282">
        <f>E290</f>
        <v>-26.767000000000003</v>
      </c>
      <c r="F152" s="282">
        <f t="shared" ref="F152:Q152" si="280">F290</f>
        <v>-31.929000000000002</v>
      </c>
      <c r="G152" s="282">
        <f t="shared" si="280"/>
        <v>-28.183000000000003</v>
      </c>
      <c r="H152" s="282">
        <f t="shared" si="280"/>
        <v>-42.469000000000001</v>
      </c>
      <c r="I152" s="282">
        <f t="shared" si="280"/>
        <v>-38.21</v>
      </c>
      <c r="J152" s="282">
        <f t="shared" si="280"/>
        <v>-34.67</v>
      </c>
      <c r="K152" s="282">
        <f t="shared" si="280"/>
        <v>-37.957999999999998</v>
      </c>
      <c r="L152" s="282">
        <f t="shared" si="280"/>
        <v>-37.31</v>
      </c>
      <c r="M152" s="282">
        <f t="shared" si="280"/>
        <v>-56.645000000000003</v>
      </c>
      <c r="N152" s="282">
        <f t="shared" si="280"/>
        <v>-46.261000000000003</v>
      </c>
      <c r="O152" s="282">
        <f t="shared" si="280"/>
        <v>-40.111000000000004</v>
      </c>
      <c r="P152" s="282">
        <f t="shared" si="280"/>
        <v>-32.889000000000003</v>
      </c>
      <c r="Q152" s="282">
        <f t="shared" si="280"/>
        <v>-31.057000000000002</v>
      </c>
      <c r="R152" s="282">
        <f>R290</f>
        <v>-29.437000000000001</v>
      </c>
      <c r="S152" s="282">
        <f>S290</f>
        <v>-35.704000000000001</v>
      </c>
      <c r="T152" s="282">
        <f>T290</f>
        <v>-28.456</v>
      </c>
      <c r="U152" s="282">
        <f>U290</f>
        <v>-61.620999999999995</v>
      </c>
      <c r="V152" s="282">
        <f t="shared" ref="V152" si="281">V290</f>
        <v>-61.620999999999995</v>
      </c>
      <c r="W152" s="282">
        <f t="shared" ref="W152:X152" si="282">W290</f>
        <v>-61.620999999999995</v>
      </c>
      <c r="X152" s="282">
        <f t="shared" si="282"/>
        <v>-61.620999999999995</v>
      </c>
      <c r="Z152" s="282">
        <f>Z290</f>
        <v>-34.602000000000004</v>
      </c>
      <c r="AA152" s="282">
        <f>AA290</f>
        <v>-23.373000000000005</v>
      </c>
      <c r="AB152" s="283">
        <f t="shared" si="273"/>
        <v>-42.469000000000001</v>
      </c>
      <c r="AC152" s="283">
        <f t="shared" si="269"/>
        <v>-37.31</v>
      </c>
      <c r="AD152" s="283">
        <f t="shared" si="269"/>
        <v>-32.889000000000003</v>
      </c>
      <c r="AE152" s="283">
        <f t="shared" si="269"/>
        <v>-28.456</v>
      </c>
      <c r="AF152" s="283">
        <f t="shared" si="269"/>
        <v>-61.620999999999995</v>
      </c>
      <c r="AG152" s="282">
        <f>AG290</f>
        <v>-61.621000000000009</v>
      </c>
      <c r="AH152" s="282">
        <f>AH290</f>
        <v>-61.621000000000009</v>
      </c>
    </row>
    <row r="153" spans="2:35" s="283" customFormat="1" ht="10.5" customHeight="1">
      <c r="C153" s="283" t="s">
        <v>359</v>
      </c>
      <c r="E153" s="282">
        <f>E298</f>
        <v>-19.267000000000003</v>
      </c>
      <c r="F153" s="282">
        <f t="shared" ref="F153:Q153" si="283">F298</f>
        <v>-20.736000000000004</v>
      </c>
      <c r="G153" s="282">
        <f t="shared" si="283"/>
        <v>-20.736000000000004</v>
      </c>
      <c r="H153" s="282">
        <f t="shared" si="283"/>
        <v>-20.736000000000004</v>
      </c>
      <c r="I153" s="282">
        <f t="shared" si="283"/>
        <v>-20.736000000000004</v>
      </c>
      <c r="J153" s="282">
        <f t="shared" si="283"/>
        <v>-22.380000000000003</v>
      </c>
      <c r="K153" s="282">
        <f t="shared" si="283"/>
        <v>-22.975000000000001</v>
      </c>
      <c r="L153" s="282">
        <f t="shared" si="283"/>
        <v>-22.967000000000002</v>
      </c>
      <c r="M153" s="282">
        <f t="shared" si="283"/>
        <v>-22.967000000000002</v>
      </c>
      <c r="N153" s="282">
        <f t="shared" si="283"/>
        <v>-23.496000000000002</v>
      </c>
      <c r="O153" s="282">
        <f t="shared" si="283"/>
        <v>-23.496000000000002</v>
      </c>
      <c r="P153" s="282">
        <f t="shared" si="283"/>
        <v>-23.496000000000002</v>
      </c>
      <c r="Q153" s="282">
        <f t="shared" si="283"/>
        <v>-23.496000000000002</v>
      </c>
      <c r="R153" s="282">
        <f>R298</f>
        <v>-28.021000000000001</v>
      </c>
      <c r="S153" s="282">
        <f>S298</f>
        <v>-28.021000000000001</v>
      </c>
      <c r="T153" s="282">
        <f>T298</f>
        <v>-28.021000000000001</v>
      </c>
      <c r="U153" s="282">
        <f>U298</f>
        <v>-29.942</v>
      </c>
      <c r="V153" s="282">
        <f t="shared" ref="V153" si="284">V298</f>
        <v>-29.942</v>
      </c>
      <c r="W153" s="282">
        <f t="shared" ref="W153:X153" si="285">W298</f>
        <v>-29.942</v>
      </c>
      <c r="X153" s="282">
        <f t="shared" si="285"/>
        <v>-29.942</v>
      </c>
      <c r="Z153" s="282">
        <f>Z298</f>
        <v>-15.173999999999999</v>
      </c>
      <c r="AA153" s="282">
        <f>AA298</f>
        <v>-18.041999999999998</v>
      </c>
      <c r="AB153" s="283">
        <f t="shared" si="273"/>
        <v>-20.736000000000004</v>
      </c>
      <c r="AC153" s="283">
        <f t="shared" si="269"/>
        <v>-22.967000000000002</v>
      </c>
      <c r="AD153" s="283">
        <f t="shared" si="269"/>
        <v>-23.496000000000002</v>
      </c>
      <c r="AE153" s="283">
        <f t="shared" si="269"/>
        <v>-28.021000000000001</v>
      </c>
      <c r="AF153" s="283">
        <f t="shared" si="269"/>
        <v>-29.942</v>
      </c>
      <c r="AG153" s="282">
        <f>AG298</f>
        <v>-29.941999999999993</v>
      </c>
      <c r="AH153" s="282">
        <f>AH298</f>
        <v>-29.941999999999993</v>
      </c>
    </row>
    <row r="154" spans="2:35" s="283" customFormat="1" ht="10.5" customHeight="1">
      <c r="C154" s="316" t="s">
        <v>360</v>
      </c>
      <c r="E154" s="379">
        <f t="shared" ref="E154:P154" si="286">SUM(E148:E153)</f>
        <v>1494.5009999999997</v>
      </c>
      <c r="F154" s="379">
        <f t="shared" si="286"/>
        <v>1501.299</v>
      </c>
      <c r="G154" s="379">
        <f t="shared" si="286"/>
        <v>1722.069</v>
      </c>
      <c r="H154" s="379">
        <f t="shared" si="286"/>
        <v>1690.9629999999997</v>
      </c>
      <c r="I154" s="379">
        <f t="shared" si="286"/>
        <v>1670.5699999999995</v>
      </c>
      <c r="J154" s="379">
        <f t="shared" si="286"/>
        <v>1639.2279999999994</v>
      </c>
      <c r="K154" s="379">
        <f t="shared" si="286"/>
        <v>1616.6439999999993</v>
      </c>
      <c r="L154" s="379">
        <f t="shared" si="286"/>
        <v>1692.4229999999995</v>
      </c>
      <c r="M154" s="379">
        <f t="shared" si="286"/>
        <v>1656.8829999999996</v>
      </c>
      <c r="N154" s="379">
        <f t="shared" si="286"/>
        <v>1658.6929999999995</v>
      </c>
      <c r="O154" s="379">
        <f t="shared" si="286"/>
        <v>1693.6479999999992</v>
      </c>
      <c r="P154" s="379">
        <f t="shared" si="286"/>
        <v>1702.3399999999995</v>
      </c>
      <c r="Q154" s="379">
        <f>SUM(Q148:Q153)</f>
        <v>1724.8749999999991</v>
      </c>
      <c r="R154" s="768">
        <f t="shared" ref="R154:S154" si="287">SUM(R148:R153)</f>
        <v>1720.6819999999991</v>
      </c>
      <c r="S154" s="768">
        <f t="shared" si="287"/>
        <v>1742.9749999999992</v>
      </c>
      <c r="T154" s="768">
        <f t="shared" ref="T154:V154" si="288">SUM(T148:T153)</f>
        <v>1760.7869999999991</v>
      </c>
      <c r="U154" s="768">
        <f t="shared" si="288"/>
        <v>1728.5429999999992</v>
      </c>
      <c r="V154" s="379">
        <f t="shared" ca="1" si="288"/>
        <v>1760.194462402696</v>
      </c>
      <c r="W154" s="379">
        <f t="shared" ref="W154:X154" ca="1" si="289">SUM(W148:W153)</f>
        <v>1772.7437256761655</v>
      </c>
      <c r="X154" s="379">
        <f t="shared" ca="1" si="289"/>
        <v>1816.6454404874107</v>
      </c>
      <c r="Z154" s="379">
        <f>SUM(Z148:Z153)</f>
        <v>1479.8440000000003</v>
      </c>
      <c r="AA154" s="379">
        <f>SUM(AA148:AA153)</f>
        <v>1461.277</v>
      </c>
      <c r="AB154" s="379">
        <f t="shared" ref="AB154:AG154" si="290">SUM(AB148:AB153)</f>
        <v>1690.9629999999997</v>
      </c>
      <c r="AC154" s="379">
        <f t="shared" si="290"/>
        <v>1692.4229999999995</v>
      </c>
      <c r="AD154" s="379">
        <f t="shared" si="290"/>
        <v>1702.3399999999995</v>
      </c>
      <c r="AE154" s="379">
        <f t="shared" si="290"/>
        <v>1760.7869999999991</v>
      </c>
      <c r="AF154" s="379">
        <f t="shared" ca="1" si="290"/>
        <v>1816.6454404874107</v>
      </c>
      <c r="AG154" s="379">
        <f t="shared" ca="1" si="290"/>
        <v>1912.4096722738125</v>
      </c>
      <c r="AH154" s="379">
        <f t="shared" ref="AH154" ca="1" si="291">SUM(AH148:AH153)</f>
        <v>2019.3608341308914</v>
      </c>
    </row>
    <row r="155" spans="2:35" s="283" customFormat="1" ht="2.2000000000000002" customHeight="1">
      <c r="C155" s="316"/>
      <c r="E155" s="313"/>
      <c r="F155" s="313"/>
      <c r="G155" s="313"/>
      <c r="H155" s="313"/>
      <c r="I155" s="313"/>
      <c r="J155" s="313"/>
      <c r="K155" s="313"/>
      <c r="L155" s="313"/>
      <c r="M155" s="313"/>
      <c r="N155" s="313"/>
      <c r="O155" s="313"/>
      <c r="P155" s="313"/>
      <c r="Q155" s="313"/>
      <c r="R155" s="313"/>
      <c r="S155" s="313"/>
      <c r="T155" s="313"/>
      <c r="U155" s="313"/>
      <c r="V155" s="313"/>
      <c r="W155" s="313"/>
      <c r="X155" s="313"/>
      <c r="Z155" s="313"/>
      <c r="AA155" s="313"/>
      <c r="AB155" s="313"/>
      <c r="AC155" s="313"/>
      <c r="AD155" s="313"/>
      <c r="AE155" s="313"/>
      <c r="AF155" s="313"/>
      <c r="AG155" s="313"/>
      <c r="AH155" s="313"/>
    </row>
    <row r="156" spans="2:35" s="283" customFormat="1" ht="10.5" customHeight="1">
      <c r="C156" s="316" t="s">
        <v>361</v>
      </c>
      <c r="E156" s="379">
        <f t="shared" ref="E156:P156" si="292">E146+E154</f>
        <v>2398.0909999999999</v>
      </c>
      <c r="F156" s="379">
        <f t="shared" si="292"/>
        <v>2392.5940000000001</v>
      </c>
      <c r="G156" s="379">
        <f t="shared" si="292"/>
        <v>2710.2579999999998</v>
      </c>
      <c r="H156" s="379">
        <f t="shared" si="292"/>
        <v>2703.9439999999995</v>
      </c>
      <c r="I156" s="379">
        <f t="shared" si="292"/>
        <v>2694.6049999999996</v>
      </c>
      <c r="J156" s="379">
        <f t="shared" si="292"/>
        <v>2670.7129999999997</v>
      </c>
      <c r="K156" s="379">
        <f t="shared" si="292"/>
        <v>2673.1779999999994</v>
      </c>
      <c r="L156" s="379">
        <f t="shared" si="292"/>
        <v>2637.3079999999995</v>
      </c>
      <c r="M156" s="379">
        <f t="shared" si="292"/>
        <v>2764.1239999999998</v>
      </c>
      <c r="N156" s="379">
        <f t="shared" si="292"/>
        <v>2603.4079999999994</v>
      </c>
      <c r="O156" s="379">
        <f t="shared" si="292"/>
        <v>2615.1499999999992</v>
      </c>
      <c r="P156" s="379">
        <f t="shared" si="292"/>
        <v>2667.7239999999993</v>
      </c>
      <c r="Q156" s="379">
        <f>Q146+Q154</f>
        <v>2655.0769999999993</v>
      </c>
      <c r="R156" s="768">
        <f t="shared" ref="R156:S156" si="293">R146+R154</f>
        <v>2671.2379999999989</v>
      </c>
      <c r="S156" s="768">
        <f t="shared" si="293"/>
        <v>2674.4169999999995</v>
      </c>
      <c r="T156" s="768">
        <f t="shared" ref="T156:V156" si="294">T146+T154</f>
        <v>2728.8079999999991</v>
      </c>
      <c r="U156" s="768">
        <f t="shared" si="294"/>
        <v>2738.8989999999994</v>
      </c>
      <c r="V156" s="379">
        <f t="shared" ca="1" si="294"/>
        <v>2771.0713923382273</v>
      </c>
      <c r="W156" s="379">
        <f t="shared" ref="W156:X156" ca="1" si="295">W146+W154</f>
        <v>2773.4077962193614</v>
      </c>
      <c r="X156" s="379">
        <f t="shared" ca="1" si="295"/>
        <v>2829.7895453842279</v>
      </c>
      <c r="Z156" s="379">
        <f>Z146+Z154</f>
        <v>2371.6770000000006</v>
      </c>
      <c r="AA156" s="379">
        <f>AA146+AA154</f>
        <v>2345.1579999999999</v>
      </c>
      <c r="AB156" s="379">
        <f t="shared" ref="AB156:AF156" si="296">AB146+AB154</f>
        <v>2703.9439999999995</v>
      </c>
      <c r="AC156" s="379">
        <f t="shared" si="296"/>
        <v>2637.3079999999995</v>
      </c>
      <c r="AD156" s="379">
        <f t="shared" si="296"/>
        <v>2667.7239999999993</v>
      </c>
      <c r="AE156" s="379">
        <f t="shared" si="296"/>
        <v>2728.8079999999991</v>
      </c>
      <c r="AF156" s="379">
        <f t="shared" ca="1" si="296"/>
        <v>2829.7895453842279</v>
      </c>
      <c r="AG156" s="379">
        <f t="shared" ref="AG156:AH156" ca="1" si="297">AG146+AG154</f>
        <v>2909.5113627376854</v>
      </c>
      <c r="AH156" s="379">
        <f t="shared" ca="1" si="297"/>
        <v>2990.8266162494097</v>
      </c>
    </row>
    <row r="157" spans="2:35" ht="10.5" customHeight="1">
      <c r="M157" s="407"/>
      <c r="P157" s="407"/>
      <c r="Q157" s="407"/>
      <c r="S157" s="399"/>
      <c r="U157" s="283"/>
      <c r="Y157" s="283"/>
      <c r="AI157" s="283"/>
    </row>
    <row r="158" spans="2:35" ht="10.5" customHeight="1">
      <c r="C158" s="389" t="s">
        <v>264</v>
      </c>
      <c r="E158" s="408">
        <f t="shared" ref="E158:R158" si="298">E119-E156</f>
        <v>0</v>
      </c>
      <c r="F158" s="408">
        <f t="shared" si="298"/>
        <v>0</v>
      </c>
      <c r="G158" s="408">
        <f t="shared" si="298"/>
        <v>0</v>
      </c>
      <c r="H158" s="408">
        <f t="shared" si="298"/>
        <v>0</v>
      </c>
      <c r="I158" s="408">
        <f t="shared" si="298"/>
        <v>0</v>
      </c>
      <c r="J158" s="408">
        <f t="shared" si="298"/>
        <v>0</v>
      </c>
      <c r="K158" s="408">
        <f t="shared" si="298"/>
        <v>0</v>
      </c>
      <c r="L158" s="408">
        <f t="shared" si="298"/>
        <v>0</v>
      </c>
      <c r="M158" s="408">
        <f t="shared" si="298"/>
        <v>0</v>
      </c>
      <c r="N158" s="408">
        <f t="shared" si="298"/>
        <v>0</v>
      </c>
      <c r="O158" s="408">
        <f t="shared" si="298"/>
        <v>0</v>
      </c>
      <c r="P158" s="408">
        <f t="shared" si="298"/>
        <v>0</v>
      </c>
      <c r="Q158" s="408">
        <f t="shared" si="298"/>
        <v>0</v>
      </c>
      <c r="R158" s="408">
        <f t="shared" si="298"/>
        <v>0</v>
      </c>
      <c r="S158" s="408">
        <f>S119-S156</f>
        <v>0</v>
      </c>
      <c r="T158" s="408">
        <f t="shared" ref="T158:X158" si="299">T119-T156</f>
        <v>0</v>
      </c>
      <c r="U158" s="408">
        <f t="shared" si="299"/>
        <v>0</v>
      </c>
      <c r="V158" s="408">
        <f t="shared" ref="V158" ca="1" si="300">V119-V156</f>
        <v>0</v>
      </c>
      <c r="W158" s="408">
        <f t="shared" ca="1" si="299"/>
        <v>0</v>
      </c>
      <c r="X158" s="408">
        <f t="shared" ca="1" si="299"/>
        <v>0</v>
      </c>
      <c r="Y158" s="283"/>
      <c r="Z158" s="314">
        <f t="shared" ref="Z158:AD158" si="301">ROUND(Z119-Z156,0)</f>
        <v>0</v>
      </c>
      <c r="AA158" s="314">
        <f t="shared" si="301"/>
        <v>0</v>
      </c>
      <c r="AB158" s="314">
        <f t="shared" si="301"/>
        <v>0</v>
      </c>
      <c r="AC158" s="314">
        <f t="shared" si="301"/>
        <v>0</v>
      </c>
      <c r="AD158" s="314">
        <f t="shared" si="301"/>
        <v>0</v>
      </c>
      <c r="AE158" s="408">
        <f>AE119-AE156</f>
        <v>0</v>
      </c>
      <c r="AF158" s="408">
        <f ca="1">AF119-AF156</f>
        <v>0</v>
      </c>
      <c r="AG158" s="408">
        <f ca="1">AG119-AG156</f>
        <v>0</v>
      </c>
      <c r="AH158" s="408">
        <f ca="1">AH119-AH156</f>
        <v>0</v>
      </c>
      <c r="AI158" s="283"/>
    </row>
    <row r="159" spans="2:35" ht="10.5" customHeight="1">
      <c r="Y159" s="283"/>
    </row>
    <row r="160" spans="2:35" s="283" customFormat="1" ht="10.5" customHeight="1">
      <c r="B160" s="286" t="s">
        <v>137</v>
      </c>
      <c r="C160" s="287" t="s">
        <v>448</v>
      </c>
      <c r="D160" s="287"/>
      <c r="E160" s="286"/>
      <c r="F160" s="286"/>
      <c r="G160" s="286"/>
      <c r="H160" s="286"/>
      <c r="I160" s="286"/>
      <c r="J160" s="286"/>
      <c r="K160" s="286"/>
      <c r="L160" s="286"/>
      <c r="M160" s="286"/>
      <c r="N160" s="286"/>
      <c r="O160" s="286"/>
      <c r="P160" s="286"/>
      <c r="Q160" s="286"/>
      <c r="R160" s="286"/>
      <c r="S160" s="286"/>
      <c r="T160" s="286"/>
      <c r="U160" s="286"/>
      <c r="V160" s="286"/>
      <c r="W160" s="286"/>
      <c r="X160" s="286"/>
      <c r="Z160" s="286"/>
      <c r="AA160" s="286"/>
      <c r="AB160" s="286"/>
      <c r="AC160" s="286"/>
      <c r="AD160" s="286"/>
      <c r="AE160" s="286"/>
      <c r="AF160" s="286"/>
      <c r="AG160" s="286"/>
      <c r="AH160" s="286"/>
    </row>
    <row r="161" spans="2:34" ht="10.5" customHeight="1">
      <c r="Y161" s="283"/>
    </row>
    <row r="162" spans="2:34" ht="10.5" customHeight="1">
      <c r="C162" s="281" t="s">
        <v>449</v>
      </c>
      <c r="V162" s="283">
        <f t="shared" ref="V162:X162" si="302">U166</f>
        <v>2298.8580000000002</v>
      </c>
      <c r="W162" s="283">
        <f t="shared" ca="1" si="302"/>
        <v>2295.2102794085249</v>
      </c>
      <c r="X162" s="283">
        <f t="shared" ca="1" si="302"/>
        <v>2296.8102464141057</v>
      </c>
      <c r="Y162" s="283"/>
      <c r="AG162" s="283">
        <f ca="1">AF166</f>
        <v>2302.5587655143349</v>
      </c>
      <c r="AH162" s="283">
        <f ca="1">AG166</f>
        <v>2286.6586583151725</v>
      </c>
    </row>
    <row r="163" spans="2:34" ht="10.5" customHeight="1">
      <c r="C163" s="392" t="s">
        <v>694</v>
      </c>
      <c r="V163" s="283">
        <f t="shared" ref="V163:X163" si="303">V168</f>
        <v>26.075998758594825</v>
      </c>
      <c r="W163" s="283">
        <f t="shared" si="303"/>
        <v>29.625467403122308</v>
      </c>
      <c r="X163" s="283">
        <f t="shared" si="303"/>
        <v>25.299533838282866</v>
      </c>
      <c r="Y163" s="283"/>
      <c r="AG163" s="283">
        <f t="shared" ref="AG163:AG165" si="304">AG168</f>
        <v>99.8</v>
      </c>
      <c r="AH163" s="283">
        <f t="shared" ref="AH163" si="305">AH168</f>
        <v>99.8</v>
      </c>
    </row>
    <row r="164" spans="2:34" ht="10.5" customHeight="1">
      <c r="C164" s="392" t="s">
        <v>695</v>
      </c>
      <c r="V164" s="283">
        <f t="shared" ref="V164:X164" ca="1" si="306">V169</f>
        <v>11.837912274218604</v>
      </c>
      <c r="W164" s="283">
        <f t="shared" ca="1" si="306"/>
        <v>10.220053765703266</v>
      </c>
      <c r="X164" s="283">
        <f t="shared" ca="1" si="306"/>
        <v>10.643799474412626</v>
      </c>
      <c r="Y164" s="283"/>
      <c r="AG164" s="283">
        <f t="shared" ca="1" si="304"/>
        <v>34.59989280083753</v>
      </c>
      <c r="AH164" s="283">
        <f t="shared" ref="AH164" ca="1" si="307">AH169</f>
        <v>37.17818123357398</v>
      </c>
    </row>
    <row r="165" spans="2:34" ht="10.5" customHeight="1">
      <c r="C165" s="392" t="s">
        <v>450</v>
      </c>
      <c r="V165" s="283">
        <f t="shared" ref="V165:X165" si="308">V170</f>
        <v>41.561631624288779</v>
      </c>
      <c r="W165" s="283">
        <f t="shared" si="308"/>
        <v>38.245554163244876</v>
      </c>
      <c r="X165" s="283">
        <f t="shared" si="308"/>
        <v>30.19481421246633</v>
      </c>
      <c r="Y165" s="283"/>
      <c r="AG165" s="283">
        <f t="shared" si="304"/>
        <v>150.30000000000001</v>
      </c>
      <c r="AH165" s="283">
        <f t="shared" ref="AH165" si="309">AH170</f>
        <v>162.30000000000001</v>
      </c>
    </row>
    <row r="166" spans="2:34" ht="10.5" customHeight="1">
      <c r="C166" s="320" t="s">
        <v>451</v>
      </c>
      <c r="E166" s="379">
        <f t="shared" ref="E166:T166" si="310">E113</f>
        <v>2008.704</v>
      </c>
      <c r="F166" s="379">
        <f t="shared" si="310"/>
        <v>2006.5920000000001</v>
      </c>
      <c r="G166" s="379">
        <f t="shared" si="310"/>
        <v>2487.4290000000001</v>
      </c>
      <c r="H166" s="379">
        <f t="shared" si="310"/>
        <v>2520.0039999999999</v>
      </c>
      <c r="I166" s="379">
        <f t="shared" si="310"/>
        <v>2508.9810000000002</v>
      </c>
      <c r="J166" s="379">
        <f t="shared" si="310"/>
        <v>2485.8690000000001</v>
      </c>
      <c r="K166" s="379">
        <f t="shared" si="310"/>
        <v>2455.511</v>
      </c>
      <c r="L166" s="379">
        <f t="shared" si="310"/>
        <v>2423.6979999999999</v>
      </c>
      <c r="M166" s="379">
        <f t="shared" si="310"/>
        <v>2393.1869999999999</v>
      </c>
      <c r="N166" s="379">
        <f t="shared" si="310"/>
        <v>2354.8829999999998</v>
      </c>
      <c r="O166" s="379">
        <f t="shared" si="310"/>
        <v>2342.038</v>
      </c>
      <c r="P166" s="379">
        <f t="shared" si="310"/>
        <v>2345.2190000000001</v>
      </c>
      <c r="Q166" s="379">
        <f t="shared" si="310"/>
        <v>2320.547</v>
      </c>
      <c r="R166" s="768">
        <f t="shared" si="310"/>
        <v>2305.3589999999999</v>
      </c>
      <c r="S166" s="768">
        <f t="shared" si="310"/>
        <v>2331.018</v>
      </c>
      <c r="T166" s="768">
        <f t="shared" si="310"/>
        <v>2310.81</v>
      </c>
      <c r="U166" s="768">
        <f t="shared" ref="U166" si="311">U113</f>
        <v>2298.8580000000002</v>
      </c>
      <c r="V166" s="379">
        <f t="shared" ref="V166:X166" ca="1" si="312">V162+V163+V164-V165</f>
        <v>2295.2102794085249</v>
      </c>
      <c r="W166" s="379">
        <f t="shared" ca="1" si="312"/>
        <v>2296.8102464141057</v>
      </c>
      <c r="X166" s="379">
        <f t="shared" ca="1" si="312"/>
        <v>2302.5587655143349</v>
      </c>
      <c r="Y166" s="283"/>
      <c r="Z166" s="379">
        <f t="shared" ref="Z166:AF166" si="313">Z113</f>
        <v>2032.6849999999999</v>
      </c>
      <c r="AA166" s="379">
        <f t="shared" si="313"/>
        <v>1999.3109999999999</v>
      </c>
      <c r="AB166" s="379">
        <f t="shared" si="313"/>
        <v>2520.0039999999999</v>
      </c>
      <c r="AC166" s="379">
        <f t="shared" si="313"/>
        <v>2423.6979999999999</v>
      </c>
      <c r="AD166" s="379">
        <f t="shared" si="313"/>
        <v>2345.2190000000001</v>
      </c>
      <c r="AE166" s="379">
        <f t="shared" si="313"/>
        <v>2310.81</v>
      </c>
      <c r="AF166" s="379">
        <f t="shared" ca="1" si="313"/>
        <v>2302.5587655143349</v>
      </c>
      <c r="AG166" s="379">
        <f ca="1">AG162+AG163+AG164-AG165</f>
        <v>2286.6586583151725</v>
      </c>
      <c r="AH166" s="379">
        <f ca="1">AH162+AH163+AH164-AH165</f>
        <v>2261.3368395487464</v>
      </c>
    </row>
    <row r="167" spans="2:34" ht="10.5" customHeight="1">
      <c r="C167" s="320"/>
      <c r="E167" s="313"/>
      <c r="F167" s="313"/>
      <c r="G167" s="313"/>
      <c r="H167" s="313"/>
      <c r="I167" s="313"/>
      <c r="J167" s="313"/>
      <c r="K167" s="313"/>
      <c r="L167" s="313"/>
      <c r="M167" s="313"/>
      <c r="N167" s="313"/>
      <c r="O167" s="313"/>
      <c r="P167" s="313"/>
      <c r="Q167" s="313"/>
      <c r="R167" s="313"/>
      <c r="S167" s="313"/>
      <c r="T167" s="313"/>
      <c r="U167" s="313"/>
      <c r="V167" s="313"/>
      <c r="W167" s="313"/>
      <c r="X167" s="313"/>
      <c r="Y167" s="283"/>
      <c r="Z167" s="313"/>
      <c r="AA167" s="313"/>
      <c r="AB167" s="313"/>
      <c r="AC167" s="313"/>
      <c r="AD167" s="313"/>
      <c r="AE167" s="313"/>
      <c r="AF167" s="313"/>
      <c r="AG167" s="313"/>
      <c r="AH167" s="313"/>
    </row>
    <row r="168" spans="2:34" ht="10.5" customHeight="1">
      <c r="C168" s="281" t="s">
        <v>691</v>
      </c>
      <c r="E168" s="317">
        <f>Segment!E703</f>
        <v>19.096</v>
      </c>
      <c r="F168" s="317">
        <f>Segment!F703</f>
        <v>26.189</v>
      </c>
      <c r="G168" s="317">
        <f>Segment!G703</f>
        <v>27.524000000000001</v>
      </c>
      <c r="H168" s="317">
        <f>Segment!H703</f>
        <v>36.764000000000003</v>
      </c>
      <c r="I168" s="317">
        <f>Segment!I703</f>
        <v>24.278000000000002</v>
      </c>
      <c r="J168" s="317">
        <f>Segment!J703</f>
        <v>31.969000000000001</v>
      </c>
      <c r="K168" s="317">
        <f>Segment!K703</f>
        <v>25.036000000000001</v>
      </c>
      <c r="L168" s="317">
        <f>Segment!L703</f>
        <v>22.45</v>
      </c>
      <c r="M168" s="317">
        <f>Segment!M703</f>
        <v>14.898</v>
      </c>
      <c r="N168" s="317">
        <f>Segment!N703</f>
        <v>9.5519999999999996</v>
      </c>
      <c r="O168" s="317">
        <f>Segment!O703</f>
        <v>20.176000000000002</v>
      </c>
      <c r="P168" s="317">
        <f>Segment!P703</f>
        <v>28.504000000000001</v>
      </c>
      <c r="Q168" s="317">
        <f>Segment!Q703</f>
        <v>18.193000000000001</v>
      </c>
      <c r="R168" s="317">
        <f>Segment!R703</f>
        <v>17.690999999999999</v>
      </c>
      <c r="S168" s="317">
        <f>Segment!S703</f>
        <v>21.871000000000002</v>
      </c>
      <c r="T168" s="317">
        <f>Segment!T703</f>
        <v>28.483000000000004</v>
      </c>
      <c r="U168" s="317">
        <f>Segment!U703</f>
        <v>18.798999999999999</v>
      </c>
      <c r="V168" s="317">
        <f>Segment!V703</f>
        <v>26.075998758594825</v>
      </c>
      <c r="W168" s="317">
        <f>Segment!W703</f>
        <v>29.625467403122308</v>
      </c>
      <c r="X168" s="317">
        <f>Segment!X703</f>
        <v>25.299533838282866</v>
      </c>
      <c r="Y168" s="283"/>
      <c r="Z168" s="317">
        <f>Segment!Z703</f>
        <v>157.041</v>
      </c>
      <c r="AA168" s="317">
        <f>Segment!AA703</f>
        <v>96.782000000000011</v>
      </c>
      <c r="AB168" s="317">
        <f>Segment!AB703</f>
        <v>109.57300000000001</v>
      </c>
      <c r="AC168" s="317">
        <f>Segment!AC703</f>
        <v>103.733</v>
      </c>
      <c r="AD168" s="317">
        <f>Segment!AD703</f>
        <v>73.13</v>
      </c>
      <c r="AE168" s="317">
        <f>Segment!AE703</f>
        <v>86.238</v>
      </c>
      <c r="AF168" s="317">
        <f>Segment!AF703</f>
        <v>99.8</v>
      </c>
      <c r="AG168" s="317">
        <f>Segment!AG703</f>
        <v>99.8</v>
      </c>
      <c r="AH168" s="317">
        <f>Segment!AH703</f>
        <v>99.8</v>
      </c>
    </row>
    <row r="169" spans="2:34" ht="10.5" customHeight="1">
      <c r="C169" s="281" t="s">
        <v>692</v>
      </c>
      <c r="E169" s="283">
        <f>-E213-E168</f>
        <v>-1.4609999999999985</v>
      </c>
      <c r="F169" s="283">
        <f t="shared" ref="F169:R169" si="314">-F213-F168</f>
        <v>-0.51999999999999957</v>
      </c>
      <c r="G169" s="283">
        <f t="shared" si="314"/>
        <v>12.456999999999994</v>
      </c>
      <c r="H169" s="283">
        <f t="shared" si="314"/>
        <v>16.883999999999993</v>
      </c>
      <c r="I169" s="283">
        <f t="shared" si="314"/>
        <v>8.7929999999999957</v>
      </c>
      <c r="J169" s="283">
        <f t="shared" si="314"/>
        <v>6.2050000000000054</v>
      </c>
      <c r="K169" s="283">
        <f t="shared" si="314"/>
        <v>1.0569999999999879</v>
      </c>
      <c r="L169" s="283">
        <f t="shared" si="314"/>
        <v>1.6330000000000133</v>
      </c>
      <c r="M169" s="283">
        <f t="shared" si="314"/>
        <v>4.9720000000000013</v>
      </c>
      <c r="N169" s="283">
        <f t="shared" si="314"/>
        <v>1.2669999999999995</v>
      </c>
      <c r="O169" s="283">
        <f t="shared" si="314"/>
        <v>3.5169999999999959</v>
      </c>
      <c r="P169" s="283">
        <f t="shared" si="314"/>
        <v>8.1300000000000061</v>
      </c>
      <c r="Q169" s="283">
        <f t="shared" si="314"/>
        <v>3.2199999999999989</v>
      </c>
      <c r="R169" s="283">
        <f t="shared" si="314"/>
        <v>14.207000000000001</v>
      </c>
      <c r="S169" s="283">
        <f t="shared" ref="S169:T169" si="315">-S213-S168</f>
        <v>5.2279999999999944</v>
      </c>
      <c r="T169" s="283">
        <f t="shared" si="315"/>
        <v>1.0240000000000009</v>
      </c>
      <c r="U169" s="283">
        <f t="shared" ref="U169" si="316">-U213-U168</f>
        <v>2.679000000000002</v>
      </c>
      <c r="V169" s="283">
        <f ca="1">V172*V10</f>
        <v>11.837912274218604</v>
      </c>
      <c r="W169" s="283">
        <f ca="1">W172*W10</f>
        <v>10.220053765703266</v>
      </c>
      <c r="X169" s="283">
        <f ca="1">X172*X10</f>
        <v>10.643799474412626</v>
      </c>
      <c r="Y169" s="283"/>
      <c r="Z169" s="283">
        <f t="shared" ref="Z169:AA169" si="317">-Z213-Z168</f>
        <v>7.7470000000000141</v>
      </c>
      <c r="AA169" s="283">
        <f t="shared" si="317"/>
        <v>1.255999999999986</v>
      </c>
      <c r="AB169" s="283">
        <f t="shared" ref="AB169:AF169" si="318">SUMIF($E$5:$X$5,AB$5,$E169:$X169)</f>
        <v>27.359999999999989</v>
      </c>
      <c r="AC169" s="283">
        <f t="shared" si="318"/>
        <v>17.688000000000002</v>
      </c>
      <c r="AD169" s="283">
        <f t="shared" si="318"/>
        <v>17.886000000000003</v>
      </c>
      <c r="AE169" s="283">
        <f t="shared" si="318"/>
        <v>23.678999999999995</v>
      </c>
      <c r="AF169" s="283">
        <f t="shared" ca="1" si="318"/>
        <v>35.380765514334499</v>
      </c>
      <c r="AG169" s="283">
        <f ca="1">AG172*AG10</f>
        <v>34.59989280083753</v>
      </c>
      <c r="AH169" s="283">
        <f ca="1">AH172*AH10</f>
        <v>37.17818123357398</v>
      </c>
    </row>
    <row r="170" spans="2:34" ht="10.5" customHeight="1">
      <c r="C170" s="281" t="s">
        <v>693</v>
      </c>
      <c r="E170" s="317">
        <f>Segment!E22</f>
        <v>28.053999999999998</v>
      </c>
      <c r="F170" s="317">
        <f>Segment!F22</f>
        <v>31.817</v>
      </c>
      <c r="G170" s="317">
        <f>Segment!G22</f>
        <v>43.463999999999999</v>
      </c>
      <c r="H170" s="317">
        <f>Segment!H22</f>
        <v>35.593000000000011</v>
      </c>
      <c r="I170" s="317">
        <f>Segment!I22</f>
        <v>38.786999999999999</v>
      </c>
      <c r="J170" s="317">
        <f>Segment!J22</f>
        <v>49.477000000000004</v>
      </c>
      <c r="K170" s="317">
        <f>Segment!K22</f>
        <v>50.774000000000001</v>
      </c>
      <c r="L170" s="317">
        <f>Segment!L22</f>
        <v>60.480000000000004</v>
      </c>
      <c r="M170" s="317">
        <f>Segment!M22</f>
        <v>37.814999999999998</v>
      </c>
      <c r="N170" s="317">
        <f>Segment!N22</f>
        <v>36.686999999999998</v>
      </c>
      <c r="O170" s="317">
        <f>Segment!O22</f>
        <v>37.99</v>
      </c>
      <c r="P170" s="317">
        <f>Segment!P22</f>
        <v>35.618000000000002</v>
      </c>
      <c r="Q170" s="317">
        <f>Segment!Q22</f>
        <v>46.742000000000004</v>
      </c>
      <c r="R170" s="317">
        <f>Segment!R22</f>
        <v>45.731999999999999</v>
      </c>
      <c r="S170" s="317">
        <f>Segment!S22</f>
        <v>45.79</v>
      </c>
      <c r="T170" s="317">
        <f>Segment!T22</f>
        <v>32.875</v>
      </c>
      <c r="U170" s="317">
        <f>Segment!U22</f>
        <v>35.298000000000002</v>
      </c>
      <c r="V170" s="317">
        <f>Segment!V22</f>
        <v>41.561631624288779</v>
      </c>
      <c r="W170" s="317">
        <f>Segment!W22</f>
        <v>38.245554163244876</v>
      </c>
      <c r="X170" s="317">
        <f>Segment!X22</f>
        <v>30.19481421246633</v>
      </c>
      <c r="Y170" s="283"/>
      <c r="Z170" s="317">
        <f>Segment!Z22</f>
        <v>123.631</v>
      </c>
      <c r="AA170" s="317">
        <f>Segment!AA22</f>
        <v>120.599</v>
      </c>
      <c r="AB170" s="317">
        <f>Segment!AB22</f>
        <v>138.928</v>
      </c>
      <c r="AC170" s="317">
        <f>Segment!AC22</f>
        <v>199.51800000000003</v>
      </c>
      <c r="AD170" s="317">
        <f>Segment!AD22</f>
        <v>148.10999999999999</v>
      </c>
      <c r="AE170" s="317">
        <f>Segment!AE22</f>
        <v>171.13900000000001</v>
      </c>
      <c r="AF170" s="317">
        <f>Segment!AF22</f>
        <v>145.29999999999998</v>
      </c>
      <c r="AG170" s="317">
        <f>Segment!AG22</f>
        <v>150.30000000000001</v>
      </c>
      <c r="AH170" s="317">
        <f>Segment!AH22</f>
        <v>162.30000000000001</v>
      </c>
    </row>
    <row r="171" spans="2:34" ht="10.5" customHeight="1">
      <c r="Y171" s="283"/>
    </row>
    <row r="172" spans="2:34" ht="10.5" customHeight="1">
      <c r="C172" s="281" t="s">
        <v>452</v>
      </c>
      <c r="E172" s="285">
        <f t="shared" ref="E172:T172" si="319">E169/E10</f>
        <v>-1.0457450844254833E-2</v>
      </c>
      <c r="F172" s="285">
        <f t="shared" si="319"/>
        <v>-3.5311933396260983E-3</v>
      </c>
      <c r="G172" s="285">
        <f t="shared" si="319"/>
        <v>8.671832035029825E-2</v>
      </c>
      <c r="H172" s="285">
        <f t="shared" si="319"/>
        <v>0.12367418693231755</v>
      </c>
      <c r="I172" s="285">
        <f t="shared" si="319"/>
        <v>5.7614813552880714E-2</v>
      </c>
      <c r="J172" s="285">
        <f t="shared" si="319"/>
        <v>4.6246608830456469E-2</v>
      </c>
      <c r="K172" s="285">
        <f t="shared" si="319"/>
        <v>6.5435950771363435E-3</v>
      </c>
      <c r="L172" s="285">
        <f t="shared" si="319"/>
        <v>7.2595523350152853E-3</v>
      </c>
      <c r="M172" s="285">
        <f t="shared" si="319"/>
        <v>3.631184955267483E-2</v>
      </c>
      <c r="N172" s="285">
        <f t="shared" si="319"/>
        <v>7.6162423732379523E-3</v>
      </c>
      <c r="O172" s="285">
        <f t="shared" si="319"/>
        <v>1.7611152561553888E-2</v>
      </c>
      <c r="P172" s="285">
        <f t="shared" si="319"/>
        <v>4.3040923288686569E-2</v>
      </c>
      <c r="Q172" s="285">
        <f t="shared" si="319"/>
        <v>1.5271375182592523E-2</v>
      </c>
      <c r="R172" s="285">
        <f t="shared" si="319"/>
        <v>6.5174807209736535E-2</v>
      </c>
      <c r="S172" s="285">
        <f t="shared" si="319"/>
        <v>2.7009712750568269E-2</v>
      </c>
      <c r="T172" s="285">
        <f t="shared" si="319"/>
        <v>5.5328023860210336E-3</v>
      </c>
      <c r="U172" s="285">
        <f t="shared" ref="U172" si="320">U169/U10</f>
        <v>1.4364688282510909E-2</v>
      </c>
      <c r="V172" s="405">
        <v>5.2999999999999999E-2</v>
      </c>
      <c r="W172" s="405">
        <v>5.2999999999999999E-2</v>
      </c>
      <c r="X172" s="405">
        <v>4.8000000000000001E-2</v>
      </c>
      <c r="Y172" s="283"/>
      <c r="Z172" s="285">
        <f t="shared" ref="Z172:AF172" si="321">Z169/Z10</f>
        <v>1.1993058361469904E-2</v>
      </c>
      <c r="AA172" s="285">
        <f t="shared" si="321"/>
        <v>2.1738566050798079E-3</v>
      </c>
      <c r="AB172" s="285">
        <f t="shared" si="321"/>
        <v>4.8242311822363895E-2</v>
      </c>
      <c r="AC172" s="285">
        <f t="shared" si="321"/>
        <v>2.627193412410548E-2</v>
      </c>
      <c r="AD172" s="285">
        <f t="shared" si="321"/>
        <v>2.5851565243910378E-2</v>
      </c>
      <c r="AE172" s="285">
        <f t="shared" si="321"/>
        <v>2.9324819529569404E-2</v>
      </c>
      <c r="AF172" s="285">
        <f t="shared" ca="1" si="321"/>
        <v>4.291527811844234E-2</v>
      </c>
      <c r="AG172" s="405">
        <v>0.04</v>
      </c>
      <c r="AH172" s="405">
        <v>0.04</v>
      </c>
    </row>
    <row r="173" spans="2:34" ht="10.5" customHeight="1">
      <c r="Y173" s="283"/>
    </row>
    <row r="174" spans="2:34" s="283" customFormat="1" ht="10.5" customHeight="1">
      <c r="B174" s="286" t="s">
        <v>137</v>
      </c>
      <c r="C174" s="287" t="s">
        <v>420</v>
      </c>
      <c r="D174" s="287"/>
      <c r="E174" s="286"/>
      <c r="F174" s="286"/>
      <c r="G174" s="286"/>
      <c r="H174" s="286"/>
      <c r="I174" s="286"/>
      <c r="J174" s="286"/>
      <c r="K174" s="286"/>
      <c r="L174" s="286"/>
      <c r="M174" s="286"/>
      <c r="N174" s="286"/>
      <c r="O174" s="286"/>
      <c r="P174" s="286"/>
      <c r="Q174" s="286"/>
      <c r="R174" s="286"/>
      <c r="S174" s="286"/>
      <c r="T174" s="286"/>
      <c r="U174" s="286"/>
      <c r="V174" s="286"/>
      <c r="W174" s="286"/>
      <c r="X174" s="286"/>
      <c r="Z174" s="286"/>
      <c r="AA174" s="286"/>
      <c r="AB174" s="286"/>
      <c r="AC174" s="286"/>
      <c r="AD174" s="286"/>
      <c r="AE174" s="286"/>
      <c r="AF174" s="286"/>
      <c r="AG174" s="286"/>
      <c r="AH174" s="286"/>
    </row>
    <row r="175" spans="2:34" s="283" customFormat="1" ht="10.5" customHeight="1">
      <c r="C175" s="394"/>
      <c r="D175" s="394"/>
    </row>
    <row r="176" spans="2:34" ht="10.5" customHeight="1">
      <c r="C176" s="281" t="s">
        <v>425</v>
      </c>
      <c r="V176" s="283"/>
      <c r="W176" s="283"/>
      <c r="X176" s="283"/>
      <c r="Y176" s="283"/>
    </row>
    <row r="177" spans="2:52" ht="10.5" customHeight="1">
      <c r="C177" s="402" t="s">
        <v>752</v>
      </c>
      <c r="E177" s="285">
        <f t="shared" ref="E177:T177" si="322">E106/E10</f>
        <v>0.12432269932502558</v>
      </c>
      <c r="F177" s="285">
        <f t="shared" si="322"/>
        <v>0.11548360371861822</v>
      </c>
      <c r="G177" s="285">
        <f t="shared" si="322"/>
        <v>0.14973999122861978</v>
      </c>
      <c r="H177" s="285">
        <f t="shared" si="322"/>
        <v>8.1885438031057717E-2</v>
      </c>
      <c r="I177" s="285">
        <f t="shared" si="322"/>
        <v>5.3984811652699249E-2</v>
      </c>
      <c r="J177" s="285">
        <f t="shared" si="322"/>
        <v>0.11570223295471484</v>
      </c>
      <c r="K177" s="285">
        <f t="shared" si="322"/>
        <v>6.4383527722061268E-2</v>
      </c>
      <c r="L177" s="285">
        <f t="shared" si="322"/>
        <v>5.303963191002245E-2</v>
      </c>
      <c r="M177" s="285">
        <f t="shared" si="322"/>
        <v>0.13725762278619683</v>
      </c>
      <c r="N177" s="285">
        <f t="shared" si="322"/>
        <v>5.750954284512038E-2</v>
      </c>
      <c r="O177" s="285">
        <f t="shared" si="322"/>
        <v>3.6559290546461495E-2</v>
      </c>
      <c r="P177" s="285">
        <f t="shared" si="322"/>
        <v>8.2820689290063004E-2</v>
      </c>
      <c r="Q177" s="285">
        <f t="shared" si="322"/>
        <v>6.1517083072486864E-2</v>
      </c>
      <c r="R177" s="285">
        <f t="shared" si="322"/>
        <v>4.6783464765600989E-2</v>
      </c>
      <c r="S177" s="285">
        <f t="shared" si="322"/>
        <v>6.5840049597024178E-2</v>
      </c>
      <c r="T177" s="285">
        <f t="shared" si="322"/>
        <v>0.10409665114168079</v>
      </c>
      <c r="U177" s="285">
        <f t="shared" ref="U177" si="323">U106/U10</f>
        <v>9.0761880760754754E-2</v>
      </c>
      <c r="V177" s="405">
        <f t="shared" ref="V177:X177" si="324">U177</f>
        <v>9.0761880760754754E-2</v>
      </c>
      <c r="W177" s="405">
        <f t="shared" si="324"/>
        <v>9.0761880760754754E-2</v>
      </c>
      <c r="X177" s="405">
        <f t="shared" si="324"/>
        <v>9.0761880760754754E-2</v>
      </c>
      <c r="Y177" s="283"/>
      <c r="Z177" s="285">
        <f t="shared" ref="Z177:AF177" si="325">Z106/Z10</f>
        <v>1.8770599281376314E-2</v>
      </c>
      <c r="AA177" s="285">
        <f t="shared" si="325"/>
        <v>1.8908744753580547E-2</v>
      </c>
      <c r="AB177" s="285">
        <f t="shared" si="325"/>
        <v>1.9711286690870109E-2</v>
      </c>
      <c r="AC177" s="285">
        <f t="shared" si="325"/>
        <v>1.7721079038596925E-2</v>
      </c>
      <c r="AD177" s="285">
        <f t="shared" si="325"/>
        <v>2.2611086138641052E-2</v>
      </c>
      <c r="AE177" s="285">
        <f t="shared" si="325"/>
        <v>2.38596213124154E-2</v>
      </c>
      <c r="AF177" s="285">
        <f t="shared" ca="1" si="325"/>
        <v>2.4412015635901993E-2</v>
      </c>
      <c r="AG177" s="405">
        <v>2.3E-2</v>
      </c>
      <c r="AH177" s="405">
        <v>0.03</v>
      </c>
    </row>
    <row r="178" spans="2:52" ht="10.5" customHeight="1">
      <c r="C178" s="402" t="s">
        <v>753</v>
      </c>
      <c r="E178" s="285">
        <f t="shared" ref="E178:T178" si="326">E122/E10</f>
        <v>0.15331868383568703</v>
      </c>
      <c r="F178" s="285">
        <f t="shared" si="326"/>
        <v>0.16067608770940997</v>
      </c>
      <c r="G178" s="285">
        <f t="shared" si="326"/>
        <v>0.20527814325195443</v>
      </c>
      <c r="H178" s="285">
        <f t="shared" si="326"/>
        <v>0.21999707002636973</v>
      </c>
      <c r="I178" s="285">
        <f t="shared" si="326"/>
        <v>0.23873487226193676</v>
      </c>
      <c r="J178" s="285">
        <f t="shared" si="326"/>
        <v>0.15917628119130667</v>
      </c>
      <c r="K178" s="285">
        <f t="shared" si="326"/>
        <v>0.14329668424832229</v>
      </c>
      <c r="L178" s="285">
        <f t="shared" si="326"/>
        <v>0.11965591589055102</v>
      </c>
      <c r="M178" s="285">
        <f t="shared" si="326"/>
        <v>0.25180208143144056</v>
      </c>
      <c r="N178" s="285">
        <f t="shared" si="326"/>
        <v>0.147642090709627</v>
      </c>
      <c r="O178" s="285">
        <f t="shared" si="326"/>
        <v>0.1462221398777184</v>
      </c>
      <c r="P178" s="285">
        <f t="shared" si="326"/>
        <v>0.16838900947641486</v>
      </c>
      <c r="Q178" s="285">
        <f t="shared" si="326"/>
        <v>0.10813271868419555</v>
      </c>
      <c r="R178" s="285">
        <f t="shared" si="326"/>
        <v>0.1113389576251359</v>
      </c>
      <c r="S178" s="285">
        <f t="shared" si="326"/>
        <v>0.13687228766274023</v>
      </c>
      <c r="T178" s="285">
        <f t="shared" si="326"/>
        <v>0.15514539815645295</v>
      </c>
      <c r="U178" s="285">
        <f t="shared" ref="U178" si="327">U122/U10</f>
        <v>0.18693934015731986</v>
      </c>
      <c r="V178" s="405">
        <v>0.16500000000000001</v>
      </c>
      <c r="W178" s="405">
        <v>0.16500000000000001</v>
      </c>
      <c r="X178" s="405">
        <v>0.16500000000000001</v>
      </c>
      <c r="Y178" s="283"/>
      <c r="Z178" s="285">
        <f t="shared" ref="Z178:AF178" si="328">Z122/Z10</f>
        <v>5.6528530536862361E-2</v>
      </c>
      <c r="AA178" s="285">
        <f t="shared" si="328"/>
        <v>5.4102375492189866E-2</v>
      </c>
      <c r="AB178" s="285">
        <f t="shared" si="328"/>
        <v>5.2957221976347869E-2</v>
      </c>
      <c r="AC178" s="285">
        <f t="shared" si="328"/>
        <v>3.9978255251267698E-2</v>
      </c>
      <c r="AD178" s="285">
        <f t="shared" si="328"/>
        <v>4.5972309947056762E-2</v>
      </c>
      <c r="AE178" s="285">
        <f t="shared" si="328"/>
        <v>3.5560322140802229E-2</v>
      </c>
      <c r="AF178" s="285">
        <f t="shared" ca="1" si="328"/>
        <v>4.4379672899699532E-2</v>
      </c>
      <c r="AG178" s="405">
        <v>0.04</v>
      </c>
      <c r="AH178" s="405">
        <v>0.02</v>
      </c>
    </row>
    <row r="179" spans="2:52" ht="10.5" customHeight="1">
      <c r="C179" s="402" t="s">
        <v>754</v>
      </c>
      <c r="E179" s="285">
        <f t="shared" ref="E179:T179" si="329">E136/E10</f>
        <v>0.62416880802238939</v>
      </c>
      <c r="F179" s="285">
        <f t="shared" si="329"/>
        <v>0.58683679775090158</v>
      </c>
      <c r="G179" s="285">
        <f t="shared" si="329"/>
        <v>0.73745727432839758</v>
      </c>
      <c r="H179" s="285">
        <f t="shared" si="329"/>
        <v>0.79394227951948426</v>
      </c>
      <c r="I179" s="285">
        <f t="shared" si="329"/>
        <v>0.71755440088587785</v>
      </c>
      <c r="J179" s="285">
        <f t="shared" si="329"/>
        <v>0.82435977700265328</v>
      </c>
      <c r="K179" s="285">
        <f t="shared" si="329"/>
        <v>0.68889136517841654</v>
      </c>
      <c r="L179" s="285">
        <f t="shared" si="329"/>
        <v>0.48177999066438471</v>
      </c>
      <c r="M179" s="285">
        <f t="shared" si="329"/>
        <v>0.75067372649260544</v>
      </c>
      <c r="N179" s="285">
        <f t="shared" si="329"/>
        <v>0.62852333864326293</v>
      </c>
      <c r="O179" s="285">
        <f t="shared" si="329"/>
        <v>0.53060795280992268</v>
      </c>
      <c r="P179" s="285">
        <f t="shared" si="329"/>
        <v>0.6143681507755836</v>
      </c>
      <c r="Q179" s="285">
        <f t="shared" si="329"/>
        <v>0.57036689241743022</v>
      </c>
      <c r="R179" s="285">
        <f t="shared" si="329"/>
        <v>0.55346059096351552</v>
      </c>
      <c r="S179" s="285">
        <f t="shared" si="329"/>
        <v>0.61844389336639805</v>
      </c>
      <c r="T179" s="285">
        <f t="shared" si="329"/>
        <v>0.61180151071440148</v>
      </c>
      <c r="U179" s="285">
        <f t="shared" ref="U179" si="330">U136/U10</f>
        <v>0.61236789473401998</v>
      </c>
      <c r="V179" s="405">
        <v>0.5</v>
      </c>
      <c r="W179" s="405">
        <v>0.55000000000000004</v>
      </c>
      <c r="X179" s="405">
        <v>0.5</v>
      </c>
      <c r="Y179" s="283"/>
      <c r="Z179" s="285">
        <f t="shared" ref="Z179:AF179" si="331">Z136/Z10</f>
        <v>0.13248559888661321</v>
      </c>
      <c r="AA179" s="285">
        <f t="shared" si="331"/>
        <v>0.14892475444593484</v>
      </c>
      <c r="AB179" s="285">
        <f t="shared" si="331"/>
        <v>0.1911160795363378</v>
      </c>
      <c r="AC179" s="285">
        <f t="shared" si="331"/>
        <v>0.16096758190670551</v>
      </c>
      <c r="AD179" s="285">
        <f t="shared" si="331"/>
        <v>0.16773020482082693</v>
      </c>
      <c r="AE179" s="285">
        <f t="shared" si="331"/>
        <v>0.14022883737289049</v>
      </c>
      <c r="AF179" s="285">
        <f t="shared" ca="1" si="331"/>
        <v>0.13448385727181678</v>
      </c>
      <c r="AG179" s="405">
        <v>0.125</v>
      </c>
      <c r="AH179" s="405">
        <v>0.12</v>
      </c>
    </row>
    <row r="180" spans="2:52" ht="10.5" customHeight="1">
      <c r="X180" s="322"/>
      <c r="Y180" s="322"/>
      <c r="Z180" s="285"/>
    </row>
    <row r="181" spans="2:52" ht="10.5" customHeight="1">
      <c r="C181" s="281" t="s">
        <v>421</v>
      </c>
      <c r="H181" s="403">
        <f t="shared" ref="H181:U181" si="332">365/((SUM(E10:H10)/H98))</f>
        <v>16.616038100141591</v>
      </c>
      <c r="I181" s="403">
        <f t="shared" si="332"/>
        <v>19.871449628908106</v>
      </c>
      <c r="J181" s="403">
        <f t="shared" si="332"/>
        <v>25.474638332998214</v>
      </c>
      <c r="K181" s="403">
        <f t="shared" si="332"/>
        <v>23.204084528957441</v>
      </c>
      <c r="L181" s="403">
        <f t="shared" si="332"/>
        <v>20.829308178342586</v>
      </c>
      <c r="M181" s="403">
        <f t="shared" si="332"/>
        <v>15.42929769121042</v>
      </c>
      <c r="N181" s="403">
        <f t="shared" si="332"/>
        <v>22.066996058032029</v>
      </c>
      <c r="O181" s="403">
        <f t="shared" si="332"/>
        <v>20.783490949654364</v>
      </c>
      <c r="P181" s="403">
        <f t="shared" si="332"/>
        <v>20.676403039286111</v>
      </c>
      <c r="Q181" s="403">
        <f t="shared" si="332"/>
        <v>20.851899973883523</v>
      </c>
      <c r="R181" s="403">
        <f t="shared" si="332"/>
        <v>22.614132376184813</v>
      </c>
      <c r="S181" s="403">
        <f t="shared" si="332"/>
        <v>19.333705171425581</v>
      </c>
      <c r="T181" s="403">
        <f t="shared" si="332"/>
        <v>20.154098031760814</v>
      </c>
      <c r="U181" s="403">
        <f t="shared" si="332"/>
        <v>19.533596383695986</v>
      </c>
      <c r="V181" s="406">
        <v>19</v>
      </c>
      <c r="W181" s="406">
        <v>19</v>
      </c>
      <c r="X181" s="406">
        <f>W181-1</f>
        <v>18</v>
      </c>
      <c r="Y181" s="283"/>
      <c r="Z181" s="403">
        <f t="shared" ref="Z181:AF181" si="333">365/(Z10/Z98)</f>
        <v>16.979280354574684</v>
      </c>
      <c r="AA181" s="403">
        <f t="shared" si="333"/>
        <v>20.335511228419367</v>
      </c>
      <c r="AB181" s="403">
        <f t="shared" si="333"/>
        <v>16.616038100141591</v>
      </c>
      <c r="AC181" s="403">
        <f t="shared" si="333"/>
        <v>20.829308178342586</v>
      </c>
      <c r="AD181" s="403">
        <f t="shared" si="333"/>
        <v>20.676403039286111</v>
      </c>
      <c r="AE181" s="403">
        <f t="shared" si="333"/>
        <v>20.154098031760814</v>
      </c>
      <c r="AF181" s="403">
        <f t="shared" ca="1" si="333"/>
        <v>18</v>
      </c>
      <c r="AG181" s="406">
        <v>16</v>
      </c>
      <c r="AH181" s="406">
        <v>29</v>
      </c>
    </row>
    <row r="182" spans="2:52" ht="10.5" customHeight="1">
      <c r="C182" s="281" t="s">
        <v>422</v>
      </c>
      <c r="H182" s="403">
        <f t="shared" ref="H182:U182" si="334">365/((SUM(E11:H11)/H102))</f>
        <v>91.51712927157628</v>
      </c>
      <c r="I182" s="403">
        <f t="shared" si="334"/>
        <v>74.273162505463944</v>
      </c>
      <c r="J182" s="403">
        <f t="shared" si="334"/>
        <v>71.559087868653094</v>
      </c>
      <c r="K182" s="403">
        <f t="shared" si="334"/>
        <v>86.749239224565443</v>
      </c>
      <c r="L182" s="403">
        <f t="shared" si="334"/>
        <v>53.664480214233841</v>
      </c>
      <c r="M182" s="403">
        <f t="shared" si="334"/>
        <v>64.413025655241114</v>
      </c>
      <c r="N182" s="403">
        <f t="shared" si="334"/>
        <v>73.072061081292162</v>
      </c>
      <c r="O182" s="403">
        <f t="shared" si="334"/>
        <v>76.254499940398134</v>
      </c>
      <c r="P182" s="403">
        <f t="shared" si="334"/>
        <v>92.087711641836279</v>
      </c>
      <c r="Q182" s="403">
        <f t="shared" si="334"/>
        <v>87.396299081375489</v>
      </c>
      <c r="R182" s="403">
        <f t="shared" si="334"/>
        <v>73.42766868577138</v>
      </c>
      <c r="S182" s="403">
        <f t="shared" si="334"/>
        <v>50.556242904309194</v>
      </c>
      <c r="T182" s="403">
        <f t="shared" si="334"/>
        <v>59.100254950264386</v>
      </c>
      <c r="U182" s="403">
        <f t="shared" si="334"/>
        <v>62.39031702822291</v>
      </c>
      <c r="V182" s="406">
        <f>U182+1</f>
        <v>63.39031702822291</v>
      </c>
      <c r="W182" s="406">
        <f t="shared" ref="W182" si="335">V182+1</f>
        <v>64.39031702822291</v>
      </c>
      <c r="X182" s="406">
        <f>W182</f>
        <v>64.39031702822291</v>
      </c>
      <c r="Y182" s="283"/>
      <c r="Z182" s="403">
        <f t="shared" ref="Z182:AF182" si="336">365/(Z11/Z102)</f>
        <v>53.967028744550362</v>
      </c>
      <c r="AA182" s="403">
        <f t="shared" si="336"/>
        <v>66.436810653470161</v>
      </c>
      <c r="AB182" s="403">
        <f t="shared" si="336"/>
        <v>91.51712927157628</v>
      </c>
      <c r="AC182" s="403">
        <f t="shared" si="336"/>
        <v>53.664480214233841</v>
      </c>
      <c r="AD182" s="403">
        <f t="shared" si="336"/>
        <v>92.087711641836279</v>
      </c>
      <c r="AE182" s="403">
        <f t="shared" si="336"/>
        <v>59.100254950264386</v>
      </c>
      <c r="AF182" s="403">
        <f t="shared" ca="1" si="336"/>
        <v>64.39031702822291</v>
      </c>
      <c r="AG182" s="406">
        <v>60</v>
      </c>
      <c r="AH182" s="406">
        <v>68</v>
      </c>
    </row>
    <row r="183" spans="2:52" ht="10.5" customHeight="1">
      <c r="C183" s="281" t="s">
        <v>423</v>
      </c>
      <c r="H183" s="403">
        <f t="shared" ref="H183:U183" si="337">365/(SUM(E11:H11)/H121)</f>
        <v>81.404901034058042</v>
      </c>
      <c r="I183" s="403">
        <f t="shared" si="337"/>
        <v>58.229766674339878</v>
      </c>
      <c r="J183" s="403">
        <f t="shared" si="337"/>
        <v>61.557044694435994</v>
      </c>
      <c r="K183" s="403">
        <f t="shared" si="337"/>
        <v>51.086614706551146</v>
      </c>
      <c r="L183" s="403">
        <f t="shared" si="337"/>
        <v>46.777810098390361</v>
      </c>
      <c r="M183" s="403">
        <f t="shared" si="337"/>
        <v>42.389536345120668</v>
      </c>
      <c r="N183" s="403">
        <f t="shared" si="337"/>
        <v>36.109329789014389</v>
      </c>
      <c r="O183" s="403">
        <f t="shared" si="337"/>
        <v>48.134402193348429</v>
      </c>
      <c r="P183" s="403">
        <f t="shared" si="337"/>
        <v>65.353431086883248</v>
      </c>
      <c r="Q183" s="403">
        <f t="shared" si="337"/>
        <v>49.265430656044217</v>
      </c>
      <c r="R183" s="403">
        <f t="shared" si="337"/>
        <v>55.036676091310731</v>
      </c>
      <c r="S183" s="403">
        <f t="shared" si="337"/>
        <v>54.13088305353498</v>
      </c>
      <c r="T183" s="403">
        <f t="shared" si="337"/>
        <v>59.392420307135026</v>
      </c>
      <c r="U183" s="403">
        <f t="shared" si="337"/>
        <v>62.984429227588656</v>
      </c>
      <c r="V183" s="406">
        <f>U183+2</f>
        <v>64.984429227588663</v>
      </c>
      <c r="W183" s="406">
        <f t="shared" ref="W183:X183" si="338">V183+2</f>
        <v>66.984429227588663</v>
      </c>
      <c r="X183" s="406">
        <f t="shared" si="338"/>
        <v>68.984429227588663</v>
      </c>
      <c r="Y183" s="283"/>
      <c r="Z183" s="403">
        <f>365/(Z11/Z121)</f>
        <v>64.799704426217389</v>
      </c>
      <c r="AA183" s="403">
        <f t="shared" ref="AA183:AF183" si="339">365/(AA11/AA121)</f>
        <v>55.756086595542897</v>
      </c>
      <c r="AB183" s="403">
        <f t="shared" si="339"/>
        <v>81.404901034058042</v>
      </c>
      <c r="AC183" s="403">
        <f t="shared" si="339"/>
        <v>46.777810098390361</v>
      </c>
      <c r="AD183" s="403">
        <f t="shared" si="339"/>
        <v>65.353431086883248</v>
      </c>
      <c r="AE183" s="403">
        <f t="shared" si="339"/>
        <v>59.392420307135026</v>
      </c>
      <c r="AF183" s="403">
        <f t="shared" ca="1" si="339"/>
        <v>68.984429227588663</v>
      </c>
      <c r="AG183" s="406">
        <v>55</v>
      </c>
      <c r="AH183" s="406">
        <v>40</v>
      </c>
    </row>
    <row r="184" spans="2:52" ht="10.5" customHeight="1">
      <c r="C184" s="320" t="s">
        <v>424</v>
      </c>
      <c r="H184" s="404">
        <f>H181+H182-H183</f>
        <v>26.728266337659832</v>
      </c>
      <c r="I184" s="404">
        <f t="shared" ref="I184:Q184" si="340">I181+I182-I183</f>
        <v>35.914845460032176</v>
      </c>
      <c r="J184" s="404">
        <f t="shared" si="340"/>
        <v>35.476681507215311</v>
      </c>
      <c r="K184" s="404">
        <f t="shared" si="340"/>
        <v>58.866709046971735</v>
      </c>
      <c r="L184" s="404">
        <f t="shared" si="340"/>
        <v>27.715978294186058</v>
      </c>
      <c r="M184" s="404">
        <f t="shared" si="340"/>
        <v>37.452787001330869</v>
      </c>
      <c r="N184" s="404">
        <f t="shared" si="340"/>
        <v>59.029727350309805</v>
      </c>
      <c r="O184" s="404">
        <f t="shared" si="340"/>
        <v>48.90358869670407</v>
      </c>
      <c r="P184" s="404">
        <f t="shared" si="340"/>
        <v>47.410683594239146</v>
      </c>
      <c r="Q184" s="404">
        <f t="shared" si="340"/>
        <v>58.982768399214791</v>
      </c>
      <c r="R184" s="404">
        <f t="shared" ref="R184:S184" si="341">R181+R182-R183</f>
        <v>41.005124970645461</v>
      </c>
      <c r="S184" s="404">
        <f t="shared" si="341"/>
        <v>15.759065022199799</v>
      </c>
      <c r="T184" s="404">
        <f t="shared" ref="T184:U184" si="342">T181+T182-T183</f>
        <v>19.86193267489017</v>
      </c>
      <c r="U184" s="404">
        <f t="shared" si="342"/>
        <v>18.939484184330247</v>
      </c>
      <c r="V184" s="404">
        <f t="shared" ref="V184:X184" si="343">V181+V182-V183</f>
        <v>17.405887800634247</v>
      </c>
      <c r="W184" s="404">
        <f t="shared" si="343"/>
        <v>16.405887800634247</v>
      </c>
      <c r="X184" s="404">
        <f t="shared" si="343"/>
        <v>13.405887800634247</v>
      </c>
      <c r="Y184" s="283"/>
      <c r="Z184" s="404">
        <f t="shared" ref="Z184:AG184" si="344">Z181+Z182-Z183</f>
        <v>6.1466046729076567</v>
      </c>
      <c r="AA184" s="404">
        <f t="shared" si="344"/>
        <v>31.016235286346628</v>
      </c>
      <c r="AB184" s="404">
        <f t="shared" si="344"/>
        <v>26.728266337659832</v>
      </c>
      <c r="AC184" s="404">
        <f t="shared" si="344"/>
        <v>27.715978294186058</v>
      </c>
      <c r="AD184" s="404">
        <f t="shared" si="344"/>
        <v>47.410683594239146</v>
      </c>
      <c r="AE184" s="404">
        <f t="shared" si="344"/>
        <v>19.86193267489017</v>
      </c>
      <c r="AF184" s="404">
        <f t="shared" ref="AF184" ca="1" si="345">AF181+AF182-AF183</f>
        <v>13.405887800634247</v>
      </c>
      <c r="AG184" s="404">
        <f t="shared" si="344"/>
        <v>21</v>
      </c>
      <c r="AH184" s="404">
        <f t="shared" ref="AH184" si="346">AH181+AH182-AH183</f>
        <v>57</v>
      </c>
    </row>
    <row r="185" spans="2:52" ht="10.5" customHeight="1">
      <c r="C185" s="320"/>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row>
    <row r="186" spans="2:52" s="283" customFormat="1" ht="10.5" customHeight="1">
      <c r="B186" s="286" t="s">
        <v>137</v>
      </c>
      <c r="C186" s="287" t="s">
        <v>377</v>
      </c>
      <c r="D186" s="287"/>
      <c r="E186" s="286"/>
      <c r="F186" s="286"/>
      <c r="G186" s="286"/>
      <c r="H186" s="286"/>
      <c r="I186" s="286"/>
      <c r="J186" s="286"/>
      <c r="K186" s="286"/>
      <c r="L186" s="286"/>
      <c r="M186" s="286"/>
      <c r="N186" s="286"/>
      <c r="O186" s="286"/>
      <c r="P186" s="286"/>
      <c r="Q186" s="286"/>
      <c r="R186" s="286"/>
      <c r="S186" s="286"/>
      <c r="T186" s="286"/>
      <c r="U186" s="286"/>
      <c r="V186" s="286"/>
      <c r="W186" s="286"/>
      <c r="X186" s="286"/>
      <c r="Z186" s="286"/>
      <c r="AA186" s="286"/>
      <c r="AB186" s="286"/>
      <c r="AC186" s="286"/>
      <c r="AD186" s="286"/>
      <c r="AE186" s="286"/>
      <c r="AF186" s="286"/>
      <c r="AG186" s="286"/>
      <c r="AH186" s="286"/>
    </row>
    <row r="187" spans="2:52" ht="10.5" customHeight="1">
      <c r="E187" s="380"/>
      <c r="F187" s="409"/>
      <c r="G187" s="409"/>
      <c r="H187" s="409"/>
      <c r="I187" s="409"/>
      <c r="J187" s="409"/>
      <c r="K187" s="409"/>
      <c r="L187" s="409"/>
      <c r="M187" s="409"/>
      <c r="N187" s="409"/>
      <c r="O187" s="409"/>
      <c r="P187" s="409"/>
      <c r="Q187" s="409"/>
      <c r="Y187" s="283"/>
    </row>
    <row r="188" spans="2:52" s="283" customFormat="1" ht="10.5" customHeight="1">
      <c r="C188" s="283" t="s">
        <v>378</v>
      </c>
      <c r="E188" s="283">
        <f t="shared" ref="E188:R188" si="347">E36</f>
        <v>8.2399999999999949</v>
      </c>
      <c r="F188" s="283">
        <f t="shared" si="347"/>
        <v>12.07399999999998</v>
      </c>
      <c r="G188" s="283">
        <f t="shared" si="347"/>
        <v>-23.18399999999998</v>
      </c>
      <c r="H188" s="283">
        <f t="shared" si="347"/>
        <v>-23.692999999999991</v>
      </c>
      <c r="I188" s="283">
        <f t="shared" si="347"/>
        <v>-25.533000000000008</v>
      </c>
      <c r="J188" s="283">
        <f t="shared" si="347"/>
        <v>-46.531999999999989</v>
      </c>
      <c r="K188" s="283">
        <f t="shared" si="347"/>
        <v>-19.515999999999977</v>
      </c>
      <c r="L188" s="283">
        <f t="shared" si="347"/>
        <v>-7.9759999999999911</v>
      </c>
      <c r="M188" s="283">
        <f>AR188</f>
        <v>-15.824</v>
      </c>
      <c r="N188" s="283">
        <f>AS188-AR188</f>
        <v>-12.017999999999999</v>
      </c>
      <c r="O188" s="283">
        <f t="shared" ref="O188" si="348">AT188-AS188</f>
        <v>15.28</v>
      </c>
      <c r="P188" s="283">
        <f t="shared" ref="P188" si="349">AU188-AT188</f>
        <v>3.1049999999999986</v>
      </c>
      <c r="Q188" s="283">
        <f t="shared" ref="Q188" si="350">Q36</f>
        <v>21.451000000000008</v>
      </c>
      <c r="R188" s="283">
        <f t="shared" si="347"/>
        <v>2.7480000000000118</v>
      </c>
      <c r="S188" s="283">
        <f t="shared" ref="S188:T202" si="351">AX188-AW188</f>
        <v>-0.97900000000000276</v>
      </c>
      <c r="T188" s="283">
        <f>T36</f>
        <v>11.875000000000011</v>
      </c>
      <c r="U188" s="283">
        <f t="shared" ref="U188" si="352">U36</f>
        <v>4.1530000000000005</v>
      </c>
      <c r="V188" s="283">
        <f ca="1">V36</f>
        <v>34.181678225883743</v>
      </c>
      <c r="W188" s="283">
        <f ca="1">W36</f>
        <v>15.232107257837113</v>
      </c>
      <c r="X188" s="283">
        <f ca="1">X36</f>
        <v>46.439985699327202</v>
      </c>
      <c r="Z188" s="305">
        <v>61.569000000000003</v>
      </c>
      <c r="AA188" s="305">
        <v>-28.52</v>
      </c>
      <c r="AB188" s="283">
        <f>SUMIF($E$5:$X$5,AB$5,$E188:$X188)</f>
        <v>-26.562999999999995</v>
      </c>
      <c r="AC188" s="283">
        <f t="shared" ref="AC188:AF204" si="353">SUMIF($E$5:$X$5,AC$5,$E188:$X188)</f>
        <v>-99.55699999999996</v>
      </c>
      <c r="AD188" s="283">
        <f t="shared" si="353"/>
        <v>-9.4570000000000007</v>
      </c>
      <c r="AE188" s="283">
        <f t="shared" si="353"/>
        <v>35.095000000000027</v>
      </c>
      <c r="AF188" s="283">
        <f t="shared" ca="1" si="353"/>
        <v>100.00677118304806</v>
      </c>
      <c r="AG188" s="283">
        <f ca="1">AG36</f>
        <v>106.0272451862965</v>
      </c>
      <c r="AH188" s="283">
        <f ca="1">AH36</f>
        <v>116.89188920288217</v>
      </c>
      <c r="AJ188" s="305">
        <v>8.24</v>
      </c>
      <c r="AK188" s="305">
        <v>20.314</v>
      </c>
      <c r="AL188" s="305">
        <v>-2.87</v>
      </c>
      <c r="AM188" s="305">
        <v>-26.562999999999999</v>
      </c>
      <c r="AN188" s="305">
        <v>-25.533000000000001</v>
      </c>
      <c r="AO188" s="305">
        <v>-72.064999999999998</v>
      </c>
      <c r="AP188" s="305">
        <v>-91.581000000000003</v>
      </c>
      <c r="AQ188" s="305">
        <v>-99.557000000000002</v>
      </c>
      <c r="AR188" s="305">
        <v>-15.824</v>
      </c>
      <c r="AS188" s="305">
        <v>-27.841999999999999</v>
      </c>
      <c r="AT188" s="305">
        <v>-12.561999999999999</v>
      </c>
      <c r="AU188" s="305">
        <v>-9.4570000000000007</v>
      </c>
      <c r="AV188" s="305">
        <v>21.451000000000001</v>
      </c>
      <c r="AW188" s="305">
        <v>24.199000000000002</v>
      </c>
      <c r="AX188" s="384">
        <v>23.22</v>
      </c>
      <c r="AY188" s="305">
        <v>35.094999999999999</v>
      </c>
      <c r="AZ188" s="305">
        <v>4.1529999999999996</v>
      </c>
    </row>
    <row r="189" spans="2:52" s="283" customFormat="1" ht="10.5" customHeight="1">
      <c r="C189" s="283" t="s">
        <v>312</v>
      </c>
      <c r="E189" s="283">
        <f>AJ189</f>
        <v>29.49</v>
      </c>
      <c r="F189" s="283">
        <f>AK189-AJ189</f>
        <v>33.361999999999995</v>
      </c>
      <c r="G189" s="283">
        <f t="shared" ref="G189:G202" si="354">AL189-AK189</f>
        <v>45.961999999999996</v>
      </c>
      <c r="H189" s="283">
        <f t="shared" ref="H189:H202" si="355">AM189-AL189</f>
        <v>32.091000000000008</v>
      </c>
      <c r="I189" s="283">
        <f>AN189</f>
        <v>40.267000000000003</v>
      </c>
      <c r="J189" s="283">
        <f>AO189-AN189</f>
        <v>50.553999999999995</v>
      </c>
      <c r="K189" s="283">
        <f t="shared" ref="K189:K202" si="356">AP189-AO189</f>
        <v>52.218999999999994</v>
      </c>
      <c r="L189" s="283">
        <f t="shared" ref="L189:L202" si="357">AQ189-AP189</f>
        <v>61.435000000000002</v>
      </c>
      <c r="M189" s="283">
        <f>AR189</f>
        <v>39.779000000000003</v>
      </c>
      <c r="N189" s="283">
        <f>AS189-AR189</f>
        <v>39.818999999999996</v>
      </c>
      <c r="O189" s="283">
        <f t="shared" ref="O189:O202" si="358">AT189-AS189</f>
        <v>40.477999999999994</v>
      </c>
      <c r="P189" s="283">
        <f t="shared" ref="P189:P202" si="359">AU189-AT189</f>
        <v>34.930000000000007</v>
      </c>
      <c r="Q189" s="283">
        <f>AV189</f>
        <v>46.957000000000001</v>
      </c>
      <c r="R189" s="283">
        <f>AW189-AV189</f>
        <v>45.904000000000003</v>
      </c>
      <c r="S189" s="283">
        <f t="shared" si="351"/>
        <v>46.939000000000007</v>
      </c>
      <c r="T189" s="283">
        <f t="shared" si="351"/>
        <v>32.850999999999999</v>
      </c>
      <c r="U189" s="283">
        <f>AZ189</f>
        <v>35.456000000000003</v>
      </c>
      <c r="V189" s="283">
        <f t="shared" ref="V189" si="360">V165</f>
        <v>41.561631624288779</v>
      </c>
      <c r="W189" s="283">
        <f t="shared" ref="W189:X189" si="361">W165</f>
        <v>38.245554163244876</v>
      </c>
      <c r="X189" s="283">
        <f t="shared" si="361"/>
        <v>30.19481421246633</v>
      </c>
      <c r="Z189" s="305">
        <v>124.91800000000001</v>
      </c>
      <c r="AA189" s="305">
        <v>126.467</v>
      </c>
      <c r="AB189" s="283">
        <f t="shared" ref="AB189:AF205" si="362">SUMIF($E$5:$X$5,AB$5,$E189:$X189)</f>
        <v>140.905</v>
      </c>
      <c r="AC189" s="283">
        <f t="shared" si="353"/>
        <v>204.47499999999999</v>
      </c>
      <c r="AD189" s="283">
        <f t="shared" si="353"/>
        <v>155.006</v>
      </c>
      <c r="AE189" s="283">
        <f t="shared" si="353"/>
        <v>172.65100000000001</v>
      </c>
      <c r="AF189" s="283">
        <f t="shared" si="353"/>
        <v>145.458</v>
      </c>
      <c r="AG189" s="283">
        <f>AG165</f>
        <v>150.30000000000001</v>
      </c>
      <c r="AH189" s="283">
        <f>AH165</f>
        <v>162.30000000000001</v>
      </c>
      <c r="AJ189" s="305">
        <v>29.49</v>
      </c>
      <c r="AK189" s="305">
        <v>62.851999999999997</v>
      </c>
      <c r="AL189" s="305">
        <v>108.81399999999999</v>
      </c>
      <c r="AM189" s="305">
        <v>140.905</v>
      </c>
      <c r="AN189" s="305">
        <v>40.267000000000003</v>
      </c>
      <c r="AO189" s="305">
        <v>90.820999999999998</v>
      </c>
      <c r="AP189" s="305">
        <v>143.04</v>
      </c>
      <c r="AQ189" s="305">
        <v>204.47499999999999</v>
      </c>
      <c r="AR189" s="305">
        <v>39.779000000000003</v>
      </c>
      <c r="AS189" s="305">
        <v>79.597999999999999</v>
      </c>
      <c r="AT189" s="305">
        <v>120.07599999999999</v>
      </c>
      <c r="AU189" s="305">
        <v>155.006</v>
      </c>
      <c r="AV189" s="305">
        <v>46.957000000000001</v>
      </c>
      <c r="AW189" s="305">
        <v>92.861000000000004</v>
      </c>
      <c r="AX189" s="384">
        <v>139.80000000000001</v>
      </c>
      <c r="AY189" s="305">
        <v>172.65100000000001</v>
      </c>
      <c r="AZ189" s="305">
        <v>35.456000000000003</v>
      </c>
    </row>
    <row r="190" spans="2:52" s="283" customFormat="1" ht="10.5" customHeight="1">
      <c r="C190" s="283" t="s">
        <v>379</v>
      </c>
      <c r="E190" s="283">
        <f>AJ190</f>
        <v>1.127</v>
      </c>
      <c r="F190" s="283">
        <f t="shared" ref="F190:H191" si="363">AK190-AJ190</f>
        <v>1.3139999999999998</v>
      </c>
      <c r="G190" s="283">
        <f t="shared" si="363"/>
        <v>2.2309999999999999</v>
      </c>
      <c r="H190" s="283">
        <f t="shared" si="363"/>
        <v>1.6059999999999999</v>
      </c>
      <c r="I190" s="283">
        <f>AN190</f>
        <v>1.58</v>
      </c>
      <c r="J190" s="283">
        <f t="shared" ref="J190:N191" si="364">AO190-AN190</f>
        <v>1.972</v>
      </c>
      <c r="K190" s="283">
        <f t="shared" si="364"/>
        <v>1.206</v>
      </c>
      <c r="L190" s="283">
        <f t="shared" si="364"/>
        <v>0.91000000000000014</v>
      </c>
      <c r="M190" s="283">
        <f>AR190</f>
        <v>1.2190000000000001</v>
      </c>
      <c r="N190" s="283">
        <f t="shared" si="364"/>
        <v>1.2089999999999999</v>
      </c>
      <c r="O190" s="283">
        <f t="shared" ref="O190:T191" si="365">AT190-AS190</f>
        <v>2.8010000000000002</v>
      </c>
      <c r="P190" s="283">
        <f t="shared" si="365"/>
        <v>1.2290000000000001</v>
      </c>
      <c r="Q190" s="283">
        <f>AV190</f>
        <v>0.5</v>
      </c>
      <c r="R190" s="283">
        <f t="shared" si="365"/>
        <v>2.802</v>
      </c>
      <c r="S190" s="283">
        <f t="shared" si="365"/>
        <v>1.472</v>
      </c>
      <c r="T190" s="283">
        <f t="shared" si="365"/>
        <v>1.3079999999999998</v>
      </c>
      <c r="U190" s="283">
        <f>AZ190</f>
        <v>1.2709999999999999</v>
      </c>
      <c r="V190" s="317">
        <f ca="1">Segment!V23</f>
        <v>1.116784176813076</v>
      </c>
      <c r="W190" s="317">
        <f ca="1">Segment!W23</f>
        <v>0.96415601563238373</v>
      </c>
      <c r="X190" s="317">
        <f ca="1">Segment!X23</f>
        <v>1.1087291119179818</v>
      </c>
      <c r="Z190" s="305">
        <v>6.1840000000000002</v>
      </c>
      <c r="AA190" s="305">
        <v>6.3230000000000004</v>
      </c>
      <c r="AB190" s="283">
        <f t="shared" si="362"/>
        <v>6.2779999999999996</v>
      </c>
      <c r="AC190" s="283">
        <f t="shared" si="353"/>
        <v>5.6680000000000001</v>
      </c>
      <c r="AD190" s="283">
        <f t="shared" si="353"/>
        <v>6.4580000000000002</v>
      </c>
      <c r="AE190" s="283">
        <f t="shared" si="353"/>
        <v>6.0819999999999999</v>
      </c>
      <c r="AF190" s="283">
        <f t="shared" ca="1" si="353"/>
        <v>4.4606693043634422</v>
      </c>
      <c r="AG190" s="317">
        <f ca="1">Segment!AG23</f>
        <v>4.3249866001046913</v>
      </c>
      <c r="AH190" s="317">
        <f ca="1">Segment!AH23</f>
        <v>4.6472726541967475</v>
      </c>
      <c r="AJ190" s="305">
        <v>1.127</v>
      </c>
      <c r="AK190" s="305">
        <v>2.4409999999999998</v>
      </c>
      <c r="AL190" s="305">
        <v>4.6719999999999997</v>
      </c>
      <c r="AM190" s="305">
        <v>6.2779999999999996</v>
      </c>
      <c r="AN190" s="305">
        <v>1.58</v>
      </c>
      <c r="AO190" s="305">
        <v>3.552</v>
      </c>
      <c r="AP190" s="305">
        <v>4.758</v>
      </c>
      <c r="AQ190" s="305">
        <v>5.6680000000000001</v>
      </c>
      <c r="AR190" s="305">
        <v>1.2190000000000001</v>
      </c>
      <c r="AS190" s="305">
        <v>2.4279999999999999</v>
      </c>
      <c r="AT190" s="305">
        <v>5.2290000000000001</v>
      </c>
      <c r="AU190" s="305">
        <v>6.4580000000000002</v>
      </c>
      <c r="AV190" s="305">
        <v>0.5</v>
      </c>
      <c r="AW190" s="305">
        <v>3.302</v>
      </c>
      <c r="AX190" s="384">
        <v>4.774</v>
      </c>
      <c r="AY190" s="305">
        <v>6.0819999999999999</v>
      </c>
      <c r="AZ190" s="305">
        <v>1.2709999999999999</v>
      </c>
    </row>
    <row r="191" spans="2:52" s="283" customFormat="1" ht="10.5" customHeight="1">
      <c r="C191" s="283" t="s">
        <v>380</v>
      </c>
      <c r="E191" s="283">
        <f>AJ191</f>
        <v>-3.5999999999999997E-2</v>
      </c>
      <c r="F191" s="283">
        <f t="shared" si="363"/>
        <v>9.9999999999999395E-4</v>
      </c>
      <c r="G191" s="283">
        <f t="shared" si="363"/>
        <v>-1.9999999999999948E-3</v>
      </c>
      <c r="H191" s="283">
        <f t="shared" si="363"/>
        <v>-2.9000000000000005E-2</v>
      </c>
      <c r="I191" s="283">
        <f>AN191</f>
        <v>2E-3</v>
      </c>
      <c r="J191" s="283">
        <f t="shared" si="364"/>
        <v>-2E-3</v>
      </c>
      <c r="K191" s="283">
        <f t="shared" si="364"/>
        <v>0</v>
      </c>
      <c r="L191" s="283">
        <f t="shared" si="364"/>
        <v>4.2000000000000003E-2</v>
      </c>
      <c r="M191" s="283">
        <f>AR191</f>
        <v>-0.104</v>
      </c>
      <c r="N191" s="283">
        <f t="shared" si="364"/>
        <v>2.0739999999999998</v>
      </c>
      <c r="O191" s="283">
        <f t="shared" si="365"/>
        <v>0</v>
      </c>
      <c r="P191" s="283">
        <f t="shared" si="365"/>
        <v>-0.17599999999999993</v>
      </c>
      <c r="Q191" s="283">
        <f>AV191</f>
        <v>8.0000000000000002E-3</v>
      </c>
      <c r="R191" s="283">
        <f t="shared" si="365"/>
        <v>0.14499999999999999</v>
      </c>
      <c r="S191" s="283">
        <f t="shared" si="365"/>
        <v>-0.39200000000000002</v>
      </c>
      <c r="T191" s="283">
        <f t="shared" si="365"/>
        <v>0.92</v>
      </c>
      <c r="U191" s="283">
        <f>AZ191</f>
        <v>0.48299999999999998</v>
      </c>
      <c r="V191" s="317">
        <f>Debt!V14-Debt!U14</f>
        <v>0.25015789473684258</v>
      </c>
      <c r="W191" s="317">
        <f>Debt!W14-Debt!V14</f>
        <v>0.25015789473684258</v>
      </c>
      <c r="X191" s="317">
        <f>Debt!X14-Debt!W14</f>
        <v>0.25015789473684258</v>
      </c>
      <c r="Z191" s="305">
        <v>4.46</v>
      </c>
      <c r="AA191" s="305">
        <v>5.0999999999999997E-2</v>
      </c>
      <c r="AB191" s="283">
        <f t="shared" si="362"/>
        <v>-6.6000000000000003E-2</v>
      </c>
      <c r="AC191" s="283">
        <f t="shared" si="353"/>
        <v>4.2000000000000003E-2</v>
      </c>
      <c r="AD191" s="283">
        <f t="shared" si="353"/>
        <v>1.7939999999999998</v>
      </c>
      <c r="AE191" s="283">
        <f t="shared" si="353"/>
        <v>0.68100000000000005</v>
      </c>
      <c r="AF191" s="283">
        <f t="shared" si="353"/>
        <v>1.2334736842105278</v>
      </c>
      <c r="AG191" s="317">
        <f>Debt!AG14-Debt!AF14</f>
        <v>1.0006315789473685</v>
      </c>
      <c r="AH191" s="317">
        <f>Debt!AH14-Debt!AG14</f>
        <v>1.0006315789473685</v>
      </c>
      <c r="AJ191" s="305">
        <v>-3.5999999999999997E-2</v>
      </c>
      <c r="AK191" s="305">
        <v>-3.5000000000000003E-2</v>
      </c>
      <c r="AL191" s="305">
        <v>-3.6999999999999998E-2</v>
      </c>
      <c r="AM191" s="305">
        <v>-6.6000000000000003E-2</v>
      </c>
      <c r="AN191" s="305">
        <v>2E-3</v>
      </c>
      <c r="AO191" s="305">
        <v>0</v>
      </c>
      <c r="AP191" s="305">
        <v>0</v>
      </c>
      <c r="AQ191" s="305">
        <v>4.2000000000000003E-2</v>
      </c>
      <c r="AR191" s="305">
        <v>-0.104</v>
      </c>
      <c r="AS191" s="305">
        <v>1.97</v>
      </c>
      <c r="AT191" s="305">
        <v>1.97</v>
      </c>
      <c r="AU191" s="305">
        <f>-0.176+1.97</f>
        <v>1.794</v>
      </c>
      <c r="AV191" s="305">
        <v>8.0000000000000002E-3</v>
      </c>
      <c r="AW191" s="305">
        <v>0.153</v>
      </c>
      <c r="AX191" s="384">
        <v>-0.23899999999999999</v>
      </c>
      <c r="AY191" s="305">
        <v>0.68100000000000005</v>
      </c>
      <c r="AZ191" s="305">
        <v>0.48299999999999998</v>
      </c>
    </row>
    <row r="192" spans="2:52" s="283" customFormat="1" ht="10.5" customHeight="1" collapsed="1">
      <c r="C192" s="283" t="s">
        <v>670</v>
      </c>
      <c r="E192" s="283">
        <f>SUM(E193:E202)</f>
        <v>-11.597999999999999</v>
      </c>
      <c r="F192" s="283">
        <f t="shared" ref="F192:Z192" si="366">SUM(F193:F202)</f>
        <v>-23.337000000000003</v>
      </c>
      <c r="G192" s="283">
        <f t="shared" si="366"/>
        <v>24.805</v>
      </c>
      <c r="H192" s="283">
        <f t="shared" si="366"/>
        <v>-5.6239999999999997</v>
      </c>
      <c r="I192" s="283">
        <f t="shared" si="366"/>
        <v>4.4650000000000007</v>
      </c>
      <c r="J192" s="283">
        <f t="shared" si="366"/>
        <v>-9.3959999999999972</v>
      </c>
      <c r="K192" s="283">
        <f t="shared" si="366"/>
        <v>3.9160000000000004</v>
      </c>
      <c r="L192" s="283">
        <f t="shared" si="366"/>
        <v>1.1799999999999993</v>
      </c>
      <c r="M192" s="283">
        <f t="shared" si="366"/>
        <v>-16.599</v>
      </c>
      <c r="N192" s="283">
        <f t="shared" ref="N192" si="367">SUM(N193:N202)</f>
        <v>20.972000000000001</v>
      </c>
      <c r="O192" s="283">
        <f t="shared" si="366"/>
        <v>-8.4250000000000007</v>
      </c>
      <c r="P192" s="283">
        <f t="shared" si="366"/>
        <v>8.6509999999999998</v>
      </c>
      <c r="Q192" s="283">
        <f t="shared" ref="Q192" si="368">SUM(Q193:Q202)</f>
        <v>-1.6500000000000004</v>
      </c>
      <c r="R192" s="283">
        <f t="shared" ref="R192:V192" si="369">SUM(R193:R202)</f>
        <v>17.106000000000002</v>
      </c>
      <c r="S192" s="283">
        <f t="shared" si="369"/>
        <v>-24.954000000000001</v>
      </c>
      <c r="T192" s="283">
        <f t="shared" si="369"/>
        <v>-3.5699999999999994</v>
      </c>
      <c r="U192" s="283">
        <f t="shared" si="369"/>
        <v>3.9119999999999999</v>
      </c>
      <c r="V192" s="283">
        <f t="shared" si="369"/>
        <v>0</v>
      </c>
      <c r="W192" s="283">
        <f t="shared" ref="W192:X192" si="370">SUM(W193:W202)</f>
        <v>0</v>
      </c>
      <c r="X192" s="283">
        <f t="shared" si="370"/>
        <v>0</v>
      </c>
      <c r="Z192" s="283">
        <f t="shared" si="366"/>
        <v>5.6790000000000012</v>
      </c>
      <c r="AA192" s="283">
        <f t="shared" ref="AA192:AF192" si="371">SUM(AA193:AA202)</f>
        <v>51.088999999999999</v>
      </c>
      <c r="AB192" s="283">
        <f t="shared" si="371"/>
        <v>-15.754000000000001</v>
      </c>
      <c r="AC192" s="283">
        <f t="shared" si="371"/>
        <v>0.16500000000000048</v>
      </c>
      <c r="AD192" s="283">
        <f t="shared" si="371"/>
        <v>4.5990000000000002</v>
      </c>
      <c r="AE192" s="283">
        <f t="shared" si="371"/>
        <v>-13.068000000000001</v>
      </c>
      <c r="AF192" s="283">
        <f t="shared" si="371"/>
        <v>3.9119999999999999</v>
      </c>
      <c r="AH192" s="283">
        <f t="shared" ref="AH192" si="372">SUM(AH193:AH202)</f>
        <v>0</v>
      </c>
      <c r="AJ192" s="283">
        <f t="shared" ref="AJ192:AW192" si="373">SUM(AJ193:AJ202)</f>
        <v>-11.597999999999999</v>
      </c>
      <c r="AK192" s="283">
        <f t="shared" si="373"/>
        <v>-34.935000000000002</v>
      </c>
      <c r="AL192" s="283">
        <f t="shared" si="373"/>
        <v>-10.129999999999999</v>
      </c>
      <c r="AM192" s="283">
        <f t="shared" si="373"/>
        <v>-15.753999999999998</v>
      </c>
      <c r="AN192" s="283">
        <f t="shared" si="373"/>
        <v>4.4650000000000007</v>
      </c>
      <c r="AO192" s="283">
        <f t="shared" si="373"/>
        <v>-4.9309999999999992</v>
      </c>
      <c r="AP192" s="283">
        <f t="shared" si="373"/>
        <v>-1.0149999999999988</v>
      </c>
      <c r="AQ192" s="283">
        <f t="shared" si="373"/>
        <v>0.16499999999999693</v>
      </c>
      <c r="AR192" s="283">
        <f t="shared" si="373"/>
        <v>-16.599</v>
      </c>
      <c r="AS192" s="283">
        <f t="shared" si="373"/>
        <v>4.3730000000000011</v>
      </c>
      <c r="AT192" s="283">
        <f t="shared" si="373"/>
        <v>-4.0520000000000014</v>
      </c>
      <c r="AU192" s="283">
        <f t="shared" si="373"/>
        <v>4.5989999999999993</v>
      </c>
      <c r="AV192" s="283">
        <f t="shared" si="373"/>
        <v>-1.6500000000000004</v>
      </c>
      <c r="AW192" s="283">
        <f t="shared" si="373"/>
        <v>15.456</v>
      </c>
      <c r="AX192" s="399">
        <f t="shared" ref="AX192:AY192" si="374">SUM(AX193:AX202)</f>
        <v>-9.4979999999999958</v>
      </c>
      <c r="AY192" s="283">
        <f t="shared" si="374"/>
        <v>-13.068000000000001</v>
      </c>
      <c r="AZ192" s="283">
        <f t="shared" ref="AZ192" si="375">SUM(AZ193:AZ202)</f>
        <v>3.9119999999999999</v>
      </c>
    </row>
    <row r="193" spans="2:52" s="283" customFormat="1" ht="10.5" hidden="1" customHeight="1" outlineLevel="1">
      <c r="B193" s="387"/>
      <c r="C193" s="387" t="s">
        <v>671</v>
      </c>
      <c r="D193" s="387"/>
      <c r="E193" s="387">
        <f t="shared" ref="E193:E201" si="376">AJ193</f>
        <v>0</v>
      </c>
      <c r="F193" s="387">
        <f t="shared" ref="F193:F201" si="377">AK193-AJ193</f>
        <v>0</v>
      </c>
      <c r="G193" s="387">
        <f t="shared" si="354"/>
        <v>0</v>
      </c>
      <c r="H193" s="387">
        <f t="shared" si="355"/>
        <v>3.4000000000000002E-2</v>
      </c>
      <c r="I193" s="387">
        <f t="shared" ref="I193:I201" si="378">AN193</f>
        <v>0</v>
      </c>
      <c r="J193" s="387">
        <f t="shared" ref="J193:J201" si="379">AO193-AN193</f>
        <v>0</v>
      </c>
      <c r="K193" s="387">
        <f t="shared" si="356"/>
        <v>-0.92700000000000005</v>
      </c>
      <c r="L193" s="387">
        <f t="shared" si="357"/>
        <v>4.0000000000000036E-3</v>
      </c>
      <c r="M193" s="387">
        <f t="shared" ref="M193:M201" si="380">AR193</f>
        <v>0</v>
      </c>
      <c r="N193" s="387">
        <f t="shared" ref="N193:N201" si="381">AS193-AR193</f>
        <v>0</v>
      </c>
      <c r="O193" s="387">
        <f t="shared" si="358"/>
        <v>0</v>
      </c>
      <c r="P193" s="387">
        <f t="shared" si="359"/>
        <v>0</v>
      </c>
      <c r="Q193" s="387">
        <f t="shared" ref="Q193:Q201" si="382">AV193</f>
        <v>-1.1579999999999999</v>
      </c>
      <c r="R193" s="387">
        <f t="shared" ref="R193:R201" si="383">AW193-AV193</f>
        <v>0</v>
      </c>
      <c r="S193" s="387">
        <f t="shared" si="351"/>
        <v>0</v>
      </c>
      <c r="T193" s="387">
        <f t="shared" si="351"/>
        <v>1.1579999999999999</v>
      </c>
      <c r="U193" s="387">
        <f t="shared" ref="U193:U201" si="384">AZ193</f>
        <v>0</v>
      </c>
      <c r="V193" s="388">
        <v>0</v>
      </c>
      <c r="W193" s="388">
        <v>0</v>
      </c>
      <c r="X193" s="388">
        <v>0</v>
      </c>
      <c r="Z193" s="388">
        <v>0</v>
      </c>
      <c r="AA193" s="388">
        <v>0.16700000000000001</v>
      </c>
      <c r="AB193" s="387">
        <f t="shared" si="362"/>
        <v>3.4000000000000002E-2</v>
      </c>
      <c r="AC193" s="387">
        <f t="shared" si="353"/>
        <v>-0.92300000000000004</v>
      </c>
      <c r="AD193" s="387">
        <f t="shared" si="353"/>
        <v>0</v>
      </c>
      <c r="AE193" s="387">
        <f t="shared" si="353"/>
        <v>0</v>
      </c>
      <c r="AF193" s="388">
        <f t="shared" si="353"/>
        <v>0</v>
      </c>
      <c r="AG193" s="388">
        <v>0</v>
      </c>
      <c r="AH193" s="388">
        <v>0</v>
      </c>
      <c r="AJ193" s="388">
        <v>0</v>
      </c>
      <c r="AK193" s="388">
        <v>0</v>
      </c>
      <c r="AL193" s="388">
        <v>0</v>
      </c>
      <c r="AM193" s="388">
        <v>3.4000000000000002E-2</v>
      </c>
      <c r="AN193" s="388">
        <v>0</v>
      </c>
      <c r="AO193" s="388">
        <v>0</v>
      </c>
      <c r="AP193" s="388">
        <v>-0.92700000000000005</v>
      </c>
      <c r="AQ193" s="388">
        <v>-0.92300000000000004</v>
      </c>
      <c r="AR193" s="388">
        <v>0</v>
      </c>
      <c r="AS193" s="388">
        <v>0</v>
      </c>
      <c r="AT193" s="388">
        <v>0</v>
      </c>
      <c r="AU193" s="388">
        <v>0</v>
      </c>
      <c r="AV193" s="388">
        <v>-1.1579999999999999</v>
      </c>
      <c r="AW193" s="388">
        <v>-1.1579999999999999</v>
      </c>
      <c r="AX193" s="826">
        <v>-1.1579999999999999</v>
      </c>
      <c r="AY193" s="388">
        <v>0</v>
      </c>
      <c r="AZ193" s="388">
        <v>0</v>
      </c>
    </row>
    <row r="194" spans="2:52" s="283" customFormat="1" ht="10.5" hidden="1" customHeight="1" outlineLevel="1">
      <c r="B194" s="387"/>
      <c r="C194" s="387" t="s">
        <v>672</v>
      </c>
      <c r="D194" s="387"/>
      <c r="E194" s="387">
        <f t="shared" si="376"/>
        <v>-0.31</v>
      </c>
      <c r="F194" s="387">
        <f t="shared" si="377"/>
        <v>0.56400000000000006</v>
      </c>
      <c r="G194" s="387">
        <f t="shared" si="354"/>
        <v>2.2069999999999999</v>
      </c>
      <c r="H194" s="387">
        <f t="shared" si="355"/>
        <v>0.35499999999999998</v>
      </c>
      <c r="I194" s="387">
        <f t="shared" si="378"/>
        <v>-9.6000000000000002E-2</v>
      </c>
      <c r="J194" s="387">
        <f t="shared" si="379"/>
        <v>1.129</v>
      </c>
      <c r="K194" s="387">
        <f t="shared" si="356"/>
        <v>0.12600000000000011</v>
      </c>
      <c r="L194" s="387">
        <f t="shared" si="357"/>
        <v>1.2299999999999998</v>
      </c>
      <c r="M194" s="387">
        <f t="shared" si="380"/>
        <v>0.97799999999999998</v>
      </c>
      <c r="N194" s="387">
        <f t="shared" si="381"/>
        <v>-6.4089999999999998</v>
      </c>
      <c r="O194" s="387">
        <f t="shared" si="358"/>
        <v>-3.9790000000000001</v>
      </c>
      <c r="P194" s="387">
        <f t="shared" si="359"/>
        <v>-0.85800000000000054</v>
      </c>
      <c r="Q194" s="387">
        <f t="shared" si="382"/>
        <v>3.5059999999999998</v>
      </c>
      <c r="R194" s="387">
        <f t="shared" si="383"/>
        <v>0.75000000000000044</v>
      </c>
      <c r="S194" s="387">
        <f t="shared" si="351"/>
        <v>2.8609999999999998</v>
      </c>
      <c r="T194" s="387">
        <f t="shared" si="351"/>
        <v>7.9229999999999992</v>
      </c>
      <c r="U194" s="387">
        <f t="shared" si="384"/>
        <v>0</v>
      </c>
      <c r="V194" s="388">
        <v>0</v>
      </c>
      <c r="W194" s="388">
        <v>0</v>
      </c>
      <c r="X194" s="388">
        <v>0</v>
      </c>
      <c r="Z194" s="388">
        <v>0.17699999999999999</v>
      </c>
      <c r="AA194" s="388">
        <v>0.251</v>
      </c>
      <c r="AB194" s="387">
        <f t="shared" si="362"/>
        <v>2.8159999999999998</v>
      </c>
      <c r="AC194" s="387">
        <f t="shared" si="353"/>
        <v>2.3889999999999998</v>
      </c>
      <c r="AD194" s="387">
        <f t="shared" si="353"/>
        <v>-10.268000000000001</v>
      </c>
      <c r="AE194" s="387">
        <f t="shared" si="353"/>
        <v>15.04</v>
      </c>
      <c r="AF194" s="388">
        <f t="shared" si="353"/>
        <v>0</v>
      </c>
      <c r="AG194" s="388">
        <v>0</v>
      </c>
      <c r="AH194" s="388">
        <v>0</v>
      </c>
      <c r="AJ194" s="388">
        <v>-0.31</v>
      </c>
      <c r="AK194" s="388">
        <v>0.254</v>
      </c>
      <c r="AL194" s="388">
        <v>2.4609999999999999</v>
      </c>
      <c r="AM194" s="388">
        <v>2.8159999999999998</v>
      </c>
      <c r="AN194" s="388">
        <v>-9.6000000000000002E-2</v>
      </c>
      <c r="AO194" s="388">
        <v>1.0329999999999999</v>
      </c>
      <c r="AP194" s="388">
        <v>1.159</v>
      </c>
      <c r="AQ194" s="388">
        <v>2.3889999999999998</v>
      </c>
      <c r="AR194" s="388">
        <v>0.97799999999999998</v>
      </c>
      <c r="AS194" s="388">
        <v>-5.431</v>
      </c>
      <c r="AT194" s="388">
        <v>-9.41</v>
      </c>
      <c r="AU194" s="388">
        <v>-10.268000000000001</v>
      </c>
      <c r="AV194" s="388">
        <v>3.5059999999999998</v>
      </c>
      <c r="AW194" s="388">
        <v>4.2560000000000002</v>
      </c>
      <c r="AX194" s="826">
        <v>7.117</v>
      </c>
      <c r="AY194" s="388">
        <v>15.04</v>
      </c>
      <c r="AZ194" s="388">
        <v>0</v>
      </c>
    </row>
    <row r="195" spans="2:52" s="283" customFormat="1" ht="10.5" hidden="1" customHeight="1" outlineLevel="1">
      <c r="B195" s="387"/>
      <c r="C195" s="387" t="s">
        <v>673</v>
      </c>
      <c r="D195" s="387"/>
      <c r="E195" s="387">
        <f t="shared" si="376"/>
        <v>0</v>
      </c>
      <c r="F195" s="387">
        <f t="shared" si="377"/>
        <v>0</v>
      </c>
      <c r="G195" s="387">
        <f t="shared" si="354"/>
        <v>7.2320000000000002</v>
      </c>
      <c r="H195" s="387">
        <f t="shared" si="355"/>
        <v>0.95900000000000052</v>
      </c>
      <c r="I195" s="387">
        <f t="shared" si="378"/>
        <v>1.399</v>
      </c>
      <c r="J195" s="387">
        <f t="shared" si="379"/>
        <v>0</v>
      </c>
      <c r="K195" s="387">
        <f t="shared" si="356"/>
        <v>0</v>
      </c>
      <c r="L195" s="387">
        <f t="shared" si="357"/>
        <v>0</v>
      </c>
      <c r="M195" s="387">
        <f t="shared" si="380"/>
        <v>0</v>
      </c>
      <c r="N195" s="387">
        <f t="shared" si="381"/>
        <v>0</v>
      </c>
      <c r="O195" s="387">
        <f t="shared" si="358"/>
        <v>0</v>
      </c>
      <c r="P195" s="387">
        <f t="shared" si="359"/>
        <v>0</v>
      </c>
      <c r="Q195" s="387">
        <f t="shared" si="382"/>
        <v>0</v>
      </c>
      <c r="R195" s="387">
        <f t="shared" si="383"/>
        <v>6.431</v>
      </c>
      <c r="S195" s="387">
        <f t="shared" si="351"/>
        <v>9.2999999999999972E-2</v>
      </c>
      <c r="T195" s="387">
        <f t="shared" si="351"/>
        <v>0</v>
      </c>
      <c r="U195" s="387">
        <f t="shared" si="384"/>
        <v>-2.2450000000000001</v>
      </c>
      <c r="V195" s="388">
        <v>0</v>
      </c>
      <c r="W195" s="388">
        <v>0</v>
      </c>
      <c r="X195" s="388">
        <v>0</v>
      </c>
      <c r="Z195" s="388">
        <v>0.81100000000000005</v>
      </c>
      <c r="AA195" s="388">
        <v>0</v>
      </c>
      <c r="AB195" s="387">
        <f t="shared" si="362"/>
        <v>8.1910000000000007</v>
      </c>
      <c r="AC195" s="387">
        <f t="shared" si="353"/>
        <v>1.399</v>
      </c>
      <c r="AD195" s="387">
        <f t="shared" si="353"/>
        <v>0</v>
      </c>
      <c r="AE195" s="387">
        <f t="shared" si="353"/>
        <v>6.524</v>
      </c>
      <c r="AF195" s="388">
        <f t="shared" si="353"/>
        <v>-2.2450000000000001</v>
      </c>
      <c r="AG195" s="388">
        <v>0</v>
      </c>
      <c r="AH195" s="388">
        <v>0</v>
      </c>
      <c r="AJ195" s="388">
        <v>0</v>
      </c>
      <c r="AK195" s="388">
        <v>0</v>
      </c>
      <c r="AL195" s="388">
        <v>7.2320000000000002</v>
      </c>
      <c r="AM195" s="388">
        <v>8.1910000000000007</v>
      </c>
      <c r="AN195" s="388">
        <v>1.399</v>
      </c>
      <c r="AO195" s="388">
        <v>1.399</v>
      </c>
      <c r="AP195" s="388">
        <v>1.399</v>
      </c>
      <c r="AQ195" s="388">
        <v>1.399</v>
      </c>
      <c r="AR195" s="388">
        <v>0</v>
      </c>
      <c r="AS195" s="388">
        <v>0</v>
      </c>
      <c r="AT195" s="388">
        <v>0</v>
      </c>
      <c r="AU195" s="388">
        <v>0</v>
      </c>
      <c r="AV195" s="388"/>
      <c r="AW195" s="388">
        <v>6.431</v>
      </c>
      <c r="AX195" s="826">
        <v>6.524</v>
      </c>
      <c r="AY195" s="388">
        <v>6.524</v>
      </c>
      <c r="AZ195" s="388">
        <v>-2.2450000000000001</v>
      </c>
    </row>
    <row r="196" spans="2:52" s="283" customFormat="1" ht="10.5" hidden="1" customHeight="1" outlineLevel="1">
      <c r="B196" s="387"/>
      <c r="C196" s="387" t="s">
        <v>674</v>
      </c>
      <c r="D196" s="387"/>
      <c r="E196" s="387">
        <f t="shared" si="376"/>
        <v>-0.129</v>
      </c>
      <c r="F196" s="387">
        <f t="shared" si="377"/>
        <v>-3.7000000000000005E-2</v>
      </c>
      <c r="G196" s="387">
        <f t="shared" si="354"/>
        <v>-3.2080000000000002</v>
      </c>
      <c r="H196" s="387">
        <f t="shared" si="355"/>
        <v>0.58099999999999996</v>
      </c>
      <c r="I196" s="387">
        <f t="shared" si="378"/>
        <v>0</v>
      </c>
      <c r="J196" s="387">
        <f t="shared" si="379"/>
        <v>4.6420000000000003</v>
      </c>
      <c r="K196" s="387">
        <f t="shared" si="356"/>
        <v>2.4000000000000021E-2</v>
      </c>
      <c r="L196" s="387">
        <f t="shared" si="357"/>
        <v>-2.3000000000000576E-2</v>
      </c>
      <c r="M196" s="387">
        <f t="shared" si="380"/>
        <v>0</v>
      </c>
      <c r="N196" s="387">
        <f t="shared" si="381"/>
        <v>0.57299999999999995</v>
      </c>
      <c r="O196" s="387">
        <f t="shared" si="358"/>
        <v>-1.3999999999999901E-2</v>
      </c>
      <c r="P196" s="387">
        <f t="shared" si="359"/>
        <v>1.2999999999999901E-2</v>
      </c>
      <c r="Q196" s="387">
        <f t="shared" si="382"/>
        <v>0</v>
      </c>
      <c r="R196" s="387">
        <f t="shared" si="383"/>
        <v>0</v>
      </c>
      <c r="S196" s="387">
        <f t="shared" si="351"/>
        <v>0</v>
      </c>
      <c r="T196" s="387">
        <f t="shared" si="351"/>
        <v>8.6999999999999994E-2</v>
      </c>
      <c r="U196" s="387">
        <f t="shared" si="384"/>
        <v>0</v>
      </c>
      <c r="V196" s="388">
        <v>0</v>
      </c>
      <c r="W196" s="388">
        <v>0</v>
      </c>
      <c r="X196" s="388">
        <v>0</v>
      </c>
      <c r="Z196" s="388">
        <v>-0.14699999999999999</v>
      </c>
      <c r="AA196" s="388">
        <v>-6.0419999999999998</v>
      </c>
      <c r="AB196" s="387">
        <f t="shared" si="362"/>
        <v>-2.7930000000000001</v>
      </c>
      <c r="AC196" s="387">
        <f t="shared" si="353"/>
        <v>4.6429999999999998</v>
      </c>
      <c r="AD196" s="387">
        <f t="shared" si="353"/>
        <v>0.57199999999999995</v>
      </c>
      <c r="AE196" s="387">
        <f t="shared" si="353"/>
        <v>8.6999999999999994E-2</v>
      </c>
      <c r="AF196" s="388">
        <f t="shared" si="353"/>
        <v>0</v>
      </c>
      <c r="AG196" s="388">
        <v>0</v>
      </c>
      <c r="AH196" s="388">
        <v>0</v>
      </c>
      <c r="AJ196" s="388">
        <v>-0.129</v>
      </c>
      <c r="AK196" s="388">
        <v>-0.16600000000000001</v>
      </c>
      <c r="AL196" s="388">
        <v>-3.3740000000000001</v>
      </c>
      <c r="AM196" s="388">
        <v>-2.7930000000000001</v>
      </c>
      <c r="AN196" s="388">
        <v>0</v>
      </c>
      <c r="AO196" s="388">
        <v>4.6420000000000003</v>
      </c>
      <c r="AP196" s="388">
        <v>4.6660000000000004</v>
      </c>
      <c r="AQ196" s="388">
        <v>4.6429999999999998</v>
      </c>
      <c r="AR196" s="388">
        <v>0</v>
      </c>
      <c r="AS196" s="388">
        <v>0.57299999999999995</v>
      </c>
      <c r="AT196" s="388">
        <v>0.55900000000000005</v>
      </c>
      <c r="AU196" s="388">
        <v>0.57199999999999995</v>
      </c>
      <c r="AV196" s="388">
        <v>0</v>
      </c>
      <c r="AW196" s="388">
        <v>0</v>
      </c>
      <c r="AX196" s="826">
        <v>0</v>
      </c>
      <c r="AY196" s="388">
        <v>8.6999999999999994E-2</v>
      </c>
      <c r="AZ196" s="388">
        <v>0</v>
      </c>
    </row>
    <row r="197" spans="2:52" s="283" customFormat="1" ht="10.5" hidden="1" customHeight="1" outlineLevel="1">
      <c r="B197" s="387"/>
      <c r="C197" s="387" t="s">
        <v>675</v>
      </c>
      <c r="D197" s="387"/>
      <c r="E197" s="387">
        <f t="shared" si="376"/>
        <v>1.323</v>
      </c>
      <c r="F197" s="387">
        <f t="shared" si="377"/>
        <v>1.3170000000000002</v>
      </c>
      <c r="G197" s="387">
        <f t="shared" si="354"/>
        <v>1.3169999999999997</v>
      </c>
      <c r="H197" s="387">
        <f t="shared" si="355"/>
        <v>2.133</v>
      </c>
      <c r="I197" s="387">
        <f t="shared" si="378"/>
        <v>1.5940000000000001</v>
      </c>
      <c r="J197" s="387">
        <f t="shared" si="379"/>
        <v>1.615</v>
      </c>
      <c r="K197" s="387">
        <f t="shared" si="356"/>
        <v>2.089</v>
      </c>
      <c r="L197" s="387">
        <f t="shared" si="357"/>
        <v>1.6159999999999997</v>
      </c>
      <c r="M197" s="387">
        <f t="shared" si="380"/>
        <v>1.548</v>
      </c>
      <c r="N197" s="387">
        <f t="shared" si="381"/>
        <v>1.5449999999999999</v>
      </c>
      <c r="O197" s="387">
        <f t="shared" si="358"/>
        <v>1.5449999999999999</v>
      </c>
      <c r="P197" s="387">
        <f t="shared" si="359"/>
        <v>1.5510000000000002</v>
      </c>
      <c r="Q197" s="387">
        <f t="shared" si="382"/>
        <v>4.5289999999999999</v>
      </c>
      <c r="R197" s="387">
        <f t="shared" si="383"/>
        <v>1.6539999999999999</v>
      </c>
      <c r="S197" s="387">
        <f t="shared" si="351"/>
        <v>1.6379999999999999</v>
      </c>
      <c r="T197" s="387">
        <f t="shared" si="351"/>
        <v>3.6929999999999996</v>
      </c>
      <c r="U197" s="387">
        <f t="shared" si="384"/>
        <v>1.643</v>
      </c>
      <c r="V197" s="388">
        <v>0</v>
      </c>
      <c r="W197" s="388">
        <v>0</v>
      </c>
      <c r="X197" s="388">
        <v>0</v>
      </c>
      <c r="Z197" s="388">
        <v>4.8129999999999997</v>
      </c>
      <c r="AA197" s="388">
        <v>4.508</v>
      </c>
      <c r="AB197" s="387">
        <f t="shared" si="362"/>
        <v>6.09</v>
      </c>
      <c r="AC197" s="387">
        <f t="shared" si="353"/>
        <v>6.9139999999999997</v>
      </c>
      <c r="AD197" s="387">
        <f t="shared" si="353"/>
        <v>6.1890000000000001</v>
      </c>
      <c r="AE197" s="387">
        <f t="shared" si="353"/>
        <v>11.513999999999999</v>
      </c>
      <c r="AF197" s="388">
        <f t="shared" si="353"/>
        <v>1.643</v>
      </c>
      <c r="AG197" s="388">
        <v>0</v>
      </c>
      <c r="AH197" s="388">
        <v>0</v>
      </c>
      <c r="AJ197" s="388">
        <v>1.323</v>
      </c>
      <c r="AK197" s="388">
        <v>2.64</v>
      </c>
      <c r="AL197" s="388">
        <v>3.9569999999999999</v>
      </c>
      <c r="AM197" s="388">
        <v>6.09</v>
      </c>
      <c r="AN197" s="388">
        <v>1.5940000000000001</v>
      </c>
      <c r="AO197" s="388">
        <v>3.2090000000000001</v>
      </c>
      <c r="AP197" s="388">
        <v>5.298</v>
      </c>
      <c r="AQ197" s="388">
        <v>6.9139999999999997</v>
      </c>
      <c r="AR197" s="388">
        <v>1.548</v>
      </c>
      <c r="AS197" s="388">
        <v>3.093</v>
      </c>
      <c r="AT197" s="388">
        <v>4.6379999999999999</v>
      </c>
      <c r="AU197" s="388">
        <v>6.1890000000000001</v>
      </c>
      <c r="AV197" s="388">
        <v>4.5289999999999999</v>
      </c>
      <c r="AW197" s="388">
        <v>6.1829999999999998</v>
      </c>
      <c r="AX197" s="826">
        <v>7.8209999999999997</v>
      </c>
      <c r="AY197" s="388">
        <v>11.513999999999999</v>
      </c>
      <c r="AZ197" s="388">
        <v>1.643</v>
      </c>
    </row>
    <row r="198" spans="2:52" s="283" customFormat="1" ht="10.5" hidden="1" customHeight="1" outlineLevel="1">
      <c r="B198" s="387"/>
      <c r="C198" s="387" t="s">
        <v>676</v>
      </c>
      <c r="D198" s="387"/>
      <c r="E198" s="387">
        <f t="shared" si="376"/>
        <v>-0.438</v>
      </c>
      <c r="F198" s="387">
        <f t="shared" si="377"/>
        <v>-2.5389999999999997</v>
      </c>
      <c r="G198" s="387">
        <f t="shared" si="354"/>
        <v>-1.6599999999999997</v>
      </c>
      <c r="H198" s="387">
        <f t="shared" si="355"/>
        <v>-5.0620000000000003</v>
      </c>
      <c r="I198" s="387">
        <f t="shared" si="378"/>
        <v>-8.2929999999999993</v>
      </c>
      <c r="J198" s="387">
        <f t="shared" si="379"/>
        <v>-14.292000000000002</v>
      </c>
      <c r="K198" s="387">
        <f t="shared" si="356"/>
        <v>-4.0309999999999988</v>
      </c>
      <c r="L198" s="387">
        <f t="shared" si="357"/>
        <v>-6.7710000000000008</v>
      </c>
      <c r="M198" s="387">
        <f t="shared" si="380"/>
        <v>-2.762</v>
      </c>
      <c r="N198" s="387">
        <f t="shared" si="381"/>
        <v>-1.1869999999999998</v>
      </c>
      <c r="O198" s="387">
        <f t="shared" si="358"/>
        <v>-0.62900000000000045</v>
      </c>
      <c r="P198" s="387">
        <f t="shared" si="359"/>
        <v>0.76000000000000023</v>
      </c>
      <c r="Q198" s="387">
        <f t="shared" si="382"/>
        <v>0.14099999999999999</v>
      </c>
      <c r="R198" s="387">
        <f t="shared" si="383"/>
        <v>-7.8860000000000001</v>
      </c>
      <c r="S198" s="387">
        <f t="shared" si="351"/>
        <v>-10.140999999999998</v>
      </c>
      <c r="T198" s="387">
        <f t="shared" si="351"/>
        <v>-30.163</v>
      </c>
      <c r="U198" s="387">
        <f t="shared" si="384"/>
        <v>2.234</v>
      </c>
      <c r="V198" s="388">
        <v>0</v>
      </c>
      <c r="W198" s="388">
        <v>0</v>
      </c>
      <c r="X198" s="388">
        <v>0</v>
      </c>
      <c r="Z198" s="388">
        <v>2.774</v>
      </c>
      <c r="AA198" s="388">
        <v>19.391999999999999</v>
      </c>
      <c r="AB198" s="387">
        <f t="shared" si="362"/>
        <v>-9.6989999999999998</v>
      </c>
      <c r="AC198" s="387">
        <f t="shared" si="353"/>
        <v>-33.387</v>
      </c>
      <c r="AD198" s="387">
        <f t="shared" si="353"/>
        <v>-3.8180000000000001</v>
      </c>
      <c r="AE198" s="387">
        <f t="shared" si="353"/>
        <v>-48.048999999999999</v>
      </c>
      <c r="AF198" s="388">
        <f t="shared" si="353"/>
        <v>2.234</v>
      </c>
      <c r="AG198" s="388">
        <v>0</v>
      </c>
      <c r="AH198" s="388">
        <v>0</v>
      </c>
      <c r="AJ198" s="388">
        <v>-0.438</v>
      </c>
      <c r="AK198" s="388">
        <v>-2.9769999999999999</v>
      </c>
      <c r="AL198" s="388">
        <v>-4.6369999999999996</v>
      </c>
      <c r="AM198" s="388">
        <v>-9.6989999999999998</v>
      </c>
      <c r="AN198" s="388">
        <v>-8.2929999999999993</v>
      </c>
      <c r="AO198" s="388">
        <v>-22.585000000000001</v>
      </c>
      <c r="AP198" s="388">
        <v>-26.616</v>
      </c>
      <c r="AQ198" s="388">
        <v>-33.387</v>
      </c>
      <c r="AR198" s="388">
        <v>-2.762</v>
      </c>
      <c r="AS198" s="388">
        <v>-3.9489999999999998</v>
      </c>
      <c r="AT198" s="388">
        <v>-4.5780000000000003</v>
      </c>
      <c r="AU198" s="388">
        <v>-3.8180000000000001</v>
      </c>
      <c r="AV198" s="388">
        <v>0.14099999999999999</v>
      </c>
      <c r="AW198" s="388">
        <v>-7.7450000000000001</v>
      </c>
      <c r="AX198" s="826">
        <v>-17.885999999999999</v>
      </c>
      <c r="AY198" s="388">
        <v>-48.048999999999999</v>
      </c>
      <c r="AZ198" s="388">
        <v>2.234</v>
      </c>
    </row>
    <row r="199" spans="2:52" s="283" customFormat="1" ht="10.5" hidden="1" customHeight="1" outlineLevel="1">
      <c r="B199" s="387"/>
      <c r="C199" s="387" t="s">
        <v>677</v>
      </c>
      <c r="D199" s="387"/>
      <c r="E199" s="387">
        <f t="shared" si="376"/>
        <v>0.44900000000000001</v>
      </c>
      <c r="F199" s="387">
        <f t="shared" si="377"/>
        <v>0.44900000000000001</v>
      </c>
      <c r="G199" s="387">
        <f t="shared" si="354"/>
        <v>0.57300000000000006</v>
      </c>
      <c r="H199" s="387">
        <f t="shared" si="355"/>
        <v>0.60599999999999987</v>
      </c>
      <c r="I199" s="387">
        <f t="shared" si="378"/>
        <v>0.625</v>
      </c>
      <c r="J199" s="387">
        <f t="shared" si="379"/>
        <v>0.627</v>
      </c>
      <c r="K199" s="387">
        <f t="shared" si="356"/>
        <v>0.66700000000000004</v>
      </c>
      <c r="L199" s="387">
        <f t="shared" si="357"/>
        <v>0.71799999999999997</v>
      </c>
      <c r="M199" s="387">
        <f t="shared" si="380"/>
        <v>2.14</v>
      </c>
      <c r="N199" s="387">
        <f t="shared" si="381"/>
        <v>0.48399999999999999</v>
      </c>
      <c r="O199" s="387">
        <f t="shared" si="358"/>
        <v>0.44199999999999973</v>
      </c>
      <c r="P199" s="387">
        <f t="shared" si="359"/>
        <v>0.60000000000000009</v>
      </c>
      <c r="Q199" s="387">
        <f t="shared" si="382"/>
        <v>0.53900000000000003</v>
      </c>
      <c r="R199" s="387">
        <f t="shared" si="383"/>
        <v>0.379</v>
      </c>
      <c r="S199" s="387">
        <f t="shared" si="351"/>
        <v>0.48799999999999988</v>
      </c>
      <c r="T199" s="387">
        <f t="shared" si="351"/>
        <v>0.4890000000000001</v>
      </c>
      <c r="U199" s="387">
        <f t="shared" si="384"/>
        <v>0</v>
      </c>
      <c r="V199" s="388">
        <v>0</v>
      </c>
      <c r="W199" s="388">
        <v>0</v>
      </c>
      <c r="X199" s="388">
        <v>0</v>
      </c>
      <c r="Z199" s="388">
        <v>1.048</v>
      </c>
      <c r="AA199" s="388">
        <v>1.8640000000000001</v>
      </c>
      <c r="AB199" s="387">
        <f t="shared" si="362"/>
        <v>2.077</v>
      </c>
      <c r="AC199" s="387">
        <f t="shared" si="353"/>
        <v>2.637</v>
      </c>
      <c r="AD199" s="387">
        <f t="shared" si="353"/>
        <v>3.6659999999999999</v>
      </c>
      <c r="AE199" s="387">
        <f t="shared" si="353"/>
        <v>1.895</v>
      </c>
      <c r="AF199" s="388">
        <f t="shared" si="353"/>
        <v>0</v>
      </c>
      <c r="AG199" s="388">
        <v>0</v>
      </c>
      <c r="AH199" s="388">
        <v>0</v>
      </c>
      <c r="AJ199" s="388">
        <v>0.44900000000000001</v>
      </c>
      <c r="AK199" s="388">
        <v>0.89800000000000002</v>
      </c>
      <c r="AL199" s="388">
        <v>1.4710000000000001</v>
      </c>
      <c r="AM199" s="388">
        <v>2.077</v>
      </c>
      <c r="AN199" s="388">
        <v>0.625</v>
      </c>
      <c r="AO199" s="388">
        <v>1.252</v>
      </c>
      <c r="AP199" s="388">
        <v>1.919</v>
      </c>
      <c r="AQ199" s="388">
        <v>2.637</v>
      </c>
      <c r="AR199" s="388">
        <v>2.14</v>
      </c>
      <c r="AS199" s="388">
        <v>2.6240000000000001</v>
      </c>
      <c r="AT199" s="388">
        <v>3.0659999999999998</v>
      </c>
      <c r="AU199" s="388">
        <v>3.6659999999999999</v>
      </c>
      <c r="AV199" s="388">
        <v>0.53900000000000003</v>
      </c>
      <c r="AW199" s="388">
        <v>0.91800000000000004</v>
      </c>
      <c r="AX199" s="826">
        <v>1.4059999999999999</v>
      </c>
      <c r="AY199" s="388">
        <v>1.895</v>
      </c>
      <c r="AZ199" s="388">
        <v>0</v>
      </c>
    </row>
    <row r="200" spans="2:52" s="283" customFormat="1" ht="10.5" hidden="1" customHeight="1" outlineLevel="1">
      <c r="B200" s="387"/>
      <c r="C200" s="387" t="s">
        <v>678</v>
      </c>
      <c r="D200" s="387"/>
      <c r="E200" s="387">
        <f>AJ200</f>
        <v>-9.0939999999999994</v>
      </c>
      <c r="F200" s="387">
        <f>AK200-AJ200</f>
        <v>-21.142000000000003</v>
      </c>
      <c r="G200" s="387">
        <f>AL200-AK200</f>
        <v>15.028</v>
      </c>
      <c r="H200" s="387">
        <f>AM200-AL200</f>
        <v>-0.15799999999999947</v>
      </c>
      <c r="I200" s="387">
        <f>AN200</f>
        <v>3.6859999999999999</v>
      </c>
      <c r="J200" s="387">
        <f>AO200-AN200</f>
        <v>-9.786999999999999</v>
      </c>
      <c r="K200" s="387">
        <f>AP200-AO200</f>
        <v>11.925000000000001</v>
      </c>
      <c r="L200" s="387">
        <f>AQ200-AP200</f>
        <v>-0.21099999999999941</v>
      </c>
      <c r="M200" s="387">
        <f>AR200</f>
        <v>-10.436999999999999</v>
      </c>
      <c r="N200" s="387">
        <f>AS200-AR200</f>
        <v>21.625</v>
      </c>
      <c r="O200" s="387">
        <f>AT200-AS200</f>
        <v>-6.705000000000001</v>
      </c>
      <c r="P200" s="387">
        <f>AU200-AT200</f>
        <v>1.0950000000000006</v>
      </c>
      <c r="Q200" s="387">
        <f>AV200</f>
        <v>-10.962</v>
      </c>
      <c r="R200" s="387">
        <f>AW200-AV200</f>
        <v>13.077999999999999</v>
      </c>
      <c r="S200" s="387">
        <f>AX200-AW200</f>
        <v>-16.053000000000001</v>
      </c>
      <c r="T200" s="387">
        <f>AY200-AX200</f>
        <v>13.936999999999999</v>
      </c>
      <c r="U200" s="387">
        <f>AZ200</f>
        <v>0</v>
      </c>
      <c r="V200" s="388">
        <v>0</v>
      </c>
      <c r="W200" s="388">
        <v>0</v>
      </c>
      <c r="X200" s="388">
        <v>0</v>
      </c>
      <c r="Z200" s="388">
        <v>1.871</v>
      </c>
      <c r="AA200" s="388">
        <v>20.741</v>
      </c>
      <c r="AB200" s="387">
        <f t="shared" si="362"/>
        <v>-15.366000000000003</v>
      </c>
      <c r="AC200" s="387">
        <f t="shared" si="353"/>
        <v>5.6130000000000022</v>
      </c>
      <c r="AD200" s="387">
        <f t="shared" si="353"/>
        <v>5.5780000000000003</v>
      </c>
      <c r="AE200" s="387">
        <f t="shared" si="353"/>
        <v>-1.7763568394002505E-15</v>
      </c>
      <c r="AF200" s="388">
        <f t="shared" si="353"/>
        <v>0</v>
      </c>
      <c r="AG200" s="388">
        <v>0</v>
      </c>
      <c r="AH200" s="388">
        <v>0</v>
      </c>
      <c r="AJ200" s="388">
        <v>-9.0939999999999994</v>
      </c>
      <c r="AK200" s="388">
        <v>-30.236000000000001</v>
      </c>
      <c r="AL200" s="388">
        <v>-15.208</v>
      </c>
      <c r="AM200" s="388">
        <v>-15.366</v>
      </c>
      <c r="AN200" s="388">
        <v>3.6859999999999999</v>
      </c>
      <c r="AO200" s="388">
        <v>-6.101</v>
      </c>
      <c r="AP200" s="388">
        <v>5.8239999999999998</v>
      </c>
      <c r="AQ200" s="388">
        <v>5.6130000000000004</v>
      </c>
      <c r="AR200" s="388">
        <v>-10.436999999999999</v>
      </c>
      <c r="AS200" s="388">
        <v>11.188000000000001</v>
      </c>
      <c r="AT200" s="388">
        <v>4.4829999999999997</v>
      </c>
      <c r="AU200" s="388">
        <v>5.5780000000000003</v>
      </c>
      <c r="AV200" s="388">
        <v>-10.962</v>
      </c>
      <c r="AW200" s="388">
        <v>2.1160000000000001</v>
      </c>
      <c r="AX200" s="826">
        <v>-13.936999999999999</v>
      </c>
      <c r="AY200" s="388">
        <v>0</v>
      </c>
      <c r="AZ200" s="388">
        <v>0</v>
      </c>
    </row>
    <row r="201" spans="2:52" s="283" customFormat="1" ht="10.5" hidden="1" customHeight="1" outlineLevel="1">
      <c r="B201" s="387"/>
      <c r="C201" s="387" t="s">
        <v>679</v>
      </c>
      <c r="D201" s="387"/>
      <c r="E201" s="387">
        <f t="shared" si="376"/>
        <v>-3.399</v>
      </c>
      <c r="F201" s="387">
        <f t="shared" si="377"/>
        <v>-1.9489999999999998</v>
      </c>
      <c r="G201" s="387">
        <f t="shared" si="354"/>
        <v>3.3159999999999998</v>
      </c>
      <c r="H201" s="387">
        <f t="shared" si="355"/>
        <v>-5.0720000000000001</v>
      </c>
      <c r="I201" s="387">
        <f t="shared" si="378"/>
        <v>5.55</v>
      </c>
      <c r="J201" s="387">
        <f t="shared" si="379"/>
        <v>6.6700000000000008</v>
      </c>
      <c r="K201" s="387">
        <f t="shared" si="356"/>
        <v>-5.9570000000000007</v>
      </c>
      <c r="L201" s="387">
        <f t="shared" si="357"/>
        <v>1.7620000000000005</v>
      </c>
      <c r="M201" s="387">
        <f t="shared" si="380"/>
        <v>-8.0660000000000007</v>
      </c>
      <c r="N201" s="387">
        <f t="shared" si="381"/>
        <v>4.3410000000000011</v>
      </c>
      <c r="O201" s="387">
        <f t="shared" si="358"/>
        <v>0.91500000000000004</v>
      </c>
      <c r="P201" s="387">
        <f t="shared" si="359"/>
        <v>5.49</v>
      </c>
      <c r="Q201" s="387">
        <f t="shared" si="382"/>
        <v>1.7549999999999999</v>
      </c>
      <c r="R201" s="387">
        <f t="shared" si="383"/>
        <v>2.7</v>
      </c>
      <c r="S201" s="387">
        <f t="shared" si="351"/>
        <v>-3.84</v>
      </c>
      <c r="T201" s="387">
        <f t="shared" si="351"/>
        <v>-0.69399999999999995</v>
      </c>
      <c r="U201" s="387">
        <f t="shared" si="384"/>
        <v>2.2799999999999998</v>
      </c>
      <c r="V201" s="388">
        <v>0</v>
      </c>
      <c r="W201" s="388">
        <v>0</v>
      </c>
      <c r="X201" s="388">
        <v>0</v>
      </c>
      <c r="Z201" s="388">
        <v>-5.4939999999999998</v>
      </c>
      <c r="AA201" s="388">
        <v>10.208</v>
      </c>
      <c r="AB201" s="387">
        <f t="shared" si="362"/>
        <v>-7.1040000000000001</v>
      </c>
      <c r="AC201" s="387">
        <f t="shared" si="353"/>
        <v>8.0250000000000004</v>
      </c>
      <c r="AD201" s="387">
        <f t="shared" si="353"/>
        <v>2.6800000000000006</v>
      </c>
      <c r="AE201" s="387">
        <f t="shared" si="353"/>
        <v>-7.8999999999999737E-2</v>
      </c>
      <c r="AF201" s="388">
        <f t="shared" si="353"/>
        <v>2.2799999999999998</v>
      </c>
      <c r="AG201" s="388">
        <v>0</v>
      </c>
      <c r="AH201" s="388">
        <v>0</v>
      </c>
      <c r="AJ201" s="388">
        <v>-3.399</v>
      </c>
      <c r="AK201" s="388">
        <v>-5.3479999999999999</v>
      </c>
      <c r="AL201" s="388">
        <v>-2.032</v>
      </c>
      <c r="AM201" s="388">
        <v>-7.1040000000000001</v>
      </c>
      <c r="AN201" s="388">
        <v>5.55</v>
      </c>
      <c r="AO201" s="388">
        <v>12.22</v>
      </c>
      <c r="AP201" s="388">
        <v>6.2629999999999999</v>
      </c>
      <c r="AQ201" s="388">
        <v>8.0250000000000004</v>
      </c>
      <c r="AR201" s="388">
        <v>-8.0660000000000007</v>
      </c>
      <c r="AS201" s="388">
        <v>-3.7250000000000001</v>
      </c>
      <c r="AT201" s="388">
        <v>-2.81</v>
      </c>
      <c r="AU201" s="388">
        <v>2.68</v>
      </c>
      <c r="AV201" s="388">
        <v>1.7549999999999999</v>
      </c>
      <c r="AW201" s="388">
        <v>4.4550000000000001</v>
      </c>
      <c r="AX201" s="826">
        <v>0.61499999999999999</v>
      </c>
      <c r="AY201" s="388">
        <v>-7.9000000000000001E-2</v>
      </c>
      <c r="AZ201" s="388">
        <v>2.2799999999999998</v>
      </c>
    </row>
    <row r="202" spans="2:52" s="283" customFormat="1" ht="10.5" hidden="1" customHeight="1" outlineLevel="1">
      <c r="B202" s="387"/>
      <c r="C202" s="387" t="s">
        <v>680</v>
      </c>
      <c r="D202" s="387"/>
      <c r="E202" s="387">
        <f>AJ202</f>
        <v>0</v>
      </c>
      <c r="F202" s="387">
        <f>AK202-AJ202</f>
        <v>0</v>
      </c>
      <c r="G202" s="387">
        <f t="shared" si="354"/>
        <v>0</v>
      </c>
      <c r="H202" s="387">
        <f t="shared" si="355"/>
        <v>0</v>
      </c>
      <c r="I202" s="387">
        <f>AN202</f>
        <v>0</v>
      </c>
      <c r="J202" s="387">
        <f>AO202-AN202</f>
        <v>0</v>
      </c>
      <c r="K202" s="387">
        <f t="shared" si="356"/>
        <v>0</v>
      </c>
      <c r="L202" s="387">
        <f t="shared" si="357"/>
        <v>2.855</v>
      </c>
      <c r="M202" s="387">
        <f>AR202</f>
        <v>0</v>
      </c>
      <c r="N202" s="387">
        <f>AS202-AR202</f>
        <v>0</v>
      </c>
      <c r="O202" s="387">
        <f t="shared" si="358"/>
        <v>0</v>
      </c>
      <c r="P202" s="387">
        <f t="shared" si="359"/>
        <v>0</v>
      </c>
      <c r="Q202" s="387">
        <f>AV202</f>
        <v>0</v>
      </c>
      <c r="R202" s="387">
        <f>AW202-AV202</f>
        <v>0</v>
      </c>
      <c r="S202" s="387">
        <f t="shared" si="351"/>
        <v>0</v>
      </c>
      <c r="T202" s="387">
        <f t="shared" si="351"/>
        <v>0</v>
      </c>
      <c r="U202" s="387">
        <f>AZ202</f>
        <v>0</v>
      </c>
      <c r="V202" s="388">
        <v>0</v>
      </c>
      <c r="W202" s="388">
        <v>0</v>
      </c>
      <c r="X202" s="388">
        <v>0</v>
      </c>
      <c r="Z202" s="388">
        <v>-0.17399999999999999</v>
      </c>
      <c r="AA202" s="388">
        <v>0</v>
      </c>
      <c r="AB202" s="387">
        <f t="shared" si="362"/>
        <v>0</v>
      </c>
      <c r="AC202" s="387">
        <f t="shared" si="353"/>
        <v>2.855</v>
      </c>
      <c r="AD202" s="387">
        <f t="shared" si="353"/>
        <v>0</v>
      </c>
      <c r="AE202" s="387">
        <f t="shared" si="353"/>
        <v>0</v>
      </c>
      <c r="AF202" s="388">
        <f t="shared" si="353"/>
        <v>0</v>
      </c>
      <c r="AG202" s="388">
        <v>0</v>
      </c>
      <c r="AH202" s="388">
        <v>0</v>
      </c>
      <c r="AJ202" s="388">
        <v>0</v>
      </c>
      <c r="AK202" s="388">
        <v>0</v>
      </c>
      <c r="AL202" s="388">
        <v>0</v>
      </c>
      <c r="AM202" s="388">
        <v>0</v>
      </c>
      <c r="AN202" s="388">
        <v>0</v>
      </c>
      <c r="AO202" s="388">
        <v>0</v>
      </c>
      <c r="AP202" s="388">
        <v>0</v>
      </c>
      <c r="AQ202" s="388">
        <v>2.855</v>
      </c>
      <c r="AR202" s="388">
        <v>0</v>
      </c>
      <c r="AS202" s="388">
        <v>0</v>
      </c>
      <c r="AT202" s="388">
        <v>0</v>
      </c>
      <c r="AU202" s="388">
        <v>0</v>
      </c>
      <c r="AV202" s="388">
        <v>0</v>
      </c>
      <c r="AW202" s="388">
        <v>0</v>
      </c>
      <c r="AX202" s="826">
        <v>0</v>
      </c>
      <c r="AY202" s="388">
        <v>0</v>
      </c>
      <c r="AZ202" s="388">
        <v>0</v>
      </c>
    </row>
    <row r="203" spans="2:52" s="283" customFormat="1" ht="10.5" customHeight="1" collapsed="1">
      <c r="C203" s="283" t="s">
        <v>381</v>
      </c>
      <c r="E203" s="283">
        <f t="shared" ref="E203:P203" si="385">SUM(E204:E210)</f>
        <v>-10.839999999999998</v>
      </c>
      <c r="F203" s="283">
        <f t="shared" si="385"/>
        <v>7.221000000000001</v>
      </c>
      <c r="G203" s="283">
        <f t="shared" si="385"/>
        <v>-21.620000000000005</v>
      </c>
      <c r="H203" s="283">
        <f t="shared" si="385"/>
        <v>14.660000000000004</v>
      </c>
      <c r="I203" s="283">
        <f t="shared" si="385"/>
        <v>-0.75099999999999945</v>
      </c>
      <c r="J203" s="283">
        <f t="shared" si="385"/>
        <v>-7.9130000000000029</v>
      </c>
      <c r="K203" s="283">
        <f t="shared" si="385"/>
        <v>17.071000000000002</v>
      </c>
      <c r="L203" s="283">
        <f t="shared" si="385"/>
        <v>1.6660000000000008</v>
      </c>
      <c r="M203" s="283">
        <f t="shared" si="385"/>
        <v>-3.5439999999999996</v>
      </c>
      <c r="N203" s="283">
        <f t="shared" ref="N203" si="386">SUM(N204:N210)</f>
        <v>-14.529999999999994</v>
      </c>
      <c r="O203" s="283">
        <f t="shared" si="385"/>
        <v>23.305</v>
      </c>
      <c r="P203" s="283">
        <f t="shared" si="385"/>
        <v>17.161999999999999</v>
      </c>
      <c r="Q203" s="283">
        <f t="shared" ref="Q203" si="387">SUM(Q204:Q210)</f>
        <v>-29.330000000000002</v>
      </c>
      <c r="R203" s="283">
        <f t="shared" ref="R203:V203" si="388">SUM(R204:R210)</f>
        <v>17.599</v>
      </c>
      <c r="S203" s="283">
        <f t="shared" si="388"/>
        <v>20.655999999999999</v>
      </c>
      <c r="T203" s="283">
        <f t="shared" si="388"/>
        <v>9.9710000000000001</v>
      </c>
      <c r="U203" s="283">
        <f t="shared" si="388"/>
        <v>-7.3659999999999997</v>
      </c>
      <c r="V203" s="283">
        <f t="shared" ca="1" si="388"/>
        <v>-1.8840223340340749</v>
      </c>
      <c r="W203" s="283">
        <f t="shared" ref="W203:X203" ca="1" si="389">SUM(W204:W210)</f>
        <v>-6.7829595547124732</v>
      </c>
      <c r="X203" s="283">
        <f t="shared" ca="1" si="389"/>
        <v>9.5726564927003572</v>
      </c>
      <c r="Z203" s="283">
        <f t="shared" ref="Z203:AG203" si="390">SUM(Z204:Z210)</f>
        <v>22.518000000000001</v>
      </c>
      <c r="AA203" s="283">
        <f t="shared" si="390"/>
        <v>-39.532000000000004</v>
      </c>
      <c r="AB203" s="283">
        <f t="shared" si="390"/>
        <v>-10.578999999999997</v>
      </c>
      <c r="AC203" s="283">
        <f t="shared" si="390"/>
        <v>10.073000000000004</v>
      </c>
      <c r="AD203" s="283">
        <f t="shared" si="390"/>
        <v>22.393000000000001</v>
      </c>
      <c r="AE203" s="283">
        <f t="shared" si="390"/>
        <v>18.896000000000001</v>
      </c>
      <c r="AF203" s="283">
        <f t="shared" ca="1" si="390"/>
        <v>-6.4603253960461924</v>
      </c>
      <c r="AG203" s="283">
        <f t="shared" ca="1" si="390"/>
        <v>-12.843293846829923</v>
      </c>
      <c r="AH203" s="283">
        <f t="shared" ref="AH203" ca="1" si="391">SUM(AH204:AH210)</f>
        <v>-86.361742349291688</v>
      </c>
      <c r="AJ203" s="283">
        <f>SUM(AJ204:AJ210)</f>
        <v>-10.839999999999998</v>
      </c>
      <c r="AK203" s="283">
        <f t="shared" ref="AK203:AW203" si="392">SUM(AK204:AK210)</f>
        <v>-3.6189999999999993</v>
      </c>
      <c r="AL203" s="283">
        <f t="shared" si="392"/>
        <v>-25.239000000000001</v>
      </c>
      <c r="AM203" s="283">
        <f t="shared" si="392"/>
        <v>-10.578999999999997</v>
      </c>
      <c r="AN203" s="283">
        <f t="shared" si="392"/>
        <v>-0.75099999999999945</v>
      </c>
      <c r="AO203" s="283">
        <f t="shared" si="392"/>
        <v>-8.6640000000000015</v>
      </c>
      <c r="AP203" s="283">
        <f t="shared" si="392"/>
        <v>8.407</v>
      </c>
      <c r="AQ203" s="283">
        <f t="shared" si="392"/>
        <v>10.073000000000004</v>
      </c>
      <c r="AR203" s="283">
        <f t="shared" si="392"/>
        <v>-3.5439999999999996</v>
      </c>
      <c r="AS203" s="283">
        <f t="shared" si="392"/>
        <v>-18.073999999999998</v>
      </c>
      <c r="AT203" s="283">
        <f t="shared" si="392"/>
        <v>5.2310000000000016</v>
      </c>
      <c r="AU203" s="283">
        <f t="shared" si="392"/>
        <v>22.393000000000001</v>
      </c>
      <c r="AV203" s="283">
        <f t="shared" si="392"/>
        <v>-29.330000000000002</v>
      </c>
      <c r="AW203" s="283">
        <f t="shared" si="392"/>
        <v>-11.731000000000002</v>
      </c>
      <c r="AX203" s="399">
        <f t="shared" ref="AX203:AY203" si="393">SUM(AX204:AX210)</f>
        <v>8.9249999999999972</v>
      </c>
      <c r="AY203" s="283">
        <f t="shared" si="393"/>
        <v>18.895999999999997</v>
      </c>
      <c r="AZ203" s="283">
        <f t="shared" ref="AZ203" si="394">SUM(AZ204:AZ210)</f>
        <v>-7.3659999999999997</v>
      </c>
    </row>
    <row r="204" spans="2:52" s="283" customFormat="1" ht="10.5" customHeight="1" outlineLevel="1">
      <c r="B204" s="387"/>
      <c r="C204" s="478" t="s">
        <v>382</v>
      </c>
      <c r="D204" s="387"/>
      <c r="E204" s="387">
        <f>AJ204</f>
        <v>-7.266</v>
      </c>
      <c r="F204" s="387">
        <f>AK204-AJ204</f>
        <v>9.7370000000000001</v>
      </c>
      <c r="G204" s="387">
        <f>AL204-AK204</f>
        <v>-6.8950000000000005</v>
      </c>
      <c r="H204" s="387">
        <f>AM204-AL204</f>
        <v>14.266999999999999</v>
      </c>
      <c r="I204" s="387">
        <f t="shared" ref="I204:I210" si="395">AN204</f>
        <v>-5.0629999999999997</v>
      </c>
      <c r="J204" s="387">
        <f t="shared" ref="J204:J210" si="396">AO204-AN204</f>
        <v>-7.7090000000000005</v>
      </c>
      <c r="K204" s="387">
        <f t="shared" ref="K204:K210" si="397">AP204-AO204</f>
        <v>2.5570000000000004</v>
      </c>
      <c r="L204" s="387">
        <f t="shared" ref="L204:L210" si="398">AQ204-AP204</f>
        <v>-0.7240000000000002</v>
      </c>
      <c r="M204" s="387">
        <f t="shared" ref="M204:M210" si="399">AR204</f>
        <v>9.9550000000000001</v>
      </c>
      <c r="N204" s="387">
        <f t="shared" ref="N204:N210" si="400">AS204-AR204</f>
        <v>-16.004999999999999</v>
      </c>
      <c r="O204" s="387">
        <f t="shared" ref="O204:O210" si="401">AT204-AS204</f>
        <v>2.3089999999999997</v>
      </c>
      <c r="P204" s="387">
        <f t="shared" ref="P204:P210" si="402">AU204-AT204</f>
        <v>2.661</v>
      </c>
      <c r="Q204" s="387">
        <f t="shared" ref="Q204:Q210" si="403">AV204</f>
        <v>-2.6640000000000001</v>
      </c>
      <c r="R204" s="387">
        <f t="shared" ref="R204:T210" si="404">AW204-AV204</f>
        <v>-6.7680000000000007</v>
      </c>
      <c r="S204" s="387">
        <f t="shared" si="404"/>
        <v>5.6340000000000003</v>
      </c>
      <c r="T204" s="387">
        <f t="shared" si="404"/>
        <v>-1.6070000000000002</v>
      </c>
      <c r="U204" s="387">
        <f t="shared" ref="U204:U210" si="405">AZ204</f>
        <v>2.7789999999999999</v>
      </c>
      <c r="V204" s="387">
        <f ca="1">U98-V98</f>
        <v>0.86511541948029702</v>
      </c>
      <c r="W204" s="387">
        <f ca="1">V98-W98</f>
        <v>3.7937371498479422E-2</v>
      </c>
      <c r="X204" s="387">
        <f ca="1">W98-X98</f>
        <v>0.34998420708043199</v>
      </c>
      <c r="Z204" s="388">
        <v>4.2329999999999997</v>
      </c>
      <c r="AA204" s="388">
        <v>-2.4140000000000001</v>
      </c>
      <c r="AB204" s="387">
        <f t="shared" si="362"/>
        <v>9.843</v>
      </c>
      <c r="AC204" s="387">
        <f t="shared" si="353"/>
        <v>-10.939</v>
      </c>
      <c r="AD204" s="387">
        <f t="shared" si="353"/>
        <v>-1.0799999999999992</v>
      </c>
      <c r="AE204" s="387">
        <f t="shared" si="353"/>
        <v>-5.4050000000000002</v>
      </c>
      <c r="AF204" s="387">
        <f t="shared" ca="1" si="353"/>
        <v>4.0320369980592083</v>
      </c>
      <c r="AG204" s="387">
        <f ca="1">AF98-AG98</f>
        <v>2.739272261296918</v>
      </c>
      <c r="AH204" s="387">
        <f ca="1">AG98-AH98</f>
        <v>-35.929381572619512</v>
      </c>
      <c r="AJ204" s="388">
        <v>-7.266</v>
      </c>
      <c r="AK204" s="388">
        <v>2.4710000000000001</v>
      </c>
      <c r="AL204" s="388">
        <v>-4.4240000000000004</v>
      </c>
      <c r="AM204" s="388">
        <v>9.843</v>
      </c>
      <c r="AN204" s="388">
        <v>-5.0629999999999997</v>
      </c>
      <c r="AO204" s="388">
        <v>-12.772</v>
      </c>
      <c r="AP204" s="388">
        <v>-10.215</v>
      </c>
      <c r="AQ204" s="388">
        <v>-10.939</v>
      </c>
      <c r="AR204" s="388">
        <v>9.9550000000000001</v>
      </c>
      <c r="AS204" s="388">
        <v>-6.05</v>
      </c>
      <c r="AT204" s="388">
        <v>-3.7410000000000001</v>
      </c>
      <c r="AU204" s="388">
        <v>-1.08</v>
      </c>
      <c r="AV204" s="388">
        <v>-2.6640000000000001</v>
      </c>
      <c r="AW204" s="388">
        <v>-9.4320000000000004</v>
      </c>
      <c r="AX204" s="826">
        <v>-3.798</v>
      </c>
      <c r="AY204" s="388">
        <v>-5.4050000000000002</v>
      </c>
      <c r="AZ204" s="388">
        <v>2.7789999999999999</v>
      </c>
    </row>
    <row r="205" spans="2:52" s="283" customFormat="1" ht="10.5" customHeight="1" outlineLevel="1">
      <c r="B205" s="387"/>
      <c r="C205" s="478" t="s">
        <v>193</v>
      </c>
      <c r="D205" s="387"/>
      <c r="E205" s="387">
        <f t="shared" ref="E205:E210" si="406">AJ205</f>
        <v>-6.7619999999999996</v>
      </c>
      <c r="F205" s="387">
        <f t="shared" ref="F205:F210" si="407">AK205-AJ205</f>
        <v>-0.10300000000000065</v>
      </c>
      <c r="G205" s="387">
        <f t="shared" ref="G205:G210" si="408">AL205-AK205</f>
        <v>-12.089</v>
      </c>
      <c r="H205" s="387">
        <f t="shared" ref="H205:H210" si="409">AM205-AL205</f>
        <v>-8.5579999999999998</v>
      </c>
      <c r="I205" s="387">
        <f t="shared" si="395"/>
        <v>3.1709999999999998</v>
      </c>
      <c r="J205" s="387">
        <f t="shared" si="396"/>
        <v>-3.3179999999999996</v>
      </c>
      <c r="K205" s="387">
        <f t="shared" si="397"/>
        <v>-6.3540000000000001</v>
      </c>
      <c r="L205" s="387">
        <f t="shared" si="398"/>
        <v>22.647000000000002</v>
      </c>
      <c r="M205" s="387">
        <f t="shared" si="399"/>
        <v>-6.6020000000000003</v>
      </c>
      <c r="N205" s="387">
        <f t="shared" si="400"/>
        <v>2.0220000000000002</v>
      </c>
      <c r="O205" s="387">
        <f t="shared" si="401"/>
        <v>-8.51</v>
      </c>
      <c r="P205" s="387">
        <f t="shared" si="402"/>
        <v>-0.11800000000000033</v>
      </c>
      <c r="Q205" s="387">
        <f t="shared" si="403"/>
        <v>2.12</v>
      </c>
      <c r="R205" s="387">
        <f t="shared" si="404"/>
        <v>3.5990000000000002</v>
      </c>
      <c r="S205" s="387">
        <f t="shared" si="404"/>
        <v>16.652999999999999</v>
      </c>
      <c r="T205" s="387">
        <f t="shared" si="404"/>
        <v>-5.4529999999999994</v>
      </c>
      <c r="U205" s="387">
        <f t="shared" si="405"/>
        <v>-5.0810000000000004</v>
      </c>
      <c r="V205" s="387">
        <f ca="1">U102-V102</f>
        <v>0.32537666397215048</v>
      </c>
      <c r="W205" s="387">
        <f ca="1">V102-W102</f>
        <v>0.87155656769813561</v>
      </c>
      <c r="X205" s="387">
        <f ca="1">W102-X102</f>
        <v>-0.38285894800706899</v>
      </c>
      <c r="Z205" s="388">
        <v>-5.6970000000000001</v>
      </c>
      <c r="AA205" s="388">
        <v>-3.7440000000000002</v>
      </c>
      <c r="AB205" s="387">
        <f t="shared" si="362"/>
        <v>-27.512</v>
      </c>
      <c r="AC205" s="387">
        <f t="shared" si="362"/>
        <v>16.146000000000001</v>
      </c>
      <c r="AD205" s="387">
        <f t="shared" si="362"/>
        <v>-13.208</v>
      </c>
      <c r="AE205" s="387">
        <f t="shared" si="362"/>
        <v>16.919</v>
      </c>
      <c r="AF205" s="387">
        <f t="shared" ca="1" si="362"/>
        <v>-4.2669257163367833</v>
      </c>
      <c r="AG205" s="387">
        <f ca="1">AF102-AG102</f>
        <v>1.2293503738710285</v>
      </c>
      <c r="AH205" s="387">
        <f>AG102-AH102</f>
        <v>-15.807123287671232</v>
      </c>
      <c r="AJ205" s="388">
        <v>-6.7619999999999996</v>
      </c>
      <c r="AK205" s="388">
        <v>-6.8650000000000002</v>
      </c>
      <c r="AL205" s="388">
        <v>-18.954000000000001</v>
      </c>
      <c r="AM205" s="388">
        <v>-27.512</v>
      </c>
      <c r="AN205" s="388">
        <v>3.1709999999999998</v>
      </c>
      <c r="AO205" s="388">
        <v>-0.14699999999999999</v>
      </c>
      <c r="AP205" s="388">
        <v>-6.5010000000000003</v>
      </c>
      <c r="AQ205" s="388">
        <v>16.146000000000001</v>
      </c>
      <c r="AR205" s="388">
        <v>-6.6020000000000003</v>
      </c>
      <c r="AS205" s="388">
        <v>-4.58</v>
      </c>
      <c r="AT205" s="388">
        <v>-13.09</v>
      </c>
      <c r="AU205" s="388">
        <v>-13.208</v>
      </c>
      <c r="AV205" s="388">
        <v>2.12</v>
      </c>
      <c r="AW205" s="388">
        <v>5.7190000000000003</v>
      </c>
      <c r="AX205" s="826">
        <v>22.372</v>
      </c>
      <c r="AY205" s="388">
        <v>16.919</v>
      </c>
      <c r="AZ205" s="388">
        <v>-5.0810000000000004</v>
      </c>
    </row>
    <row r="206" spans="2:52" s="283" customFormat="1" ht="10.5" customHeight="1" outlineLevel="1">
      <c r="B206" s="387"/>
      <c r="C206" s="478" t="s">
        <v>383</v>
      </c>
      <c r="D206" s="387"/>
      <c r="E206" s="387">
        <f t="shared" si="406"/>
        <v>-3.1709999999999998</v>
      </c>
      <c r="F206" s="387">
        <f t="shared" si="407"/>
        <v>0.6639999999999997</v>
      </c>
      <c r="G206" s="387">
        <f t="shared" si="408"/>
        <v>-3.0619999999999998</v>
      </c>
      <c r="H206" s="387">
        <f t="shared" si="409"/>
        <v>3.843</v>
      </c>
      <c r="I206" s="387">
        <f t="shared" si="395"/>
        <v>1.1240000000000001</v>
      </c>
      <c r="J206" s="387">
        <f t="shared" si="396"/>
        <v>15.659999999999998</v>
      </c>
      <c r="K206" s="387">
        <f t="shared" si="397"/>
        <v>-1.8709999999999987</v>
      </c>
      <c r="L206" s="387">
        <f t="shared" si="398"/>
        <v>0.70500000000000007</v>
      </c>
      <c r="M206" s="387">
        <f t="shared" si="399"/>
        <v>-2.6419999999999999</v>
      </c>
      <c r="N206" s="387">
        <f t="shared" si="400"/>
        <v>1.718</v>
      </c>
      <c r="O206" s="387">
        <f t="shared" si="401"/>
        <v>7.6720000000000006</v>
      </c>
      <c r="P206" s="387">
        <f t="shared" si="402"/>
        <v>-4.3670000000000009</v>
      </c>
      <c r="Q206" s="387">
        <f t="shared" si="403"/>
        <v>1.528</v>
      </c>
      <c r="R206" s="387">
        <f t="shared" si="404"/>
        <v>2.597</v>
      </c>
      <c r="S206" s="387">
        <f t="shared" si="404"/>
        <v>-2.4750000000000001</v>
      </c>
      <c r="T206" s="387">
        <f t="shared" si="404"/>
        <v>-3.3279999999999998</v>
      </c>
      <c r="U206" s="387">
        <f t="shared" si="405"/>
        <v>1.696</v>
      </c>
      <c r="V206" s="387">
        <f ca="1">U106-V106+U116-V116</f>
        <v>-3.3452864582812118</v>
      </c>
      <c r="W206" s="387">
        <f ca="1">V106-W106+V116-W116</f>
        <v>2.7705637931630491</v>
      </c>
      <c r="X206" s="387">
        <f ca="1">W106-X106+W116-X116</f>
        <v>-2.624345225257315</v>
      </c>
      <c r="Z206" s="388">
        <v>14.422000000000001</v>
      </c>
      <c r="AA206" s="388">
        <v>-11.595000000000001</v>
      </c>
      <c r="AB206" s="387">
        <f t="shared" ref="AB206:AF210" si="410">SUMIF($E$5:$X$5,AB$5,$E206:$X206)</f>
        <v>-1.726</v>
      </c>
      <c r="AC206" s="387">
        <f t="shared" si="410"/>
        <v>15.618</v>
      </c>
      <c r="AD206" s="387">
        <f t="shared" si="410"/>
        <v>2.3810000000000002</v>
      </c>
      <c r="AE206" s="387">
        <f t="shared" si="410"/>
        <v>-1.6779999999999999</v>
      </c>
      <c r="AF206" s="387">
        <f t="shared" ca="1" si="410"/>
        <v>-1.5030678903754777</v>
      </c>
      <c r="AG206" s="387">
        <f ca="1">AF106-AG106+AF116-AG116</f>
        <v>0.23112952989389868</v>
      </c>
      <c r="AH206" s="387">
        <f ca="1">AG106-AH106+AG116-AH116</f>
        <v>-7.9886975646989029</v>
      </c>
      <c r="AJ206" s="388">
        <v>-3.1709999999999998</v>
      </c>
      <c r="AK206" s="388">
        <v>-2.5070000000000001</v>
      </c>
      <c r="AL206" s="388">
        <v>-5.569</v>
      </c>
      <c r="AM206" s="388">
        <v>-1.726</v>
      </c>
      <c r="AN206" s="388">
        <v>1.1240000000000001</v>
      </c>
      <c r="AO206" s="388">
        <v>16.783999999999999</v>
      </c>
      <c r="AP206" s="388">
        <v>14.913</v>
      </c>
      <c r="AQ206" s="388">
        <v>15.618</v>
      </c>
      <c r="AR206" s="388">
        <v>-2.6419999999999999</v>
      </c>
      <c r="AS206" s="388">
        <v>-0.92400000000000004</v>
      </c>
      <c r="AT206" s="388">
        <v>6.7480000000000002</v>
      </c>
      <c r="AU206" s="388">
        <v>2.3809999999999998</v>
      </c>
      <c r="AV206" s="388">
        <v>1.528</v>
      </c>
      <c r="AW206" s="388">
        <v>4.125</v>
      </c>
      <c r="AX206" s="826">
        <v>1.65</v>
      </c>
      <c r="AY206" s="388">
        <v>-1.6779999999999999</v>
      </c>
      <c r="AZ206" s="388">
        <v>1.696</v>
      </c>
    </row>
    <row r="207" spans="2:52" s="283" customFormat="1" ht="10.5" customHeight="1" outlineLevel="1">
      <c r="B207" s="387"/>
      <c r="C207" s="478" t="s">
        <v>341</v>
      </c>
      <c r="D207" s="387"/>
      <c r="E207" s="387">
        <f t="shared" si="406"/>
        <v>13.956</v>
      </c>
      <c r="F207" s="387">
        <f t="shared" si="407"/>
        <v>-5.254999999999999</v>
      </c>
      <c r="G207" s="387">
        <f t="shared" si="408"/>
        <v>3.6069999999999993</v>
      </c>
      <c r="H207" s="387">
        <f t="shared" si="409"/>
        <v>5.4870000000000019</v>
      </c>
      <c r="I207" s="387">
        <f t="shared" si="395"/>
        <v>-9.4960000000000004</v>
      </c>
      <c r="J207" s="387">
        <f t="shared" si="396"/>
        <v>-2.5890000000000004</v>
      </c>
      <c r="K207" s="387">
        <f t="shared" si="397"/>
        <v>17.701000000000001</v>
      </c>
      <c r="L207" s="387">
        <f t="shared" si="398"/>
        <v>-29.971</v>
      </c>
      <c r="M207" s="387">
        <f t="shared" si="399"/>
        <v>-11.879</v>
      </c>
      <c r="N207" s="387">
        <f t="shared" si="400"/>
        <v>-3.5359999999999996</v>
      </c>
      <c r="O207" s="387">
        <f t="shared" si="401"/>
        <v>13.652999999999999</v>
      </c>
      <c r="P207" s="387">
        <f t="shared" si="402"/>
        <v>21.141000000000002</v>
      </c>
      <c r="Q207" s="387">
        <f t="shared" si="403"/>
        <v>-24.545000000000002</v>
      </c>
      <c r="R207" s="387">
        <f t="shared" si="404"/>
        <v>18.056000000000001</v>
      </c>
      <c r="S207" s="387">
        <f t="shared" si="404"/>
        <v>-8.1999999999999993</v>
      </c>
      <c r="T207" s="387">
        <f t="shared" si="404"/>
        <v>13.894</v>
      </c>
      <c r="U207" s="387">
        <f t="shared" si="405"/>
        <v>-13.907</v>
      </c>
      <c r="V207" s="387">
        <f t="shared" ref="V207:X208" ca="1" si="411">V121-U121</f>
        <v>0.80847652465557474</v>
      </c>
      <c r="W207" s="387">
        <f t="shared" ca="1" si="411"/>
        <v>0.19496799363608375</v>
      </c>
      <c r="X207" s="387">
        <f t="shared" ca="1" si="411"/>
        <v>2.6432148092236076</v>
      </c>
      <c r="Z207" s="388">
        <v>-6.5389999999999997</v>
      </c>
      <c r="AA207" s="388">
        <v>-16.434000000000001</v>
      </c>
      <c r="AB207" s="387">
        <f t="shared" si="410"/>
        <v>17.795000000000002</v>
      </c>
      <c r="AC207" s="387">
        <f t="shared" si="410"/>
        <v>-24.355</v>
      </c>
      <c r="AD207" s="387">
        <f t="shared" si="410"/>
        <v>19.379000000000001</v>
      </c>
      <c r="AE207" s="387">
        <f t="shared" si="410"/>
        <v>-0.79499999999999993</v>
      </c>
      <c r="AF207" s="387">
        <f t="shared" ca="1" si="410"/>
        <v>-10.260340672484734</v>
      </c>
      <c r="AG207" s="387">
        <f ca="1">AG121-AF121</f>
        <v>-12.306631930254994</v>
      </c>
      <c r="AH207" s="387">
        <f>AH121-AG121</f>
        <v>-14.035616438356165</v>
      </c>
      <c r="AJ207" s="388">
        <v>13.956</v>
      </c>
      <c r="AK207" s="388">
        <v>8.7010000000000005</v>
      </c>
      <c r="AL207" s="388">
        <v>12.308</v>
      </c>
      <c r="AM207" s="388">
        <v>17.795000000000002</v>
      </c>
      <c r="AN207" s="388">
        <v>-9.4960000000000004</v>
      </c>
      <c r="AO207" s="388">
        <v>-12.085000000000001</v>
      </c>
      <c r="AP207" s="388">
        <v>5.6159999999999997</v>
      </c>
      <c r="AQ207" s="388">
        <v>-24.355</v>
      </c>
      <c r="AR207" s="388">
        <v>-11.879</v>
      </c>
      <c r="AS207" s="388">
        <v>-15.414999999999999</v>
      </c>
      <c r="AT207" s="388">
        <v>-1.762</v>
      </c>
      <c r="AU207" s="388">
        <v>19.379000000000001</v>
      </c>
      <c r="AV207" s="388">
        <v>-24.545000000000002</v>
      </c>
      <c r="AW207" s="388">
        <v>-6.4889999999999999</v>
      </c>
      <c r="AX207" s="826">
        <v>-14.689</v>
      </c>
      <c r="AY207" s="388">
        <v>-0.79500000000000004</v>
      </c>
      <c r="AZ207" s="388">
        <v>-13.907</v>
      </c>
    </row>
    <row r="208" spans="2:52" s="283" customFormat="1" ht="10.5" customHeight="1" outlineLevel="1">
      <c r="B208" s="387"/>
      <c r="C208" s="478" t="s">
        <v>342</v>
      </c>
      <c r="D208" s="387"/>
      <c r="E208" s="387">
        <f t="shared" si="406"/>
        <v>-3.927</v>
      </c>
      <c r="F208" s="387">
        <f t="shared" si="407"/>
        <v>3.59</v>
      </c>
      <c r="G208" s="387">
        <f t="shared" si="408"/>
        <v>-3.8699999999999997</v>
      </c>
      <c r="H208" s="387">
        <f t="shared" si="409"/>
        <v>1.782</v>
      </c>
      <c r="I208" s="387">
        <f t="shared" si="395"/>
        <v>7.2119999999999997</v>
      </c>
      <c r="J208" s="387">
        <f t="shared" si="396"/>
        <v>-5.5519999999999996</v>
      </c>
      <c r="K208" s="387">
        <f t="shared" si="397"/>
        <v>2.8460000000000001</v>
      </c>
      <c r="L208" s="387">
        <f t="shared" si="398"/>
        <v>4.7200000000000006</v>
      </c>
      <c r="M208" s="387">
        <f t="shared" si="399"/>
        <v>9.4949999999999992</v>
      </c>
      <c r="N208" s="387">
        <f t="shared" si="400"/>
        <v>-4.0769999999999991</v>
      </c>
      <c r="O208" s="387">
        <f t="shared" si="401"/>
        <v>5.899</v>
      </c>
      <c r="P208" s="387">
        <f t="shared" si="402"/>
        <v>3.1280000000000001</v>
      </c>
      <c r="Q208" s="387">
        <f t="shared" si="403"/>
        <v>-7.9950000000000001</v>
      </c>
      <c r="R208" s="387">
        <f t="shared" si="404"/>
        <v>2.6440000000000001</v>
      </c>
      <c r="S208" s="387">
        <f t="shared" si="404"/>
        <v>3.5220000000000002</v>
      </c>
      <c r="T208" s="387">
        <f t="shared" si="404"/>
        <v>3.0990000000000002</v>
      </c>
      <c r="U208" s="387">
        <f t="shared" si="405"/>
        <v>6.9089999999999998</v>
      </c>
      <c r="V208" s="387">
        <f t="shared" ca="1" si="411"/>
        <v>1.9898778348315105</v>
      </c>
      <c r="W208" s="387">
        <f t="shared" ca="1" si="411"/>
        <v>-5.0367293189628448</v>
      </c>
      <c r="X208" s="387">
        <f t="shared" ca="1" si="411"/>
        <v>4.7709121774247372</v>
      </c>
      <c r="Z208" s="388">
        <v>17.704999999999998</v>
      </c>
      <c r="AA208" s="388">
        <v>2.0920000000000001</v>
      </c>
      <c r="AB208" s="387">
        <f t="shared" si="410"/>
        <v>-2.4249999999999998</v>
      </c>
      <c r="AC208" s="387">
        <f t="shared" si="410"/>
        <v>9.2260000000000009</v>
      </c>
      <c r="AD208" s="387">
        <f t="shared" si="410"/>
        <v>14.445</v>
      </c>
      <c r="AE208" s="387">
        <f t="shared" si="410"/>
        <v>1.2700000000000005</v>
      </c>
      <c r="AF208" s="387">
        <f t="shared" ca="1" si="410"/>
        <v>8.6330606932934018</v>
      </c>
      <c r="AG208" s="387">
        <f ca="1">AG122-AF122</f>
        <v>-1.9881678924558699</v>
      </c>
      <c r="AH208" s="387">
        <f ca="1">AH122-AG122</f>
        <v>-16.01080218405054</v>
      </c>
      <c r="AJ208" s="388">
        <v>-3.927</v>
      </c>
      <c r="AK208" s="388">
        <v>-0.33700000000000002</v>
      </c>
      <c r="AL208" s="388">
        <v>-4.2069999999999999</v>
      </c>
      <c r="AM208" s="388">
        <v>-2.4249999999999998</v>
      </c>
      <c r="AN208" s="388">
        <v>7.2119999999999997</v>
      </c>
      <c r="AO208" s="388">
        <v>1.66</v>
      </c>
      <c r="AP208" s="388">
        <v>4.5060000000000002</v>
      </c>
      <c r="AQ208" s="388">
        <v>9.2260000000000009</v>
      </c>
      <c r="AR208" s="388">
        <v>9.4949999999999992</v>
      </c>
      <c r="AS208" s="388">
        <v>5.4180000000000001</v>
      </c>
      <c r="AT208" s="388">
        <v>11.317</v>
      </c>
      <c r="AU208" s="388">
        <v>14.445</v>
      </c>
      <c r="AV208" s="388">
        <v>-7.9950000000000001</v>
      </c>
      <c r="AW208" s="388">
        <v>-5.351</v>
      </c>
      <c r="AX208" s="826">
        <v>-1.829</v>
      </c>
      <c r="AY208" s="388">
        <v>1.27</v>
      </c>
      <c r="AZ208" s="388">
        <v>6.9089999999999998</v>
      </c>
    </row>
    <row r="209" spans="2:52" s="283" customFormat="1" ht="10.5" customHeight="1" outlineLevel="1">
      <c r="B209" s="387"/>
      <c r="C209" s="478" t="s">
        <v>343</v>
      </c>
      <c r="D209" s="387"/>
      <c r="E209" s="387">
        <f t="shared" si="406"/>
        <v>0.218</v>
      </c>
      <c r="F209" s="387">
        <f t="shared" si="407"/>
        <v>-0.89</v>
      </c>
      <c r="G209" s="387">
        <f t="shared" si="408"/>
        <v>1.5169999999999999</v>
      </c>
      <c r="H209" s="387">
        <f t="shared" si="409"/>
        <v>-0.19999999999999996</v>
      </c>
      <c r="I209" s="387">
        <f t="shared" si="395"/>
        <v>1.2370000000000001</v>
      </c>
      <c r="J209" s="387">
        <f t="shared" si="396"/>
        <v>-7.6890000000000001</v>
      </c>
      <c r="K209" s="387">
        <f t="shared" si="397"/>
        <v>0.71900000000000031</v>
      </c>
      <c r="L209" s="387">
        <f t="shared" si="398"/>
        <v>2.5779999999999998</v>
      </c>
      <c r="M209" s="387">
        <f t="shared" si="399"/>
        <v>1.3320000000000001</v>
      </c>
      <c r="N209" s="387">
        <f t="shared" si="400"/>
        <v>2.58</v>
      </c>
      <c r="O209" s="387">
        <f t="shared" si="401"/>
        <v>-0.63600000000000012</v>
      </c>
      <c r="P209" s="387">
        <f t="shared" si="402"/>
        <v>0.28500000000000014</v>
      </c>
      <c r="Q209" s="387">
        <f t="shared" si="403"/>
        <v>2.0310000000000001</v>
      </c>
      <c r="R209" s="387">
        <f t="shared" si="404"/>
        <v>-3.0300000000000002</v>
      </c>
      <c r="S209" s="387">
        <f t="shared" si="404"/>
        <v>3.7290000000000001</v>
      </c>
      <c r="T209" s="387">
        <f t="shared" si="404"/>
        <v>3.7269999999999999</v>
      </c>
      <c r="U209" s="387">
        <f t="shared" si="405"/>
        <v>3.754</v>
      </c>
      <c r="V209" s="387">
        <f>V124-U124</f>
        <v>0</v>
      </c>
      <c r="W209" s="387">
        <f>W124-V124</f>
        <v>0</v>
      </c>
      <c r="X209" s="387">
        <f>X124-W124</f>
        <v>0</v>
      </c>
      <c r="Z209" s="388">
        <v>0.26300000000000001</v>
      </c>
      <c r="AA209" s="388">
        <v>-2.234</v>
      </c>
      <c r="AB209" s="387">
        <f t="shared" si="410"/>
        <v>0.64499999999999991</v>
      </c>
      <c r="AC209" s="387">
        <f t="shared" si="410"/>
        <v>-3.1549999999999998</v>
      </c>
      <c r="AD209" s="387">
        <f t="shared" si="410"/>
        <v>3.5609999999999999</v>
      </c>
      <c r="AE209" s="387">
        <f t="shared" si="410"/>
        <v>6.4569999999999999</v>
      </c>
      <c r="AF209" s="387">
        <f t="shared" si="410"/>
        <v>3.754</v>
      </c>
      <c r="AG209" s="387">
        <f>AG124-AF124</f>
        <v>0</v>
      </c>
      <c r="AH209" s="387">
        <f>AH124-AG124</f>
        <v>0</v>
      </c>
      <c r="AJ209" s="388">
        <v>0.218</v>
      </c>
      <c r="AK209" s="388">
        <v>-0.67200000000000004</v>
      </c>
      <c r="AL209" s="388">
        <v>0.84499999999999997</v>
      </c>
      <c r="AM209" s="388">
        <v>0.64500000000000002</v>
      </c>
      <c r="AN209" s="388">
        <v>1.2370000000000001</v>
      </c>
      <c r="AO209" s="388">
        <v>-6.452</v>
      </c>
      <c r="AP209" s="388">
        <v>-5.7329999999999997</v>
      </c>
      <c r="AQ209" s="388">
        <v>-3.1549999999999998</v>
      </c>
      <c r="AR209" s="388">
        <v>1.3320000000000001</v>
      </c>
      <c r="AS209" s="388">
        <v>3.9119999999999999</v>
      </c>
      <c r="AT209" s="388">
        <v>3.2759999999999998</v>
      </c>
      <c r="AU209" s="388">
        <v>3.5609999999999999</v>
      </c>
      <c r="AV209" s="388">
        <v>2.0310000000000001</v>
      </c>
      <c r="AW209" s="388">
        <v>-0.999</v>
      </c>
      <c r="AX209" s="826">
        <v>2.73</v>
      </c>
      <c r="AY209" s="388">
        <v>6.4569999999999999</v>
      </c>
      <c r="AZ209" s="388">
        <v>3.754</v>
      </c>
    </row>
    <row r="210" spans="2:52" s="283" customFormat="1" ht="10.5" customHeight="1" outlineLevel="1">
      <c r="B210" s="387"/>
      <c r="C210" s="478" t="s">
        <v>384</v>
      </c>
      <c r="D210" s="387"/>
      <c r="E210" s="387">
        <f t="shared" si="406"/>
        <v>-3.8879999999999999</v>
      </c>
      <c r="F210" s="387">
        <f t="shared" si="407"/>
        <v>-0.52200000000000024</v>
      </c>
      <c r="G210" s="387">
        <f t="shared" si="408"/>
        <v>-0.82800000000000029</v>
      </c>
      <c r="H210" s="387">
        <f t="shared" si="409"/>
        <v>-1.9609999999999994</v>
      </c>
      <c r="I210" s="387">
        <f t="shared" si="395"/>
        <v>1.0640000000000001</v>
      </c>
      <c r="J210" s="387">
        <f t="shared" si="396"/>
        <v>3.2839999999999998</v>
      </c>
      <c r="K210" s="387">
        <f t="shared" si="397"/>
        <v>1.4729999999999999</v>
      </c>
      <c r="L210" s="387">
        <f t="shared" si="398"/>
        <v>1.7110000000000003</v>
      </c>
      <c r="M210" s="387">
        <f t="shared" si="399"/>
        <v>-3.2029999999999998</v>
      </c>
      <c r="N210" s="387">
        <f t="shared" si="400"/>
        <v>2.7679999999999998</v>
      </c>
      <c r="O210" s="387">
        <f t="shared" si="401"/>
        <v>2.9180000000000001</v>
      </c>
      <c r="P210" s="387">
        <f t="shared" si="402"/>
        <v>-5.5679999999999996</v>
      </c>
      <c r="Q210" s="387">
        <f t="shared" si="403"/>
        <v>0.19500000000000001</v>
      </c>
      <c r="R210" s="387">
        <f t="shared" si="404"/>
        <v>0.50099999999999989</v>
      </c>
      <c r="S210" s="387">
        <f t="shared" si="404"/>
        <v>1.7929999999999999</v>
      </c>
      <c r="T210" s="387">
        <f t="shared" si="404"/>
        <v>-0.36099999999999977</v>
      </c>
      <c r="U210" s="387">
        <f t="shared" si="405"/>
        <v>-3.516</v>
      </c>
      <c r="V210" s="387">
        <f ca="1">V136-U136</f>
        <v>-2.5275823186923958</v>
      </c>
      <c r="W210" s="387">
        <f ca="1">W136-V136</f>
        <v>-5.6212559617453763</v>
      </c>
      <c r="X210" s="387">
        <f ca="1">X136-W136</f>
        <v>4.8157494722359644</v>
      </c>
      <c r="Z210" s="388">
        <v>-1.869</v>
      </c>
      <c r="AA210" s="388">
        <v>-5.2030000000000003</v>
      </c>
      <c r="AB210" s="387">
        <f t="shared" si="410"/>
        <v>-7.1989999999999998</v>
      </c>
      <c r="AC210" s="387">
        <f t="shared" si="410"/>
        <v>7.532</v>
      </c>
      <c r="AD210" s="387">
        <f t="shared" si="410"/>
        <v>-3.0849999999999995</v>
      </c>
      <c r="AE210" s="387">
        <f t="shared" si="410"/>
        <v>2.1280000000000001</v>
      </c>
      <c r="AF210" s="387">
        <f t="shared" ca="1" si="410"/>
        <v>-6.8490888082018078</v>
      </c>
      <c r="AG210" s="387">
        <f ca="1">AG136-AF136</f>
        <v>-2.7482461891809038</v>
      </c>
      <c r="AH210" s="387">
        <f ca="1">AH136-AG136</f>
        <v>3.4098786981046487</v>
      </c>
      <c r="AJ210" s="388">
        <v>-3.8879999999999999</v>
      </c>
      <c r="AK210" s="388">
        <v>-4.41</v>
      </c>
      <c r="AL210" s="388">
        <v>-5.2380000000000004</v>
      </c>
      <c r="AM210" s="388">
        <v>-7.1989999999999998</v>
      </c>
      <c r="AN210" s="388">
        <v>1.0640000000000001</v>
      </c>
      <c r="AO210" s="388">
        <v>4.3479999999999999</v>
      </c>
      <c r="AP210" s="388">
        <v>5.8209999999999997</v>
      </c>
      <c r="AQ210" s="388">
        <v>7.532</v>
      </c>
      <c r="AR210" s="388">
        <v>-3.2029999999999998</v>
      </c>
      <c r="AS210" s="388">
        <v>-0.435</v>
      </c>
      <c r="AT210" s="388">
        <v>2.4830000000000001</v>
      </c>
      <c r="AU210" s="388">
        <v>-3.085</v>
      </c>
      <c r="AV210" s="388">
        <v>0.19500000000000001</v>
      </c>
      <c r="AW210" s="388">
        <v>0.69599999999999995</v>
      </c>
      <c r="AX210" s="826">
        <v>2.4889999999999999</v>
      </c>
      <c r="AY210" s="388">
        <v>2.1280000000000001</v>
      </c>
      <c r="AZ210" s="388">
        <v>-3.516</v>
      </c>
    </row>
    <row r="211" spans="2:52" s="283" customFormat="1" ht="10.5" customHeight="1">
      <c r="C211" s="316" t="s">
        <v>385</v>
      </c>
      <c r="E211" s="379">
        <f>E203+SUM(E188:E192)</f>
        <v>16.382999999999996</v>
      </c>
      <c r="F211" s="379">
        <f t="shared" ref="F211:AV211" si="412">F203+SUM(F188:F192)</f>
        <v>30.634999999999973</v>
      </c>
      <c r="G211" s="379">
        <f t="shared" si="412"/>
        <v>28.192000000000007</v>
      </c>
      <c r="H211" s="379">
        <f t="shared" si="412"/>
        <v>19.011000000000021</v>
      </c>
      <c r="I211" s="379">
        <f t="shared" si="412"/>
        <v>20.029999999999994</v>
      </c>
      <c r="J211" s="379">
        <f t="shared" si="412"/>
        <v>-11.316999999999995</v>
      </c>
      <c r="K211" s="379">
        <f t="shared" si="412"/>
        <v>54.896000000000015</v>
      </c>
      <c r="L211" s="379">
        <f t="shared" si="412"/>
        <v>57.257000000000019</v>
      </c>
      <c r="M211" s="379">
        <f t="shared" si="412"/>
        <v>4.9270000000000076</v>
      </c>
      <c r="N211" s="379">
        <f t="shared" ref="N211" si="413">N203+SUM(N188:N192)</f>
        <v>37.526000000000003</v>
      </c>
      <c r="O211" s="379">
        <f t="shared" si="412"/>
        <v>73.438999999999993</v>
      </c>
      <c r="P211" s="379">
        <f t="shared" si="412"/>
        <v>64.90100000000001</v>
      </c>
      <c r="Q211" s="379">
        <f t="shared" ref="Q211" si="414">Q203+SUM(Q188:Q192)</f>
        <v>37.936000000000007</v>
      </c>
      <c r="R211" s="379">
        <f t="shared" ref="R211" si="415">R203+SUM(R188:R192)</f>
        <v>86.304000000000016</v>
      </c>
      <c r="S211" s="379">
        <f t="shared" ref="S211" si="416">S203+SUM(S188:S192)</f>
        <v>42.742000000000004</v>
      </c>
      <c r="T211" s="379">
        <f t="shared" ref="T211" si="417">T203+SUM(T188:T192)</f>
        <v>53.355000000000018</v>
      </c>
      <c r="U211" s="379">
        <f t="shared" ref="U211:V211" si="418">U203+SUM(U188:U192)</f>
        <v>37.908999999999999</v>
      </c>
      <c r="V211" s="379">
        <f t="shared" ca="1" si="418"/>
        <v>75.226229587688366</v>
      </c>
      <c r="W211" s="379">
        <f t="shared" ref="W211:X211" ca="1" si="419">W203+SUM(W188:W192)</f>
        <v>47.909015776738741</v>
      </c>
      <c r="X211" s="379">
        <f t="shared" ca="1" si="419"/>
        <v>87.566343411148722</v>
      </c>
      <c r="Z211" s="379">
        <f t="shared" si="412"/>
        <v>225.32800000000003</v>
      </c>
      <c r="AA211" s="379">
        <f t="shared" si="412"/>
        <v>115.87800000000001</v>
      </c>
      <c r="AB211" s="379">
        <f t="shared" si="412"/>
        <v>94.221000000000018</v>
      </c>
      <c r="AC211" s="379">
        <f t="shared" si="412"/>
        <v>120.86600000000006</v>
      </c>
      <c r="AD211" s="379">
        <f t="shared" si="412"/>
        <v>180.79300000000001</v>
      </c>
      <c r="AE211" s="379">
        <f t="shared" si="412"/>
        <v>220.33700000000005</v>
      </c>
      <c r="AF211" s="379">
        <f t="shared" ca="1" si="412"/>
        <v>248.61058877557588</v>
      </c>
      <c r="AG211" s="379">
        <f t="shared" ca="1" si="412"/>
        <v>248.80956951851869</v>
      </c>
      <c r="AH211" s="379">
        <f t="shared" ref="AH211" ca="1" si="420">AH203+SUM(AH188:AH192)</f>
        <v>198.47805108673461</v>
      </c>
      <c r="AJ211" s="379">
        <f t="shared" si="412"/>
        <v>16.383000000000003</v>
      </c>
      <c r="AK211" s="379">
        <f t="shared" si="412"/>
        <v>47.018000000000001</v>
      </c>
      <c r="AL211" s="379">
        <f t="shared" si="412"/>
        <v>75.20999999999998</v>
      </c>
      <c r="AM211" s="379">
        <f t="shared" si="412"/>
        <v>94.221000000000018</v>
      </c>
      <c r="AN211" s="379">
        <f t="shared" si="412"/>
        <v>20.03</v>
      </c>
      <c r="AO211" s="379">
        <f t="shared" si="412"/>
        <v>8.713000000000001</v>
      </c>
      <c r="AP211" s="379">
        <f t="shared" si="412"/>
        <v>63.608999999999995</v>
      </c>
      <c r="AQ211" s="379">
        <f t="shared" si="412"/>
        <v>120.866</v>
      </c>
      <c r="AR211" s="379">
        <f t="shared" si="412"/>
        <v>4.9270000000000076</v>
      </c>
      <c r="AS211" s="379">
        <f t="shared" si="412"/>
        <v>42.453000000000003</v>
      </c>
      <c r="AT211" s="379">
        <f t="shared" si="412"/>
        <v>115.892</v>
      </c>
      <c r="AU211" s="379">
        <f t="shared" si="412"/>
        <v>180.79300000000001</v>
      </c>
      <c r="AV211" s="379">
        <f t="shared" si="412"/>
        <v>37.935999999999993</v>
      </c>
      <c r="AW211" s="768">
        <f>AW203+SUM(AW188:AW192)</f>
        <v>124.24000000000001</v>
      </c>
      <c r="AX211" s="804">
        <f>AX203+SUM(AX188:AX192)</f>
        <v>166.98200000000003</v>
      </c>
      <c r="AY211" s="768">
        <f>AY203+SUM(AY188:AY192)</f>
        <v>220.33699999999999</v>
      </c>
      <c r="AZ211" s="768">
        <f>AZ203+SUM(AZ188:AZ192)</f>
        <v>37.908999999999999</v>
      </c>
    </row>
    <row r="212" spans="2:52" s="283" customFormat="1" ht="10.5" customHeight="1">
      <c r="E212" s="285"/>
      <c r="F212" s="285"/>
      <c r="G212" s="285"/>
      <c r="H212" s="285"/>
      <c r="I212" s="285"/>
      <c r="J212" s="285"/>
      <c r="K212" s="285"/>
      <c r="L212" s="285"/>
      <c r="M212" s="285"/>
      <c r="N212" s="285"/>
      <c r="O212" s="285"/>
      <c r="P212" s="285"/>
      <c r="Q212" s="285"/>
      <c r="R212" s="285"/>
      <c r="S212" s="285"/>
      <c r="T212" s="285"/>
      <c r="U212" s="285"/>
      <c r="V212" s="285"/>
      <c r="W212" s="285"/>
      <c r="X212" s="285"/>
      <c r="Z212" s="285"/>
      <c r="AA212" s="285"/>
      <c r="AB212" s="285"/>
      <c r="AC212" s="285"/>
      <c r="AD212" s="285"/>
      <c r="AE212" s="285"/>
      <c r="AF212" s="285"/>
      <c r="AG212" s="285"/>
      <c r="AH212" s="285"/>
      <c r="AX212" s="399"/>
    </row>
    <row r="213" spans="2:52" s="283" customFormat="1" ht="10.5" customHeight="1">
      <c r="C213" s="283" t="s">
        <v>386</v>
      </c>
      <c r="E213" s="283">
        <f>AJ213</f>
        <v>-17.635000000000002</v>
      </c>
      <c r="F213" s="283">
        <f>AK213-AJ213</f>
        <v>-25.669</v>
      </c>
      <c r="G213" s="283">
        <f>AL213-AK213</f>
        <v>-39.980999999999995</v>
      </c>
      <c r="H213" s="283">
        <f>AM213-AL213</f>
        <v>-53.647999999999996</v>
      </c>
      <c r="I213" s="283">
        <f>AN213</f>
        <v>-33.070999999999998</v>
      </c>
      <c r="J213" s="283">
        <f>AO213-AN213</f>
        <v>-38.174000000000007</v>
      </c>
      <c r="K213" s="283">
        <f>AP213-AO213</f>
        <v>-26.092999999999989</v>
      </c>
      <c r="L213" s="283">
        <f>AQ213-AP213</f>
        <v>-24.083000000000013</v>
      </c>
      <c r="M213" s="283">
        <f>AR213</f>
        <v>-19.87</v>
      </c>
      <c r="N213" s="283">
        <f>AS213-AR213</f>
        <v>-10.818999999999999</v>
      </c>
      <c r="O213" s="283">
        <f>AT213-AS213</f>
        <v>-23.692999999999998</v>
      </c>
      <c r="P213" s="283">
        <f>AU213-AT213</f>
        <v>-36.634000000000007</v>
      </c>
      <c r="Q213" s="283">
        <f>AV213</f>
        <v>-21.413</v>
      </c>
      <c r="R213" s="283">
        <f>AW213-AV213</f>
        <v>-31.898</v>
      </c>
      <c r="S213" s="283">
        <f>AX213-AW213</f>
        <v>-27.098999999999997</v>
      </c>
      <c r="T213" s="283">
        <f>AY213-AX213</f>
        <v>-29.507000000000005</v>
      </c>
      <c r="U213" s="283">
        <f>AZ213</f>
        <v>-21.478000000000002</v>
      </c>
      <c r="V213" s="283">
        <f t="shared" ref="V213:W213" ca="1" si="421">-V163-V169</f>
        <v>-37.913911032813431</v>
      </c>
      <c r="W213" s="283">
        <f t="shared" ca="1" si="421"/>
        <v>-39.84552116882557</v>
      </c>
      <c r="X213" s="283">
        <f ca="1">-X163-X169</f>
        <v>-35.943333312695493</v>
      </c>
      <c r="Z213" s="305">
        <v>-164.78800000000001</v>
      </c>
      <c r="AA213" s="305">
        <v>-98.037999999999997</v>
      </c>
      <c r="AB213" s="283">
        <f t="shared" ref="AB213:AF213" si="422">SUMIF($E$5:$X$5,AB$5,$E213:$X213)</f>
        <v>-136.93299999999999</v>
      </c>
      <c r="AC213" s="283">
        <f t="shared" si="422"/>
        <v>-121.42100000000001</v>
      </c>
      <c r="AD213" s="283">
        <f t="shared" si="422"/>
        <v>-91.016000000000005</v>
      </c>
      <c r="AE213" s="283">
        <f t="shared" si="422"/>
        <v>-109.917</v>
      </c>
      <c r="AF213" s="283">
        <f t="shared" ca="1" si="422"/>
        <v>-135.1807655143345</v>
      </c>
      <c r="AG213" s="283">
        <f t="shared" ref="AG213:AH213" ca="1" si="423">-AG168-AG169</f>
        <v>-134.39989280083753</v>
      </c>
      <c r="AH213" s="283">
        <f t="shared" ca="1" si="423"/>
        <v>-136.97818123357399</v>
      </c>
      <c r="AJ213" s="305">
        <v>-17.635000000000002</v>
      </c>
      <c r="AK213" s="305">
        <v>-43.304000000000002</v>
      </c>
      <c r="AL213" s="305">
        <v>-83.284999999999997</v>
      </c>
      <c r="AM213" s="305">
        <v>-136.93299999999999</v>
      </c>
      <c r="AN213" s="305">
        <v>-33.070999999999998</v>
      </c>
      <c r="AO213" s="305">
        <v>-71.245000000000005</v>
      </c>
      <c r="AP213" s="305">
        <v>-97.337999999999994</v>
      </c>
      <c r="AQ213" s="305">
        <v>-121.42100000000001</v>
      </c>
      <c r="AR213" s="305">
        <v>-19.87</v>
      </c>
      <c r="AS213" s="305">
        <v>-30.689</v>
      </c>
      <c r="AT213" s="305">
        <v>-54.381999999999998</v>
      </c>
      <c r="AU213" s="305">
        <v>-91.016000000000005</v>
      </c>
      <c r="AV213" s="305">
        <v>-21.413</v>
      </c>
      <c r="AW213" s="305">
        <v>-53.311</v>
      </c>
      <c r="AX213" s="384">
        <f>-80.21-0.2</f>
        <v>-80.41</v>
      </c>
      <c r="AY213" s="305">
        <f>-109.048-0.869</f>
        <v>-109.917</v>
      </c>
      <c r="AZ213" s="305">
        <v>-21.478000000000002</v>
      </c>
    </row>
    <row r="214" spans="2:52" s="283" customFormat="1" ht="10.5" customHeight="1" collapsed="1">
      <c r="C214" s="283" t="s">
        <v>681</v>
      </c>
      <c r="E214" s="283">
        <f>SUM(E215:E219)</f>
        <v>-0.52999999999999758</v>
      </c>
      <c r="F214" s="283">
        <f t="shared" ref="F214:Z214" si="424">SUM(F215:F219)</f>
        <v>28.646999999999998</v>
      </c>
      <c r="G214" s="283">
        <f t="shared" si="424"/>
        <v>-129.42000000000002</v>
      </c>
      <c r="H214" s="283">
        <f t="shared" si="424"/>
        <v>1.6890000000000001</v>
      </c>
      <c r="I214" s="283">
        <f t="shared" si="424"/>
        <v>1E-3</v>
      </c>
      <c r="J214" s="283">
        <f t="shared" si="424"/>
        <v>-8.299999999999999E-2</v>
      </c>
      <c r="K214" s="283">
        <f t="shared" si="424"/>
        <v>1.5389999999999999</v>
      </c>
      <c r="L214" s="283">
        <f t="shared" si="424"/>
        <v>9.7000000000000003E-2</v>
      </c>
      <c r="M214" s="283">
        <f t="shared" si="424"/>
        <v>0.154</v>
      </c>
      <c r="N214" s="283">
        <f t="shared" ref="N214" si="425">SUM(N215:N219)</f>
        <v>-0.59099999999999997</v>
      </c>
      <c r="O214" s="283">
        <f t="shared" si="424"/>
        <v>-0.91900000000000004</v>
      </c>
      <c r="P214" s="283">
        <f t="shared" si="424"/>
        <v>-0.52900000000000014</v>
      </c>
      <c r="Q214" s="283">
        <f t="shared" ref="Q214" si="426">SUM(Q215:Q219)</f>
        <v>1.9E-2</v>
      </c>
      <c r="R214" s="283">
        <f t="shared" ref="R214:V214" si="427">SUM(R215:R219)</f>
        <v>0.112</v>
      </c>
      <c r="S214" s="283">
        <f t="shared" si="427"/>
        <v>2.242</v>
      </c>
      <c r="T214" s="283">
        <f t="shared" si="427"/>
        <v>0.5149999999999999</v>
      </c>
      <c r="U214" s="283">
        <f t="shared" si="427"/>
        <v>-7.7640000000000011</v>
      </c>
      <c r="V214" s="283">
        <f t="shared" si="427"/>
        <v>0</v>
      </c>
      <c r="W214" s="283">
        <f t="shared" ref="W214:X214" si="428">SUM(W215:W219)</f>
        <v>0</v>
      </c>
      <c r="X214" s="283">
        <f t="shared" si="428"/>
        <v>0</v>
      </c>
      <c r="Z214" s="283">
        <f t="shared" si="424"/>
        <v>-32.675999999999995</v>
      </c>
      <c r="AA214" s="283">
        <f t="shared" ref="AA214:AG214" si="429">SUM(AA215:AA219)</f>
        <v>1.4750000000000014</v>
      </c>
      <c r="AB214" s="283">
        <f t="shared" si="429"/>
        <v>-99.61399999999999</v>
      </c>
      <c r="AC214" s="283">
        <f t="shared" si="429"/>
        <v>1.554</v>
      </c>
      <c r="AD214" s="283">
        <f t="shared" si="429"/>
        <v>-1.8850000000000002</v>
      </c>
      <c r="AE214" s="283">
        <f t="shared" si="429"/>
        <v>2.8879999999999999</v>
      </c>
      <c r="AF214" s="283">
        <f t="shared" si="429"/>
        <v>-7.7640000000000011</v>
      </c>
      <c r="AG214" s="283">
        <f t="shared" si="429"/>
        <v>0</v>
      </c>
      <c r="AH214" s="283">
        <f t="shared" ref="AH214" si="430">SUM(AH215:AH219)</f>
        <v>0</v>
      </c>
      <c r="AJ214" s="283">
        <f t="shared" ref="AJ214:AW214" si="431">SUM(AJ215:AJ219)</f>
        <v>-0.52999999999999758</v>
      </c>
      <c r="AK214" s="283">
        <f t="shared" si="431"/>
        <v>28.117000000000001</v>
      </c>
      <c r="AL214" s="283">
        <f t="shared" si="431"/>
        <v>-101.30300000000001</v>
      </c>
      <c r="AM214" s="283">
        <f t="shared" si="431"/>
        <v>-99.61399999999999</v>
      </c>
      <c r="AN214" s="283">
        <f t="shared" si="431"/>
        <v>1E-3</v>
      </c>
      <c r="AO214" s="283">
        <f t="shared" si="431"/>
        <v>-8.199999999999999E-2</v>
      </c>
      <c r="AP214" s="283">
        <f t="shared" si="431"/>
        <v>1.4569999999999999</v>
      </c>
      <c r="AQ214" s="283">
        <f t="shared" si="431"/>
        <v>1.554</v>
      </c>
      <c r="AR214" s="283">
        <f t="shared" si="431"/>
        <v>0.154</v>
      </c>
      <c r="AS214" s="283">
        <f t="shared" si="431"/>
        <v>-0.437</v>
      </c>
      <c r="AT214" s="283">
        <f t="shared" si="431"/>
        <v>-1.3560000000000001</v>
      </c>
      <c r="AU214" s="283">
        <f t="shared" si="431"/>
        <v>-1.8850000000000002</v>
      </c>
      <c r="AV214" s="283">
        <f t="shared" si="431"/>
        <v>1.9E-2</v>
      </c>
      <c r="AW214" s="283">
        <f t="shared" si="431"/>
        <v>0.13100000000000001</v>
      </c>
      <c r="AX214" s="399">
        <f t="shared" ref="AX214:AY214" si="432">SUM(AX215:AX219)</f>
        <v>2.3730000000000002</v>
      </c>
      <c r="AY214" s="283">
        <f t="shared" si="432"/>
        <v>2.8879999999999999</v>
      </c>
      <c r="AZ214" s="283">
        <f t="shared" ref="AZ214" si="433">SUM(AZ215:AZ219)</f>
        <v>-7.7640000000000011</v>
      </c>
    </row>
    <row r="215" spans="2:52" s="283" customFormat="1" ht="10.5" customHeight="1" outlineLevel="1">
      <c r="B215" s="387"/>
      <c r="C215" s="387" t="s">
        <v>682</v>
      </c>
      <c r="D215" s="387"/>
      <c r="E215" s="387">
        <f>AJ215</f>
        <v>0.151</v>
      </c>
      <c r="F215" s="387">
        <f t="shared" ref="F215:H218" si="434">AK215-AJ215</f>
        <v>0.31200000000000006</v>
      </c>
      <c r="G215" s="387">
        <f t="shared" si="434"/>
        <v>0.25899999999999995</v>
      </c>
      <c r="H215" s="387">
        <f t="shared" si="434"/>
        <v>1.6890000000000001</v>
      </c>
      <c r="I215" s="387">
        <f>AN215</f>
        <v>1E-3</v>
      </c>
      <c r="J215" s="387">
        <f t="shared" ref="J215:N218" si="435">AO215-AN215</f>
        <v>2.4E-2</v>
      </c>
      <c r="K215" s="387">
        <f t="shared" si="435"/>
        <v>6.0999999999999992E-2</v>
      </c>
      <c r="L215" s="387">
        <f t="shared" si="435"/>
        <v>9.7000000000000003E-2</v>
      </c>
      <c r="M215" s="387">
        <f>AR215</f>
        <v>0.154</v>
      </c>
      <c r="N215" s="387">
        <f t="shared" si="435"/>
        <v>4.6000000000000013E-2</v>
      </c>
      <c r="O215" s="387">
        <f t="shared" ref="O215:T218" si="436">AT215-AS215</f>
        <v>0.10499999999999998</v>
      </c>
      <c r="P215" s="387">
        <f t="shared" si="436"/>
        <v>2.6000000000000023E-2</v>
      </c>
      <c r="Q215" s="387">
        <f>AV215</f>
        <v>1.9E-2</v>
      </c>
      <c r="R215" s="387">
        <f t="shared" si="436"/>
        <v>0.112</v>
      </c>
      <c r="S215" s="387">
        <f t="shared" si="436"/>
        <v>0.43100000000000005</v>
      </c>
      <c r="T215" s="387">
        <f t="shared" si="436"/>
        <v>0.5149999999999999</v>
      </c>
      <c r="U215" s="387">
        <f>AZ215</f>
        <v>0.61699999999999999</v>
      </c>
      <c r="V215" s="388">
        <v>0</v>
      </c>
      <c r="W215" s="388">
        <v>0</v>
      </c>
      <c r="X215" s="388">
        <v>0</v>
      </c>
      <c r="Z215" s="388">
        <v>0.34799999999999998</v>
      </c>
      <c r="AA215" s="388">
        <v>0.374</v>
      </c>
      <c r="AB215" s="387">
        <f t="shared" ref="AB215:AF219" si="437">SUMIF($E$5:$X$5,AB$5,$E215:$X215)</f>
        <v>2.411</v>
      </c>
      <c r="AC215" s="387">
        <f t="shared" si="437"/>
        <v>0.183</v>
      </c>
      <c r="AD215" s="387">
        <f t="shared" si="437"/>
        <v>0.33100000000000002</v>
      </c>
      <c r="AE215" s="387">
        <f t="shared" si="437"/>
        <v>1.077</v>
      </c>
      <c r="AF215" s="395">
        <f t="shared" si="437"/>
        <v>0.61699999999999999</v>
      </c>
      <c r="AG215" s="388">
        <v>0</v>
      </c>
      <c r="AH215" s="388">
        <v>0</v>
      </c>
      <c r="AI215" s="387"/>
      <c r="AJ215" s="388">
        <v>0.151</v>
      </c>
      <c r="AK215" s="388">
        <v>0.46300000000000002</v>
      </c>
      <c r="AL215" s="388">
        <v>0.72199999999999998</v>
      </c>
      <c r="AM215" s="388">
        <v>2.411</v>
      </c>
      <c r="AN215" s="388">
        <v>1E-3</v>
      </c>
      <c r="AO215" s="388">
        <v>2.5000000000000001E-2</v>
      </c>
      <c r="AP215" s="388">
        <v>8.5999999999999993E-2</v>
      </c>
      <c r="AQ215" s="388">
        <v>0.183</v>
      </c>
      <c r="AR215" s="388">
        <v>0.154</v>
      </c>
      <c r="AS215" s="388">
        <v>0.2</v>
      </c>
      <c r="AT215" s="388">
        <v>0.30499999999999999</v>
      </c>
      <c r="AU215" s="388">
        <v>0.33100000000000002</v>
      </c>
      <c r="AV215" s="388">
        <v>1.9E-2</v>
      </c>
      <c r="AW215" s="388">
        <v>0.13100000000000001</v>
      </c>
      <c r="AX215" s="826">
        <v>0.56200000000000006</v>
      </c>
      <c r="AY215" s="388">
        <v>1.077</v>
      </c>
      <c r="AZ215" s="388">
        <v>0.61699999999999999</v>
      </c>
    </row>
    <row r="216" spans="2:52" s="283" customFormat="1" ht="10.5" customHeight="1" outlineLevel="1">
      <c r="B216" s="387"/>
      <c r="C216" s="387" t="s">
        <v>683</v>
      </c>
      <c r="D216" s="387"/>
      <c r="E216" s="387">
        <f>AJ216</f>
        <v>0</v>
      </c>
      <c r="F216" s="387">
        <f t="shared" si="434"/>
        <v>0</v>
      </c>
      <c r="G216" s="387">
        <f t="shared" si="434"/>
        <v>4.3769999999999998</v>
      </c>
      <c r="H216" s="387">
        <f t="shared" si="434"/>
        <v>0</v>
      </c>
      <c r="I216" s="387">
        <f>AN216</f>
        <v>0</v>
      </c>
      <c r="J216" s="387">
        <f t="shared" si="435"/>
        <v>0</v>
      </c>
      <c r="K216" s="387">
        <f t="shared" si="435"/>
        <v>0</v>
      </c>
      <c r="L216" s="387">
        <f t="shared" si="435"/>
        <v>0</v>
      </c>
      <c r="M216" s="387">
        <f>AR216</f>
        <v>0</v>
      </c>
      <c r="N216" s="387">
        <f t="shared" si="435"/>
        <v>0</v>
      </c>
      <c r="O216" s="387">
        <f t="shared" si="436"/>
        <v>0</v>
      </c>
      <c r="P216" s="387">
        <f t="shared" si="436"/>
        <v>0</v>
      </c>
      <c r="Q216" s="387">
        <f>AV216</f>
        <v>0</v>
      </c>
      <c r="R216" s="387">
        <f t="shared" si="436"/>
        <v>0</v>
      </c>
      <c r="S216" s="387">
        <f t="shared" si="436"/>
        <v>0</v>
      </c>
      <c r="T216" s="387">
        <f t="shared" si="436"/>
        <v>0</v>
      </c>
      <c r="U216" s="387">
        <f>AZ216</f>
        <v>0</v>
      </c>
      <c r="V216" s="388">
        <v>0</v>
      </c>
      <c r="W216" s="388">
        <v>0</v>
      </c>
      <c r="X216" s="388">
        <v>0</v>
      </c>
      <c r="Z216" s="388">
        <v>0</v>
      </c>
      <c r="AA216" s="388">
        <v>7.7450000000000001</v>
      </c>
      <c r="AB216" s="387">
        <f t="shared" si="437"/>
        <v>4.3769999999999998</v>
      </c>
      <c r="AC216" s="387">
        <f t="shared" si="437"/>
        <v>0</v>
      </c>
      <c r="AD216" s="387">
        <f t="shared" si="437"/>
        <v>0</v>
      </c>
      <c r="AE216" s="387">
        <f t="shared" si="437"/>
        <v>0</v>
      </c>
      <c r="AF216" s="395">
        <f t="shared" si="437"/>
        <v>0</v>
      </c>
      <c r="AG216" s="388">
        <v>0</v>
      </c>
      <c r="AH216" s="388">
        <v>0</v>
      </c>
      <c r="AI216" s="387"/>
      <c r="AJ216" s="388">
        <v>0</v>
      </c>
      <c r="AK216" s="388">
        <v>0</v>
      </c>
      <c r="AL216" s="388">
        <v>4.3769999999999998</v>
      </c>
      <c r="AM216" s="388">
        <v>4.3769999999999998</v>
      </c>
      <c r="AN216" s="388">
        <v>0</v>
      </c>
      <c r="AO216" s="388">
        <v>0</v>
      </c>
      <c r="AP216" s="388"/>
      <c r="AQ216" s="388">
        <v>0</v>
      </c>
      <c r="AR216" s="388">
        <v>0</v>
      </c>
      <c r="AS216" s="388">
        <v>0</v>
      </c>
      <c r="AT216" s="388">
        <v>0</v>
      </c>
      <c r="AU216" s="388">
        <v>0</v>
      </c>
      <c r="AV216" s="388">
        <v>0</v>
      </c>
      <c r="AW216" s="388">
        <v>0</v>
      </c>
      <c r="AX216" s="826">
        <v>0</v>
      </c>
      <c r="AY216" s="388">
        <v>0</v>
      </c>
      <c r="AZ216" s="388">
        <v>0</v>
      </c>
    </row>
    <row r="217" spans="2:52" s="283" customFormat="1" ht="10.5" customHeight="1" outlineLevel="1">
      <c r="B217" s="387"/>
      <c r="C217" s="387" t="s">
        <v>684</v>
      </c>
      <c r="D217" s="387"/>
      <c r="E217" s="387">
        <f>AJ217</f>
        <v>-31.181999999999999</v>
      </c>
      <c r="F217" s="387">
        <f t="shared" si="434"/>
        <v>-0.5</v>
      </c>
      <c r="G217" s="387">
        <f t="shared" si="434"/>
        <v>-139.61500000000001</v>
      </c>
      <c r="H217" s="387">
        <f t="shared" si="434"/>
        <v>0</v>
      </c>
      <c r="I217" s="387">
        <f>AN217</f>
        <v>0</v>
      </c>
      <c r="J217" s="387">
        <f t="shared" si="435"/>
        <v>-0.107</v>
      </c>
      <c r="K217" s="387">
        <f t="shared" si="435"/>
        <v>-0.28200000000000003</v>
      </c>
      <c r="L217" s="387">
        <f t="shared" si="435"/>
        <v>0</v>
      </c>
      <c r="M217" s="387">
        <f>AR217</f>
        <v>0</v>
      </c>
      <c r="N217" s="387">
        <f t="shared" si="435"/>
        <v>-0.63700000000000001</v>
      </c>
      <c r="O217" s="387">
        <f t="shared" si="436"/>
        <v>-1.024</v>
      </c>
      <c r="P217" s="387">
        <f t="shared" si="436"/>
        <v>-0.55500000000000016</v>
      </c>
      <c r="Q217" s="387">
        <f>AV217</f>
        <v>0</v>
      </c>
      <c r="R217" s="387">
        <f t="shared" si="436"/>
        <v>0</v>
      </c>
      <c r="S217" s="387">
        <f t="shared" si="436"/>
        <v>0</v>
      </c>
      <c r="T217" s="387">
        <f t="shared" si="436"/>
        <v>0</v>
      </c>
      <c r="U217" s="387">
        <f>AZ217</f>
        <v>-10.868</v>
      </c>
      <c r="V217" s="388">
        <v>0</v>
      </c>
      <c r="W217" s="388">
        <v>0</v>
      </c>
      <c r="X217" s="388">
        <v>0</v>
      </c>
      <c r="Z217" s="565">
        <f>-48.943-2.73</f>
        <v>-51.672999999999995</v>
      </c>
      <c r="AA217" s="388">
        <v>-56.613</v>
      </c>
      <c r="AB217" s="387">
        <f t="shared" si="437"/>
        <v>-171.297</v>
      </c>
      <c r="AC217" s="387">
        <f t="shared" si="437"/>
        <v>-0.38900000000000001</v>
      </c>
      <c r="AD217" s="387">
        <f t="shared" si="437"/>
        <v>-2.2160000000000002</v>
      </c>
      <c r="AE217" s="387">
        <f t="shared" si="437"/>
        <v>0</v>
      </c>
      <c r="AF217" s="395">
        <f t="shared" si="437"/>
        <v>-10.868</v>
      </c>
      <c r="AG217" s="388">
        <v>0</v>
      </c>
      <c r="AH217" s="388">
        <v>0</v>
      </c>
      <c r="AI217" s="387"/>
      <c r="AJ217" s="388">
        <v>-31.181999999999999</v>
      </c>
      <c r="AK217" s="388">
        <v>-31.681999999999999</v>
      </c>
      <c r="AL217" s="388">
        <f>-31.971-139.326</f>
        <v>-171.297</v>
      </c>
      <c r="AM217" s="388">
        <f>-31.971-139.326</f>
        <v>-171.297</v>
      </c>
      <c r="AN217" s="388">
        <v>0</v>
      </c>
      <c r="AO217" s="388">
        <v>-0.107</v>
      </c>
      <c r="AP217" s="388">
        <v>-0.38900000000000001</v>
      </c>
      <c r="AQ217" s="388">
        <v>-0.38900000000000001</v>
      </c>
      <c r="AR217" s="388">
        <v>0</v>
      </c>
      <c r="AS217" s="388">
        <v>-0.63700000000000001</v>
      </c>
      <c r="AT217" s="388">
        <v>-1.661</v>
      </c>
      <c r="AU217" s="388">
        <v>-2.2160000000000002</v>
      </c>
      <c r="AV217" s="388">
        <v>0</v>
      </c>
      <c r="AW217" s="388">
        <v>0</v>
      </c>
      <c r="AX217" s="826">
        <v>0</v>
      </c>
      <c r="AY217" s="388">
        <v>0</v>
      </c>
      <c r="AZ217" s="388">
        <v>-10.868</v>
      </c>
    </row>
    <row r="218" spans="2:52" s="283" customFormat="1" ht="10.5" customHeight="1" outlineLevel="1">
      <c r="B218" s="387"/>
      <c r="C218" s="387" t="s">
        <v>685</v>
      </c>
      <c r="D218" s="387"/>
      <c r="E218" s="387">
        <f>AJ218</f>
        <v>30.501000000000001</v>
      </c>
      <c r="F218" s="387">
        <f t="shared" si="434"/>
        <v>28.834999999999997</v>
      </c>
      <c r="G218" s="387">
        <f t="shared" si="434"/>
        <v>5.5589999999999975</v>
      </c>
      <c r="H218" s="387">
        <f t="shared" si="434"/>
        <v>0</v>
      </c>
      <c r="I218" s="387">
        <f>AN218</f>
        <v>0</v>
      </c>
      <c r="J218" s="387">
        <f t="shared" si="435"/>
        <v>0</v>
      </c>
      <c r="K218" s="387">
        <f t="shared" si="435"/>
        <v>0</v>
      </c>
      <c r="L218" s="387">
        <f t="shared" si="435"/>
        <v>0</v>
      </c>
      <c r="M218" s="387">
        <f>AR218</f>
        <v>0</v>
      </c>
      <c r="N218" s="387">
        <f t="shared" si="435"/>
        <v>0</v>
      </c>
      <c r="O218" s="387">
        <f t="shared" si="436"/>
        <v>0</v>
      </c>
      <c r="P218" s="387">
        <f t="shared" si="436"/>
        <v>0</v>
      </c>
      <c r="Q218" s="387">
        <f>AV218</f>
        <v>0</v>
      </c>
      <c r="R218" s="387">
        <f t="shared" si="436"/>
        <v>0</v>
      </c>
      <c r="S218" s="387">
        <f t="shared" si="436"/>
        <v>0</v>
      </c>
      <c r="T218" s="387">
        <f t="shared" si="436"/>
        <v>0</v>
      </c>
      <c r="U218" s="387">
        <f>AZ218</f>
        <v>0</v>
      </c>
      <c r="V218" s="388">
        <v>0</v>
      </c>
      <c r="W218" s="388">
        <v>0</v>
      </c>
      <c r="X218" s="388">
        <v>0</v>
      </c>
      <c r="Z218" s="388">
        <v>18.649000000000001</v>
      </c>
      <c r="AA218" s="388">
        <v>49.969000000000001</v>
      </c>
      <c r="AB218" s="387">
        <f t="shared" si="437"/>
        <v>64.894999999999996</v>
      </c>
      <c r="AC218" s="387">
        <f t="shared" si="437"/>
        <v>0</v>
      </c>
      <c r="AD218" s="387">
        <f t="shared" si="437"/>
        <v>0</v>
      </c>
      <c r="AE218" s="387">
        <f t="shared" si="437"/>
        <v>0</v>
      </c>
      <c r="AF218" s="395">
        <f t="shared" si="437"/>
        <v>0</v>
      </c>
      <c r="AG218" s="388">
        <v>0</v>
      </c>
      <c r="AH218" s="388">
        <v>0</v>
      </c>
      <c r="AI218" s="387"/>
      <c r="AJ218" s="388">
        <v>30.501000000000001</v>
      </c>
      <c r="AK218" s="388">
        <v>59.335999999999999</v>
      </c>
      <c r="AL218" s="388">
        <v>64.894999999999996</v>
      </c>
      <c r="AM218" s="388">
        <v>64.894999999999996</v>
      </c>
      <c r="AN218" s="388">
        <v>0</v>
      </c>
      <c r="AO218" s="388">
        <v>0</v>
      </c>
      <c r="AP218" s="388">
        <v>0</v>
      </c>
      <c r="AQ218" s="388">
        <v>0</v>
      </c>
      <c r="AR218" s="388">
        <v>0</v>
      </c>
      <c r="AS218" s="388">
        <v>0</v>
      </c>
      <c r="AT218" s="388">
        <v>0</v>
      </c>
      <c r="AU218" s="388">
        <v>0</v>
      </c>
      <c r="AV218" s="388">
        <v>0</v>
      </c>
      <c r="AW218" s="388">
        <v>0</v>
      </c>
      <c r="AX218" s="826">
        <v>0</v>
      </c>
      <c r="AY218" s="388">
        <v>0</v>
      </c>
      <c r="AZ218" s="388">
        <v>0</v>
      </c>
    </row>
    <row r="219" spans="2:52" s="283" customFormat="1" ht="10.5" customHeight="1" outlineLevel="1">
      <c r="B219" s="387"/>
      <c r="C219" s="387" t="s">
        <v>686</v>
      </c>
      <c r="D219" s="387"/>
      <c r="E219" s="387">
        <f>AJ219</f>
        <v>0</v>
      </c>
      <c r="F219" s="387">
        <f>AK219-AJ219</f>
        <v>0</v>
      </c>
      <c r="G219" s="387">
        <f>AL219-AK219</f>
        <v>0</v>
      </c>
      <c r="H219" s="387">
        <f>AM219-AL219</f>
        <v>0</v>
      </c>
      <c r="I219" s="387">
        <f>AN219</f>
        <v>0</v>
      </c>
      <c r="J219" s="387">
        <f>AO219-AN219</f>
        <v>0</v>
      </c>
      <c r="K219" s="387">
        <f>AP219-AO219</f>
        <v>1.76</v>
      </c>
      <c r="L219" s="387">
        <f>AQ219-AP219</f>
        <v>0</v>
      </c>
      <c r="M219" s="387">
        <f>AR219</f>
        <v>0</v>
      </c>
      <c r="N219" s="387">
        <f>AS219-AR219</f>
        <v>0</v>
      </c>
      <c r="O219" s="387">
        <f>AT219-AS219</f>
        <v>0</v>
      </c>
      <c r="P219" s="387">
        <f>AU219-AT219</f>
        <v>0</v>
      </c>
      <c r="Q219" s="387">
        <f>AV219</f>
        <v>0</v>
      </c>
      <c r="R219" s="387">
        <f>AW219-AV219</f>
        <v>0</v>
      </c>
      <c r="S219" s="387">
        <f>AX219-AW219</f>
        <v>1.8109999999999999</v>
      </c>
      <c r="T219" s="387">
        <f>AY219-AX219</f>
        <v>0</v>
      </c>
      <c r="U219" s="387">
        <f>AZ219</f>
        <v>2.4870000000000001</v>
      </c>
      <c r="V219" s="388">
        <v>0</v>
      </c>
      <c r="W219" s="388">
        <v>0</v>
      </c>
      <c r="X219" s="388">
        <v>0</v>
      </c>
      <c r="Z219" s="388">
        <v>0</v>
      </c>
      <c r="AA219" s="388">
        <v>0</v>
      </c>
      <c r="AB219" s="387">
        <f t="shared" si="437"/>
        <v>0</v>
      </c>
      <c r="AC219" s="387">
        <f t="shared" si="437"/>
        <v>1.76</v>
      </c>
      <c r="AD219" s="387">
        <f t="shared" si="437"/>
        <v>0</v>
      </c>
      <c r="AE219" s="387">
        <f t="shared" si="437"/>
        <v>1.8109999999999999</v>
      </c>
      <c r="AF219" s="395">
        <f t="shared" si="437"/>
        <v>2.4870000000000001</v>
      </c>
      <c r="AG219" s="388">
        <v>0</v>
      </c>
      <c r="AH219" s="388">
        <v>0</v>
      </c>
      <c r="AI219" s="387"/>
      <c r="AJ219" s="388">
        <v>0</v>
      </c>
      <c r="AK219" s="388">
        <v>0</v>
      </c>
      <c r="AL219" s="388">
        <v>0</v>
      </c>
      <c r="AM219" s="388">
        <v>0</v>
      </c>
      <c r="AN219" s="388">
        <v>0</v>
      </c>
      <c r="AO219" s="388">
        <v>0</v>
      </c>
      <c r="AP219" s="388">
        <v>1.76</v>
      </c>
      <c r="AQ219" s="388">
        <v>1.76</v>
      </c>
      <c r="AR219" s="388">
        <v>0</v>
      </c>
      <c r="AS219" s="388">
        <v>0</v>
      </c>
      <c r="AT219" s="388">
        <v>0</v>
      </c>
      <c r="AU219" s="388">
        <v>0</v>
      </c>
      <c r="AV219" s="388">
        <v>0</v>
      </c>
      <c r="AW219" s="388">
        <v>0</v>
      </c>
      <c r="AX219" s="826">
        <v>1.8109999999999999</v>
      </c>
      <c r="AY219" s="388">
        <v>1.8109999999999999</v>
      </c>
      <c r="AZ219" s="388">
        <v>2.4870000000000001</v>
      </c>
    </row>
    <row r="220" spans="2:52" s="283" customFormat="1" ht="10.5" customHeight="1">
      <c r="C220" s="316" t="s">
        <v>387</v>
      </c>
      <c r="E220" s="379">
        <f>SUM(E213:E214)</f>
        <v>-18.164999999999999</v>
      </c>
      <c r="F220" s="379">
        <f t="shared" ref="F220:AW220" si="438">SUM(F213:F214)</f>
        <v>2.977999999999998</v>
      </c>
      <c r="G220" s="379">
        <f t="shared" si="438"/>
        <v>-169.40100000000001</v>
      </c>
      <c r="H220" s="379">
        <f t="shared" si="438"/>
        <v>-51.958999999999996</v>
      </c>
      <c r="I220" s="379">
        <f t="shared" si="438"/>
        <v>-33.07</v>
      </c>
      <c r="J220" s="379">
        <f t="shared" si="438"/>
        <v>-38.257000000000005</v>
      </c>
      <c r="K220" s="379">
        <f t="shared" si="438"/>
        <v>-24.553999999999988</v>
      </c>
      <c r="L220" s="379">
        <f t="shared" si="438"/>
        <v>-23.986000000000011</v>
      </c>
      <c r="M220" s="379">
        <f t="shared" si="438"/>
        <v>-19.716000000000001</v>
      </c>
      <c r="N220" s="379">
        <f t="shared" ref="N220" si="439">SUM(N213:N214)</f>
        <v>-11.409999999999998</v>
      </c>
      <c r="O220" s="379">
        <f t="shared" si="438"/>
        <v>-24.611999999999998</v>
      </c>
      <c r="P220" s="379">
        <f t="shared" si="438"/>
        <v>-37.163000000000011</v>
      </c>
      <c r="Q220" s="379">
        <f t="shared" ref="Q220" si="440">SUM(Q213:Q214)</f>
        <v>-21.394000000000002</v>
      </c>
      <c r="R220" s="379">
        <f t="shared" ref="R220:V220" si="441">SUM(R213:R214)</f>
        <v>-31.786000000000001</v>
      </c>
      <c r="S220" s="379">
        <f t="shared" si="441"/>
        <v>-24.856999999999996</v>
      </c>
      <c r="T220" s="379">
        <f t="shared" si="441"/>
        <v>-28.992000000000004</v>
      </c>
      <c r="U220" s="379">
        <f t="shared" si="441"/>
        <v>-29.242000000000004</v>
      </c>
      <c r="V220" s="379">
        <f t="shared" ca="1" si="441"/>
        <v>-37.913911032813431</v>
      </c>
      <c r="W220" s="379">
        <f t="shared" ref="W220:X220" ca="1" si="442">SUM(W213:W214)</f>
        <v>-39.84552116882557</v>
      </c>
      <c r="X220" s="379">
        <f t="shared" ca="1" si="442"/>
        <v>-35.943333312695493</v>
      </c>
      <c r="Z220" s="379">
        <f t="shared" si="438"/>
        <v>-197.464</v>
      </c>
      <c r="AA220" s="379">
        <f t="shared" si="438"/>
        <v>-96.562999999999988</v>
      </c>
      <c r="AB220" s="379">
        <f t="shared" si="438"/>
        <v>-236.54699999999997</v>
      </c>
      <c r="AC220" s="379">
        <f t="shared" si="438"/>
        <v>-119.867</v>
      </c>
      <c r="AD220" s="379">
        <f t="shared" si="438"/>
        <v>-92.90100000000001</v>
      </c>
      <c r="AE220" s="379">
        <f t="shared" si="438"/>
        <v>-107.029</v>
      </c>
      <c r="AF220" s="382">
        <f t="shared" ca="1" si="438"/>
        <v>-142.94476551433451</v>
      </c>
      <c r="AG220" s="379">
        <f t="shared" ca="1" si="438"/>
        <v>-134.39989280083753</v>
      </c>
      <c r="AH220" s="379">
        <f t="shared" ref="AH220" ca="1" si="443">SUM(AH213:AH214)</f>
        <v>-136.97818123357399</v>
      </c>
      <c r="AJ220" s="379">
        <f t="shared" si="438"/>
        <v>-18.164999999999999</v>
      </c>
      <c r="AK220" s="379">
        <f t="shared" si="438"/>
        <v>-15.187000000000001</v>
      </c>
      <c r="AL220" s="379">
        <f t="shared" si="438"/>
        <v>-184.58800000000002</v>
      </c>
      <c r="AM220" s="379">
        <f t="shared" si="438"/>
        <v>-236.54699999999997</v>
      </c>
      <c r="AN220" s="379">
        <f t="shared" si="438"/>
        <v>-33.07</v>
      </c>
      <c r="AO220" s="379">
        <f t="shared" si="438"/>
        <v>-71.326999999999998</v>
      </c>
      <c r="AP220" s="379">
        <f t="shared" si="438"/>
        <v>-95.881</v>
      </c>
      <c r="AQ220" s="379">
        <f t="shared" si="438"/>
        <v>-119.867</v>
      </c>
      <c r="AR220" s="379">
        <f t="shared" si="438"/>
        <v>-19.716000000000001</v>
      </c>
      <c r="AS220" s="379">
        <f t="shared" si="438"/>
        <v>-31.126000000000001</v>
      </c>
      <c r="AT220" s="379">
        <f t="shared" si="438"/>
        <v>-55.738</v>
      </c>
      <c r="AU220" s="379">
        <f t="shared" si="438"/>
        <v>-92.90100000000001</v>
      </c>
      <c r="AV220" s="379">
        <f t="shared" si="438"/>
        <v>-21.394000000000002</v>
      </c>
      <c r="AW220" s="768">
        <f t="shared" si="438"/>
        <v>-53.18</v>
      </c>
      <c r="AX220" s="804">
        <f t="shared" ref="AX220:AY220" si="444">SUM(AX213:AX214)</f>
        <v>-78.036999999999992</v>
      </c>
      <c r="AY220" s="768">
        <f t="shared" si="444"/>
        <v>-107.029</v>
      </c>
      <c r="AZ220" s="768">
        <f t="shared" ref="AZ220" si="445">SUM(AZ213:AZ214)</f>
        <v>-29.242000000000004</v>
      </c>
    </row>
    <row r="221" spans="2:52" s="283" customFormat="1" ht="10.5" customHeight="1">
      <c r="AX221" s="399"/>
    </row>
    <row r="222" spans="2:52" s="283" customFormat="1" ht="10.5" customHeight="1">
      <c r="C222" s="283" t="s">
        <v>388</v>
      </c>
      <c r="E222" s="283">
        <f t="shared" ref="E222:E230" si="446">AJ222</f>
        <v>-0.998</v>
      </c>
      <c r="F222" s="283">
        <f t="shared" ref="F222:F230" si="447">AK222-AJ222</f>
        <v>-1.002</v>
      </c>
      <c r="G222" s="283">
        <f t="shared" ref="G222:G230" si="448">AL222-AK222</f>
        <v>-1.1930000000000001</v>
      </c>
      <c r="H222" s="283">
        <f t="shared" ref="H222:H230" si="449">AM222-AL222</f>
        <v>-1.1999999999999997</v>
      </c>
      <c r="I222" s="283">
        <f t="shared" ref="I222:I230" si="450">AN222</f>
        <v>-1.2090000000000001</v>
      </c>
      <c r="J222" s="283">
        <f t="shared" ref="J222:J230" si="451">AO222-AN222</f>
        <v>-1.2210000000000001</v>
      </c>
      <c r="K222" s="283">
        <f t="shared" ref="K222:K230" si="452">AP222-AO222</f>
        <v>-1.2249999999999996</v>
      </c>
      <c r="L222" s="283">
        <f t="shared" ref="L222:L230" si="453">AQ222-AP222</f>
        <v>-1.2589999999999999</v>
      </c>
      <c r="M222" s="283">
        <f t="shared" ref="M222:M230" si="454">AR222</f>
        <v>-1.304</v>
      </c>
      <c r="N222" s="283">
        <f t="shared" ref="N222:N230" si="455">AS222-AR222</f>
        <v>-1.3179999999999998</v>
      </c>
      <c r="O222" s="283">
        <f t="shared" ref="O222:O230" si="456">AT222-AS222</f>
        <v>-1.3290000000000002</v>
      </c>
      <c r="P222" s="283">
        <f t="shared" ref="P222:P230" si="457">AU222-AT222</f>
        <v>-4.6489999999999991</v>
      </c>
      <c r="Q222" s="283">
        <f t="shared" ref="Q222:Q230" si="458">AV222</f>
        <v>-4.6879999999999997</v>
      </c>
      <c r="R222" s="283">
        <f t="shared" ref="R222:T230" si="459">AW222-AV222</f>
        <v>-6.0270000000000001</v>
      </c>
      <c r="S222" s="283">
        <f t="shared" si="459"/>
        <v>-6.0399999999999991</v>
      </c>
      <c r="T222" s="283">
        <f t="shared" si="459"/>
        <v>-3.9170000000000016</v>
      </c>
      <c r="U222" s="283">
        <f t="shared" ref="U222:U230" si="460">AZ222</f>
        <v>-3.5089999999999999</v>
      </c>
      <c r="V222" s="283">
        <f>-V47*V44</f>
        <v>-3.5089999999999999</v>
      </c>
      <c r="W222" s="283">
        <f>-W47*W44</f>
        <v>-3.5089999999999999</v>
      </c>
      <c r="X222" s="283">
        <f>-X47*X44</f>
        <v>-3.5089999999999999</v>
      </c>
      <c r="Z222" s="305">
        <v>-3.867</v>
      </c>
      <c r="AA222" s="305">
        <v>-3.976</v>
      </c>
      <c r="AB222" s="283">
        <f t="shared" ref="AB222:AF226" si="461">SUMIF($E$5:$X$5,AB$5,$E222:$X222)</f>
        <v>-4.3929999999999998</v>
      </c>
      <c r="AC222" s="283">
        <f t="shared" si="461"/>
        <v>-4.9139999999999997</v>
      </c>
      <c r="AD222" s="283">
        <f t="shared" si="461"/>
        <v>-8.6</v>
      </c>
      <c r="AE222" s="283">
        <f t="shared" si="461"/>
        <v>-20.672000000000001</v>
      </c>
      <c r="AF222" s="283">
        <f t="shared" si="461"/>
        <v>-14.036</v>
      </c>
      <c r="AG222" s="283">
        <f>-AG47*AG44</f>
        <v>-14.036</v>
      </c>
      <c r="AH222" s="283">
        <f>-AH47*AH44</f>
        <v>-14.036</v>
      </c>
      <c r="AJ222" s="305">
        <v>-0.998</v>
      </c>
      <c r="AK222" s="305">
        <v>-2</v>
      </c>
      <c r="AL222" s="305">
        <v>-3.1930000000000001</v>
      </c>
      <c r="AM222" s="305">
        <v>-4.3929999999999998</v>
      </c>
      <c r="AN222" s="305">
        <v>-1.2090000000000001</v>
      </c>
      <c r="AO222" s="305">
        <v>-2.4300000000000002</v>
      </c>
      <c r="AP222" s="305">
        <v>-3.6549999999999998</v>
      </c>
      <c r="AQ222" s="305">
        <v>-4.9139999999999997</v>
      </c>
      <c r="AR222" s="305">
        <v>-1.304</v>
      </c>
      <c r="AS222" s="305">
        <v>-2.6219999999999999</v>
      </c>
      <c r="AT222" s="305">
        <v>-3.9510000000000001</v>
      </c>
      <c r="AU222" s="305">
        <v>-8.6</v>
      </c>
      <c r="AV222" s="305">
        <v>-4.6879999999999997</v>
      </c>
      <c r="AW222" s="305">
        <v>-10.715</v>
      </c>
      <c r="AX222" s="384">
        <v>-16.754999999999999</v>
      </c>
      <c r="AY222" s="305">
        <v>-20.672000000000001</v>
      </c>
      <c r="AZ222" s="305">
        <v>-3.5089999999999999</v>
      </c>
    </row>
    <row r="223" spans="2:52" s="283" customFormat="1" ht="10.5" customHeight="1">
      <c r="C223" s="283" t="s">
        <v>389</v>
      </c>
      <c r="E223" s="283">
        <f t="shared" si="446"/>
        <v>-0.13800000000000001</v>
      </c>
      <c r="F223" s="283">
        <f t="shared" si="447"/>
        <v>-0.13800000000000001</v>
      </c>
      <c r="G223" s="283">
        <f t="shared" si="448"/>
        <v>-0.13799999999999996</v>
      </c>
      <c r="H223" s="283">
        <f t="shared" si="449"/>
        <v>-0.13800000000000007</v>
      </c>
      <c r="I223" s="283">
        <f t="shared" si="450"/>
        <v>-0.13800000000000001</v>
      </c>
      <c r="J223" s="283">
        <f t="shared" si="451"/>
        <v>-0.13800000000000001</v>
      </c>
      <c r="K223" s="283">
        <f t="shared" si="452"/>
        <v>-0.13799999999999996</v>
      </c>
      <c r="L223" s="283">
        <f t="shared" si="453"/>
        <v>-0.13800000000000007</v>
      </c>
      <c r="M223" s="283">
        <f t="shared" si="454"/>
        <v>-0.13800000000000001</v>
      </c>
      <c r="N223" s="283">
        <f t="shared" si="455"/>
        <v>-0.13800000000000001</v>
      </c>
      <c r="O223" s="283">
        <f t="shared" si="456"/>
        <v>-0.13799999999999996</v>
      </c>
      <c r="P223" s="283">
        <f t="shared" si="457"/>
        <v>-0.13800000000000007</v>
      </c>
      <c r="Q223" s="283">
        <f t="shared" si="458"/>
        <v>-0.13800000000000001</v>
      </c>
      <c r="R223" s="283">
        <f t="shared" si="459"/>
        <v>-0.13800000000000001</v>
      </c>
      <c r="S223" s="283">
        <f t="shared" si="459"/>
        <v>-0.13799999999999996</v>
      </c>
      <c r="T223" s="283">
        <f t="shared" si="459"/>
        <v>0.41399999999999998</v>
      </c>
      <c r="U223" s="283">
        <f t="shared" si="460"/>
        <v>0</v>
      </c>
      <c r="V223" s="283">
        <f>-V38</f>
        <v>-0.13800000000000001</v>
      </c>
      <c r="W223" s="283">
        <f>-W38</f>
        <v>-0.13800000000000001</v>
      </c>
      <c r="X223" s="283">
        <f>-X38</f>
        <v>-0.13800000000000001</v>
      </c>
      <c r="Z223" s="305">
        <v>-0.55200000000000005</v>
      </c>
      <c r="AA223" s="305">
        <v>-0.55200000000000005</v>
      </c>
      <c r="AB223" s="283">
        <f t="shared" si="461"/>
        <v>-0.55200000000000005</v>
      </c>
      <c r="AC223" s="283">
        <f t="shared" si="461"/>
        <v>-0.55200000000000005</v>
      </c>
      <c r="AD223" s="283">
        <f t="shared" si="461"/>
        <v>-0.55200000000000005</v>
      </c>
      <c r="AE223" s="283">
        <f t="shared" si="461"/>
        <v>0</v>
      </c>
      <c r="AF223" s="283">
        <f t="shared" si="461"/>
        <v>-0.41400000000000003</v>
      </c>
      <c r="AG223" s="283">
        <f>-AG38</f>
        <v>-0.55200000000000005</v>
      </c>
      <c r="AH223" s="283">
        <f>-AH38</f>
        <v>-0.55200000000000005</v>
      </c>
      <c r="AJ223" s="305">
        <v>-0.13800000000000001</v>
      </c>
      <c r="AK223" s="305">
        <v>-0.27600000000000002</v>
      </c>
      <c r="AL223" s="305">
        <v>-0.41399999999999998</v>
      </c>
      <c r="AM223" s="305">
        <v>-0.55200000000000005</v>
      </c>
      <c r="AN223" s="305">
        <v>-0.13800000000000001</v>
      </c>
      <c r="AO223" s="305">
        <v>-0.27600000000000002</v>
      </c>
      <c r="AP223" s="305">
        <v>-0.41399999999999998</v>
      </c>
      <c r="AQ223" s="305">
        <v>-0.55200000000000005</v>
      </c>
      <c r="AR223" s="305">
        <v>-0.13800000000000001</v>
      </c>
      <c r="AS223" s="305">
        <v>-0.27600000000000002</v>
      </c>
      <c r="AT223" s="305">
        <v>-0.41399999999999998</v>
      </c>
      <c r="AU223" s="305">
        <v>-0.55200000000000005</v>
      </c>
      <c r="AV223" s="305">
        <v>-0.13800000000000001</v>
      </c>
      <c r="AW223" s="305">
        <v>-0.27600000000000002</v>
      </c>
      <c r="AX223" s="384">
        <v>-0.41399999999999998</v>
      </c>
      <c r="AY223" s="305">
        <v>0</v>
      </c>
      <c r="AZ223" s="305">
        <v>0</v>
      </c>
    </row>
    <row r="224" spans="2:52" s="283" customFormat="1" ht="10.5" customHeight="1">
      <c r="C224" s="283" t="s">
        <v>396</v>
      </c>
      <c r="E224" s="283">
        <f>AJ224</f>
        <v>31.024000000000001</v>
      </c>
      <c r="F224" s="283">
        <f t="shared" ref="F224:H225" si="462">AK224-AJ224</f>
        <v>0</v>
      </c>
      <c r="G224" s="283">
        <f t="shared" si="462"/>
        <v>47</v>
      </c>
      <c r="H224" s="283">
        <f t="shared" si="462"/>
        <v>24</v>
      </c>
      <c r="I224" s="283">
        <f>AN224</f>
        <v>58</v>
      </c>
      <c r="J224" s="283">
        <f t="shared" ref="J224:N225" si="463">AO224-AN224</f>
        <v>112</v>
      </c>
      <c r="K224" s="283">
        <f t="shared" si="463"/>
        <v>75</v>
      </c>
      <c r="L224" s="283">
        <f t="shared" si="463"/>
        <v>34.5</v>
      </c>
      <c r="M224" s="283">
        <f>AR224</f>
        <v>679.5</v>
      </c>
      <c r="N224" s="283">
        <f t="shared" si="463"/>
        <v>0</v>
      </c>
      <c r="O224" s="283">
        <f t="shared" ref="O224:T225" si="464">AT224-AS224</f>
        <v>27.606999999999971</v>
      </c>
      <c r="P224" s="283">
        <f t="shared" si="464"/>
        <v>9.2200000000000273</v>
      </c>
      <c r="Q224" s="283">
        <f>AV224</f>
        <v>0</v>
      </c>
      <c r="R224" s="283">
        <f t="shared" si="464"/>
        <v>0</v>
      </c>
      <c r="S224" s="283">
        <f t="shared" si="464"/>
        <v>0</v>
      </c>
      <c r="T224" s="283">
        <f t="shared" si="464"/>
        <v>0</v>
      </c>
      <c r="U224" s="283">
        <f>AZ224</f>
        <v>0</v>
      </c>
      <c r="V224" s="317">
        <f ca="1">IF((V142-U142)&lt;0,0,V142-U142-(Debt!V14-Debt!U14))</f>
        <v>5.8619775700208265E-14</v>
      </c>
      <c r="W224" s="317">
        <f ca="1">IF((W142-V142)&lt;0,0,W142-V142-(Debt!W14-Debt!V14))</f>
        <v>1.7763568394002505E-15</v>
      </c>
      <c r="X224" s="317">
        <f ca="1">IF((X142-W142)&lt;0,0,X142-W142-(Debt!X14-Debt!W14))</f>
        <v>1.7763568394002505E-15</v>
      </c>
      <c r="Z224" s="305">
        <v>0</v>
      </c>
      <c r="AA224" s="305">
        <v>0</v>
      </c>
      <c r="AB224" s="283">
        <f t="shared" si="461"/>
        <v>102.024</v>
      </c>
      <c r="AC224" s="283">
        <f t="shared" si="461"/>
        <v>279.5</v>
      </c>
      <c r="AD224" s="283">
        <f t="shared" si="461"/>
        <v>716.327</v>
      </c>
      <c r="AE224" s="283">
        <f t="shared" si="461"/>
        <v>0</v>
      </c>
      <c r="AF224" s="283">
        <f t="shared" ca="1" si="461"/>
        <v>6.2172489379008766E-14</v>
      </c>
      <c r="AG224" s="317">
        <f ca="1">IF((AG142-AF142)&lt;0,0,AG142-AF142-(Debt!AG14-Debt!AF14))</f>
        <v>-4.7961634663806763E-14</v>
      </c>
      <c r="AH224" s="317">
        <f ca="1">IF((AH142-AG142)&lt;0,0,AH142-AG142-(Debt!AH14-Debt!AG14))</f>
        <v>8.8817841970012523E-15</v>
      </c>
      <c r="AJ224" s="305">
        <v>31.024000000000001</v>
      </c>
      <c r="AK224" s="305">
        <v>31.024000000000001</v>
      </c>
      <c r="AL224" s="305">
        <v>78.024000000000001</v>
      </c>
      <c r="AM224" s="305">
        <v>102.024</v>
      </c>
      <c r="AN224" s="305">
        <v>58</v>
      </c>
      <c r="AO224" s="305">
        <v>170</v>
      </c>
      <c r="AP224" s="305">
        <v>245</v>
      </c>
      <c r="AQ224" s="305">
        <v>279.5</v>
      </c>
      <c r="AR224" s="305">
        <v>679.5</v>
      </c>
      <c r="AS224" s="305">
        <v>679.5</v>
      </c>
      <c r="AT224" s="305">
        <v>707.10699999999997</v>
      </c>
      <c r="AU224" s="305">
        <v>716.327</v>
      </c>
      <c r="AV224" s="305">
        <v>0</v>
      </c>
      <c r="AW224" s="305">
        <v>0</v>
      </c>
      <c r="AX224" s="384">
        <v>0</v>
      </c>
      <c r="AY224" s="305">
        <v>0</v>
      </c>
      <c r="AZ224" s="305">
        <v>0</v>
      </c>
    </row>
    <row r="225" spans="2:52" s="283" customFormat="1" ht="10.5" customHeight="1">
      <c r="C225" s="283" t="s">
        <v>395</v>
      </c>
      <c r="E225" s="283">
        <f>AJ225</f>
        <v>0</v>
      </c>
      <c r="F225" s="283">
        <f t="shared" si="462"/>
        <v>0</v>
      </c>
      <c r="G225" s="283">
        <f t="shared" si="462"/>
        <v>-82.036000000000001</v>
      </c>
      <c r="H225" s="283">
        <f t="shared" si="462"/>
        <v>-24</v>
      </c>
      <c r="I225" s="283">
        <f>AN225</f>
        <v>-58</v>
      </c>
      <c r="J225" s="283">
        <f t="shared" si="463"/>
        <v>-60</v>
      </c>
      <c r="K225" s="283">
        <f t="shared" si="463"/>
        <v>-77</v>
      </c>
      <c r="L225" s="283">
        <f t="shared" si="463"/>
        <v>-84.5</v>
      </c>
      <c r="M225" s="283">
        <f>AR225</f>
        <v>-506.5</v>
      </c>
      <c r="N225" s="283">
        <f t="shared" si="463"/>
        <v>-160</v>
      </c>
      <c r="O225" s="283">
        <f t="shared" si="464"/>
        <v>-50</v>
      </c>
      <c r="P225" s="283">
        <f t="shared" si="464"/>
        <v>0</v>
      </c>
      <c r="Q225" s="283">
        <f>AV225</f>
        <v>0</v>
      </c>
      <c r="R225" s="283">
        <f t="shared" si="464"/>
        <v>0</v>
      </c>
      <c r="S225" s="283">
        <f t="shared" si="464"/>
        <v>0</v>
      </c>
      <c r="T225" s="283">
        <f t="shared" si="464"/>
        <v>0</v>
      </c>
      <c r="U225" s="283">
        <f>AZ225</f>
        <v>0</v>
      </c>
      <c r="V225" s="317">
        <f ca="1">IF((V142-U142)&gt;0,0,V142-U142-(Debt!V14-Debt!U14))</f>
        <v>0</v>
      </c>
      <c r="W225" s="317">
        <f ca="1">IF((W142-V142)&gt;0,0,W142-V142-(Debt!W14-Debt!V14))</f>
        <v>0</v>
      </c>
      <c r="X225" s="317">
        <f ca="1">IF((X142-W142)&gt;0,0,X142-W142-(Debt!X14-Debt!W14))</f>
        <v>0</v>
      </c>
      <c r="Z225" s="305">
        <v>-2.7210000000000001</v>
      </c>
      <c r="AA225" s="305">
        <v>-0.47</v>
      </c>
      <c r="AB225" s="283">
        <f t="shared" si="461"/>
        <v>-106.036</v>
      </c>
      <c r="AC225" s="283">
        <f t="shared" si="461"/>
        <v>-279.5</v>
      </c>
      <c r="AD225" s="283">
        <f t="shared" si="461"/>
        <v>-716.5</v>
      </c>
      <c r="AE225" s="283">
        <f t="shared" si="461"/>
        <v>0</v>
      </c>
      <c r="AF225" s="283">
        <f t="shared" ca="1" si="461"/>
        <v>0</v>
      </c>
      <c r="AG225" s="317">
        <f ca="1">IF((AG142-AF142)&gt;0,0,AG142-AF142-(Debt!AG14-Debt!AF14))</f>
        <v>0</v>
      </c>
      <c r="AH225" s="317">
        <f ca="1">IF((AH142-AG142)&gt;0,0,AH142-AG142-(Debt!AH14-Debt!AG14))</f>
        <v>0</v>
      </c>
      <c r="AJ225" s="305">
        <v>0</v>
      </c>
      <c r="AK225" s="305">
        <v>0</v>
      </c>
      <c r="AL225" s="305">
        <v>-82.036000000000001</v>
      </c>
      <c r="AM225" s="305">
        <v>-106.036</v>
      </c>
      <c r="AN225" s="305">
        <v>-58</v>
      </c>
      <c r="AO225" s="305">
        <v>-118</v>
      </c>
      <c r="AP225" s="305">
        <v>-195</v>
      </c>
      <c r="AQ225" s="305">
        <v>-279.5</v>
      </c>
      <c r="AR225" s="305">
        <v>-506.5</v>
      </c>
      <c r="AS225" s="305">
        <v>-666.5</v>
      </c>
      <c r="AT225" s="305">
        <v>-716.5</v>
      </c>
      <c r="AU225" s="305">
        <v>-716.5</v>
      </c>
      <c r="AV225" s="305">
        <v>0</v>
      </c>
      <c r="AW225" s="305">
        <v>0</v>
      </c>
      <c r="AX225" s="384">
        <v>0</v>
      </c>
      <c r="AY225" s="305">
        <v>0</v>
      </c>
      <c r="AZ225" s="305">
        <v>0</v>
      </c>
    </row>
    <row r="226" spans="2:52" s="283" customFormat="1" ht="10.5" customHeight="1">
      <c r="C226" s="283" t="s">
        <v>755</v>
      </c>
      <c r="E226" s="283">
        <f>AJ226</f>
        <v>-1.2250000000000001</v>
      </c>
      <c r="F226" s="283">
        <f>AK226-AJ226</f>
        <v>-1.4689999999999999</v>
      </c>
      <c r="G226" s="283">
        <f>AL226-AK226</f>
        <v>0</v>
      </c>
      <c r="H226" s="283">
        <f>AM226-AL226</f>
        <v>0</v>
      </c>
      <c r="I226" s="283">
        <f>AN226</f>
        <v>0</v>
      </c>
      <c r="J226" s="283">
        <f>AO226-AN226</f>
        <v>-1.6439999999999999</v>
      </c>
      <c r="K226" s="283">
        <f>AP226-AO226</f>
        <v>-0.59499999999999997</v>
      </c>
      <c r="L226" s="283">
        <f>AQ226-AP226</f>
        <v>8.0000000000000071E-3</v>
      </c>
      <c r="M226" s="283">
        <f>AR226</f>
        <v>0</v>
      </c>
      <c r="N226" s="283">
        <f>AS226-AR226</f>
        <v>-2.7450000000000001</v>
      </c>
      <c r="O226" s="283">
        <f>AT226-AS226</f>
        <v>0</v>
      </c>
      <c r="P226" s="283">
        <f>AU226-AT226</f>
        <v>0</v>
      </c>
      <c r="Q226" s="283">
        <f>AV226</f>
        <v>0</v>
      </c>
      <c r="R226" s="283">
        <f>AW226-AV226</f>
        <v>-4.5250000000000004</v>
      </c>
      <c r="S226" s="283">
        <f>AX226-AW226</f>
        <v>0</v>
      </c>
      <c r="T226" s="283">
        <f>AY226-AX226</f>
        <v>0</v>
      </c>
      <c r="U226" s="283">
        <f>AZ226</f>
        <v>-1.921</v>
      </c>
      <c r="V226" s="283">
        <v>0</v>
      </c>
      <c r="W226" s="283">
        <v>0</v>
      </c>
      <c r="X226" s="283">
        <v>0</v>
      </c>
      <c r="Z226" s="305">
        <v>-4.4400000000000004</v>
      </c>
      <c r="AA226" s="305">
        <v>-2.8679999999999999</v>
      </c>
      <c r="AB226" s="283">
        <f t="shared" si="461"/>
        <v>-2.694</v>
      </c>
      <c r="AC226" s="283">
        <f t="shared" si="461"/>
        <v>-2.2309999999999999</v>
      </c>
      <c r="AD226" s="283">
        <f t="shared" si="461"/>
        <v>-2.7450000000000001</v>
      </c>
      <c r="AE226" s="283">
        <f t="shared" si="461"/>
        <v>-4.5250000000000004</v>
      </c>
      <c r="AF226" s="283">
        <f t="shared" si="461"/>
        <v>-1.921</v>
      </c>
      <c r="AH226" s="283">
        <v>0</v>
      </c>
      <c r="AJ226" s="305">
        <v>-1.2250000000000001</v>
      </c>
      <c r="AK226" s="305">
        <v>-2.694</v>
      </c>
      <c r="AL226" s="305">
        <v>-2.694</v>
      </c>
      <c r="AM226" s="305">
        <v>-2.694</v>
      </c>
      <c r="AN226" s="305">
        <v>0</v>
      </c>
      <c r="AO226" s="305">
        <v>-1.6439999999999999</v>
      </c>
      <c r="AP226" s="305">
        <v>-2.2389999999999999</v>
      </c>
      <c r="AQ226" s="305">
        <v>-2.2309999999999999</v>
      </c>
      <c r="AR226" s="305">
        <v>0</v>
      </c>
      <c r="AS226" s="305">
        <v>-2.7450000000000001</v>
      </c>
      <c r="AT226" s="305">
        <v>-2.7450000000000001</v>
      </c>
      <c r="AU226" s="305">
        <v>-2.7450000000000001</v>
      </c>
      <c r="AV226" s="305">
        <v>0</v>
      </c>
      <c r="AW226" s="305">
        <v>-4.5250000000000004</v>
      </c>
      <c r="AX226" s="384">
        <v>-4.5250000000000004</v>
      </c>
      <c r="AY226" s="305">
        <v>-4.5250000000000004</v>
      </c>
      <c r="AZ226" s="305">
        <v>-1.921</v>
      </c>
    </row>
    <row r="227" spans="2:52" s="283" customFormat="1" ht="10.5" customHeight="1">
      <c r="C227" s="283" t="s">
        <v>687</v>
      </c>
      <c r="E227" s="283">
        <f t="shared" ref="E227:P227" si="465">SUM(E228:E230)</f>
        <v>-1.3220000000000001</v>
      </c>
      <c r="F227" s="283">
        <f t="shared" si="465"/>
        <v>-2.4430000000000001</v>
      </c>
      <c r="G227" s="283">
        <f t="shared" si="465"/>
        <v>-1.6019999999999994</v>
      </c>
      <c r="H227" s="283">
        <f t="shared" si="465"/>
        <v>2.1339999999999995</v>
      </c>
      <c r="I227" s="283">
        <f t="shared" si="465"/>
        <v>-1.2999999999999998</v>
      </c>
      <c r="J227" s="283">
        <f t="shared" si="465"/>
        <v>-2.1229999999999998</v>
      </c>
      <c r="K227" s="283">
        <f t="shared" si="465"/>
        <v>-2.6480000000000001</v>
      </c>
      <c r="L227" s="283">
        <f t="shared" si="465"/>
        <v>46.957000000000001</v>
      </c>
      <c r="M227" s="283">
        <f t="shared" si="465"/>
        <v>-1.742</v>
      </c>
      <c r="N227" s="283">
        <f t="shared" ref="N227" si="466">SUM(N228:N230)</f>
        <v>-1.6489999999999998</v>
      </c>
      <c r="O227" s="283">
        <f t="shared" si="465"/>
        <v>-2.1420000000000003</v>
      </c>
      <c r="P227" s="283">
        <f t="shared" si="465"/>
        <v>-1.776</v>
      </c>
      <c r="Q227" s="283">
        <f t="shared" ref="Q227" si="467">SUM(Q228:Q230)</f>
        <v>-1.9630000000000001</v>
      </c>
      <c r="R227" s="283">
        <f t="shared" ref="R227:T227" si="468">SUM(R228:R230)</f>
        <v>-1.889</v>
      </c>
      <c r="S227" s="283">
        <f t="shared" si="468"/>
        <v>-1.8539999999999999</v>
      </c>
      <c r="T227" s="283">
        <f t="shared" si="468"/>
        <v>-1.6950000000000003</v>
      </c>
      <c r="U227" s="283">
        <f t="shared" ref="U227:V227" si="469">SUM(U228:U230)</f>
        <v>-1.7490000000000001</v>
      </c>
      <c r="V227" s="283">
        <f t="shared" si="469"/>
        <v>0</v>
      </c>
      <c r="W227" s="283">
        <f t="shared" ref="W227:X227" si="470">SUM(W228:W230)</f>
        <v>0</v>
      </c>
      <c r="X227" s="283">
        <f t="shared" si="470"/>
        <v>0</v>
      </c>
      <c r="Z227" s="283">
        <f t="shared" ref="Z227:AG227" si="471">SUM(Z228:Z230)</f>
        <v>-0.44100000000000072</v>
      </c>
      <c r="AA227" s="283">
        <f t="shared" si="471"/>
        <v>2.6179999999999994</v>
      </c>
      <c r="AB227" s="283">
        <f t="shared" si="471"/>
        <v>-3.2330000000000005</v>
      </c>
      <c r="AC227" s="283">
        <f t="shared" si="471"/>
        <v>40.885999999999996</v>
      </c>
      <c r="AD227" s="283">
        <f t="shared" si="471"/>
        <v>-7.3090000000000002</v>
      </c>
      <c r="AE227" s="283">
        <f t="shared" si="471"/>
        <v>-7.4009999999999998</v>
      </c>
      <c r="AF227" s="283">
        <f t="shared" si="471"/>
        <v>-1.7490000000000001</v>
      </c>
      <c r="AG227" s="283">
        <f t="shared" si="471"/>
        <v>0</v>
      </c>
      <c r="AH227" s="283">
        <f t="shared" ref="AH227" si="472">SUM(AH228:AH230)</f>
        <v>0</v>
      </c>
      <c r="AJ227" s="283">
        <f t="shared" ref="AJ227:AW227" si="473">SUM(AJ228:AJ230)</f>
        <v>-1.3220000000000001</v>
      </c>
      <c r="AK227" s="283">
        <f t="shared" si="473"/>
        <v>-3.7650000000000001</v>
      </c>
      <c r="AL227" s="283">
        <f t="shared" si="473"/>
        <v>-5.367</v>
      </c>
      <c r="AM227" s="283">
        <f t="shared" si="473"/>
        <v>-3.2330000000000005</v>
      </c>
      <c r="AN227" s="283">
        <f t="shared" si="473"/>
        <v>-1.2999999999999998</v>
      </c>
      <c r="AO227" s="283">
        <f t="shared" si="473"/>
        <v>-3.4229999999999996</v>
      </c>
      <c r="AP227" s="283">
        <f t="shared" si="473"/>
        <v>-6.0709999999999997</v>
      </c>
      <c r="AQ227" s="283">
        <f t="shared" si="473"/>
        <v>40.885999999999996</v>
      </c>
      <c r="AR227" s="283">
        <f t="shared" si="473"/>
        <v>-1.742</v>
      </c>
      <c r="AS227" s="283">
        <f t="shared" si="473"/>
        <v>-3.391</v>
      </c>
      <c r="AT227" s="283">
        <f t="shared" si="473"/>
        <v>-5.5330000000000004</v>
      </c>
      <c r="AU227" s="283">
        <f t="shared" si="473"/>
        <v>-7.3090000000000002</v>
      </c>
      <c r="AV227" s="283">
        <f t="shared" si="473"/>
        <v>-1.9630000000000001</v>
      </c>
      <c r="AW227" s="283">
        <f t="shared" si="473"/>
        <v>-3.8519999999999999</v>
      </c>
      <c r="AX227" s="399">
        <f t="shared" ref="AX227:AY227" si="474">SUM(AX228:AX230)</f>
        <v>-5.7059999999999995</v>
      </c>
      <c r="AY227" s="283">
        <f t="shared" si="474"/>
        <v>-7.4009999999999998</v>
      </c>
      <c r="AZ227" s="283">
        <f t="shared" ref="AZ227" si="475">SUM(AZ228:AZ230)</f>
        <v>-1.7490000000000001</v>
      </c>
    </row>
    <row r="228" spans="2:52" s="283" customFormat="1" ht="10.5" customHeight="1" outlineLevel="1">
      <c r="B228" s="387"/>
      <c r="C228" s="387" t="s">
        <v>688</v>
      </c>
      <c r="D228" s="387"/>
      <c r="E228" s="387">
        <f>AJ228</f>
        <v>0</v>
      </c>
      <c r="F228" s="387">
        <f>AK228-AJ228</f>
        <v>-3.0000000000000001E-3</v>
      </c>
      <c r="G228" s="387">
        <f>AL228-AK228</f>
        <v>-2.4569999999999999</v>
      </c>
      <c r="H228" s="387">
        <f>AM228-AL228</f>
        <v>-0.17799999999999994</v>
      </c>
      <c r="I228" s="387">
        <f>AN228</f>
        <v>-3.9E-2</v>
      </c>
      <c r="J228" s="387">
        <f>AO228-AN228</f>
        <v>-6.9999999999999993E-3</v>
      </c>
      <c r="K228" s="387">
        <f>AP228-AO228</f>
        <v>-0.54099999999999993</v>
      </c>
      <c r="L228" s="387">
        <f>AQ228-AP228</f>
        <v>-0.38900000000000001</v>
      </c>
      <c r="M228" s="387">
        <f>AR228</f>
        <v>-0.45800000000000002</v>
      </c>
      <c r="N228" s="387">
        <f>AS228-AR228</f>
        <v>-9.3000000000000027E-2</v>
      </c>
      <c r="O228" s="387">
        <f>AT228-AS228</f>
        <v>-0.73599999999999988</v>
      </c>
      <c r="P228" s="387">
        <f>AU228-AT228</f>
        <v>-6.9000000000000172E-2</v>
      </c>
      <c r="Q228" s="387">
        <f>AV228</f>
        <v>-8.2000000000000003E-2</v>
      </c>
      <c r="R228" s="387">
        <f>AW228-AV228</f>
        <v>0</v>
      </c>
      <c r="S228" s="387">
        <f>AX228-AW228</f>
        <v>-2.5999999999999995E-2</v>
      </c>
      <c r="T228" s="387">
        <f>AY228-AX228</f>
        <v>-8.0000000000000071E-3</v>
      </c>
      <c r="U228" s="387">
        <f>AZ228</f>
        <v>-5.3999999999999999E-2</v>
      </c>
      <c r="V228" s="387">
        <v>0</v>
      </c>
      <c r="W228" s="387">
        <v>0</v>
      </c>
      <c r="X228" s="387">
        <v>0</v>
      </c>
      <c r="Z228" s="388">
        <v>-0.127</v>
      </c>
      <c r="AA228" s="388">
        <v>-0.47599999999999998</v>
      </c>
      <c r="AB228" s="387">
        <f t="shared" ref="AB228:AF230" si="476">SUMIF($E$5:$X$5,AB$5,$E228:$X228)</f>
        <v>-2.6379999999999999</v>
      </c>
      <c r="AC228" s="387">
        <f t="shared" si="476"/>
        <v>-0.97599999999999998</v>
      </c>
      <c r="AD228" s="387">
        <f t="shared" si="476"/>
        <v>-1.3560000000000001</v>
      </c>
      <c r="AE228" s="387">
        <f t="shared" si="476"/>
        <v>-0.11600000000000001</v>
      </c>
      <c r="AF228" s="387">
        <f t="shared" si="476"/>
        <v>-5.3999999999999999E-2</v>
      </c>
      <c r="AG228" s="387">
        <v>0</v>
      </c>
      <c r="AH228" s="387">
        <v>0</v>
      </c>
      <c r="AI228" s="387"/>
      <c r="AJ228" s="388">
        <v>0</v>
      </c>
      <c r="AK228" s="388">
        <v>-3.0000000000000001E-3</v>
      </c>
      <c r="AL228" s="388">
        <v>-2.46</v>
      </c>
      <c r="AM228" s="388">
        <v>-2.6379999999999999</v>
      </c>
      <c r="AN228" s="388">
        <v>-3.9E-2</v>
      </c>
      <c r="AO228" s="388">
        <v>-4.5999999999999999E-2</v>
      </c>
      <c r="AP228" s="388">
        <v>-0.58699999999999997</v>
      </c>
      <c r="AQ228" s="388">
        <v>-0.97599999999999998</v>
      </c>
      <c r="AR228" s="388">
        <v>-0.45800000000000002</v>
      </c>
      <c r="AS228" s="388">
        <v>-0.55100000000000005</v>
      </c>
      <c r="AT228" s="388">
        <v>-1.2869999999999999</v>
      </c>
      <c r="AU228" s="388">
        <v>-1.3560000000000001</v>
      </c>
      <c r="AV228" s="388">
        <v>-8.2000000000000003E-2</v>
      </c>
      <c r="AW228" s="388">
        <v>-8.2000000000000003E-2</v>
      </c>
      <c r="AX228" s="826">
        <v>-0.108</v>
      </c>
      <c r="AY228" s="388">
        <v>-0.11600000000000001</v>
      </c>
      <c r="AZ228" s="388">
        <v>-5.3999999999999999E-2</v>
      </c>
    </row>
    <row r="229" spans="2:52" s="283" customFormat="1" ht="10.5" customHeight="1" outlineLevel="1">
      <c r="B229" s="387"/>
      <c r="C229" s="387" t="s">
        <v>689</v>
      </c>
      <c r="D229" s="387"/>
      <c r="E229" s="387">
        <f t="shared" si="446"/>
        <v>-1.3220000000000001</v>
      </c>
      <c r="F229" s="387">
        <f t="shared" si="447"/>
        <v>-2.44</v>
      </c>
      <c r="G229" s="387">
        <f t="shared" si="448"/>
        <v>-2.23</v>
      </c>
      <c r="H229" s="387">
        <f t="shared" si="449"/>
        <v>-1.3470000000000004</v>
      </c>
      <c r="I229" s="387">
        <f t="shared" si="450"/>
        <v>-1.2609999999999999</v>
      </c>
      <c r="J229" s="387">
        <f t="shared" si="451"/>
        <v>-2.1159999999999997</v>
      </c>
      <c r="K229" s="387">
        <f t="shared" si="452"/>
        <v>-2.1070000000000002</v>
      </c>
      <c r="L229" s="387">
        <f t="shared" si="453"/>
        <v>-1.673</v>
      </c>
      <c r="M229" s="387">
        <f t="shared" si="454"/>
        <v>-1.284</v>
      </c>
      <c r="N229" s="387">
        <f t="shared" si="455"/>
        <v>-1.5559999999999998</v>
      </c>
      <c r="O229" s="387">
        <f t="shared" si="456"/>
        <v>-1.4060000000000006</v>
      </c>
      <c r="P229" s="387">
        <f t="shared" si="457"/>
        <v>-1.7069999999999999</v>
      </c>
      <c r="Q229" s="387">
        <f t="shared" si="458"/>
        <v>-1.881</v>
      </c>
      <c r="R229" s="387">
        <f t="shared" si="459"/>
        <v>-1.889</v>
      </c>
      <c r="S229" s="387">
        <f t="shared" si="459"/>
        <v>-1.8279999999999998</v>
      </c>
      <c r="T229" s="387">
        <f t="shared" si="459"/>
        <v>-1.6870000000000003</v>
      </c>
      <c r="U229" s="387">
        <f t="shared" si="460"/>
        <v>-1.6950000000000001</v>
      </c>
      <c r="V229" s="395">
        <f>V130-U130</f>
        <v>0</v>
      </c>
      <c r="W229" s="395">
        <f>W130-V130</f>
        <v>0</v>
      </c>
      <c r="X229" s="395">
        <f>X130-W130</f>
        <v>0</v>
      </c>
      <c r="Z229" s="388">
        <v>-8.4350000000000005</v>
      </c>
      <c r="AA229" s="388">
        <v>-6.516</v>
      </c>
      <c r="AB229" s="387">
        <f t="shared" si="476"/>
        <v>-7.3390000000000004</v>
      </c>
      <c r="AC229" s="387">
        <f t="shared" si="476"/>
        <v>-7.157</v>
      </c>
      <c r="AD229" s="387">
        <f t="shared" si="476"/>
        <v>-5.9530000000000003</v>
      </c>
      <c r="AE229" s="387">
        <f t="shared" si="476"/>
        <v>-7.2850000000000001</v>
      </c>
      <c r="AF229" s="387">
        <f t="shared" si="476"/>
        <v>-1.6950000000000001</v>
      </c>
      <c r="AG229" s="388">
        <v>0</v>
      </c>
      <c r="AH229" s="388">
        <v>0</v>
      </c>
      <c r="AI229" s="387"/>
      <c r="AJ229" s="388">
        <v>-1.3220000000000001</v>
      </c>
      <c r="AK229" s="388">
        <v>-3.762</v>
      </c>
      <c r="AL229" s="388">
        <v>-5.992</v>
      </c>
      <c r="AM229" s="388">
        <v>-7.3390000000000004</v>
      </c>
      <c r="AN229" s="388">
        <v>-1.2609999999999999</v>
      </c>
      <c r="AO229" s="388">
        <v>-3.3769999999999998</v>
      </c>
      <c r="AP229" s="388">
        <v>-5.484</v>
      </c>
      <c r="AQ229" s="388">
        <v>-7.157</v>
      </c>
      <c r="AR229" s="388">
        <v>-1.284</v>
      </c>
      <c r="AS229" s="388">
        <v>-2.84</v>
      </c>
      <c r="AT229" s="388">
        <v>-4.2460000000000004</v>
      </c>
      <c r="AU229" s="388">
        <v>-5.9530000000000003</v>
      </c>
      <c r="AV229" s="388">
        <v>-1.881</v>
      </c>
      <c r="AW229" s="388">
        <v>-3.77</v>
      </c>
      <c r="AX229" s="826">
        <v>-5.5979999999999999</v>
      </c>
      <c r="AY229" s="388">
        <v>-7.2850000000000001</v>
      </c>
      <c r="AZ229" s="388">
        <v>-1.6950000000000001</v>
      </c>
    </row>
    <row r="230" spans="2:52" s="283" customFormat="1" ht="10.5" customHeight="1" outlineLevel="1">
      <c r="B230" s="387"/>
      <c r="C230" s="387" t="s">
        <v>690</v>
      </c>
      <c r="D230" s="387"/>
      <c r="E230" s="387">
        <f t="shared" si="446"/>
        <v>0</v>
      </c>
      <c r="F230" s="387">
        <f t="shared" si="447"/>
        <v>0</v>
      </c>
      <c r="G230" s="387">
        <f t="shared" si="448"/>
        <v>3.085</v>
      </c>
      <c r="H230" s="387">
        <f t="shared" si="449"/>
        <v>3.6589999999999998</v>
      </c>
      <c r="I230" s="387">
        <f t="shared" si="450"/>
        <v>0</v>
      </c>
      <c r="J230" s="387">
        <f t="shared" si="451"/>
        <v>0</v>
      </c>
      <c r="K230" s="387">
        <f t="shared" si="452"/>
        <v>0</v>
      </c>
      <c r="L230" s="387">
        <f t="shared" si="453"/>
        <v>49.018999999999998</v>
      </c>
      <c r="M230" s="387">
        <f t="shared" si="454"/>
        <v>0</v>
      </c>
      <c r="N230" s="387">
        <f t="shared" si="455"/>
        <v>0</v>
      </c>
      <c r="O230" s="387">
        <f t="shared" si="456"/>
        <v>0</v>
      </c>
      <c r="P230" s="387">
        <f t="shared" si="457"/>
        <v>0</v>
      </c>
      <c r="Q230" s="387">
        <f t="shared" si="458"/>
        <v>0</v>
      </c>
      <c r="R230" s="387">
        <f t="shared" si="459"/>
        <v>0</v>
      </c>
      <c r="S230" s="387">
        <f t="shared" si="459"/>
        <v>0</v>
      </c>
      <c r="T230" s="387">
        <f t="shared" si="459"/>
        <v>0</v>
      </c>
      <c r="U230" s="387">
        <f t="shared" si="460"/>
        <v>0</v>
      </c>
      <c r="V230" s="388">
        <v>0</v>
      </c>
      <c r="W230" s="388">
        <v>0</v>
      </c>
      <c r="X230" s="388">
        <v>0</v>
      </c>
      <c r="Z230" s="388">
        <v>8.1210000000000004</v>
      </c>
      <c r="AA230" s="388">
        <v>9.61</v>
      </c>
      <c r="AB230" s="387">
        <f t="shared" si="476"/>
        <v>6.7439999999999998</v>
      </c>
      <c r="AC230" s="387">
        <f t="shared" si="476"/>
        <v>49.018999999999998</v>
      </c>
      <c r="AD230" s="387">
        <f t="shared" si="476"/>
        <v>0</v>
      </c>
      <c r="AE230" s="387">
        <f t="shared" si="476"/>
        <v>0</v>
      </c>
      <c r="AF230" s="388">
        <f t="shared" si="476"/>
        <v>0</v>
      </c>
      <c r="AG230" s="388">
        <v>0</v>
      </c>
      <c r="AH230" s="388">
        <v>0</v>
      </c>
      <c r="AI230" s="387"/>
      <c r="AJ230" s="388">
        <v>0</v>
      </c>
      <c r="AK230" s="388">
        <v>0</v>
      </c>
      <c r="AL230" s="388">
        <v>3.085</v>
      </c>
      <c r="AM230" s="388">
        <v>6.7439999999999998</v>
      </c>
      <c r="AN230" s="388">
        <v>0</v>
      </c>
      <c r="AO230" s="388">
        <v>0</v>
      </c>
      <c r="AP230" s="388">
        <v>0</v>
      </c>
      <c r="AQ230" s="388">
        <v>49.018999999999998</v>
      </c>
      <c r="AR230" s="388">
        <v>0</v>
      </c>
      <c r="AS230" s="388">
        <v>0</v>
      </c>
      <c r="AT230" s="388">
        <v>0</v>
      </c>
      <c r="AU230" s="388">
        <v>0</v>
      </c>
      <c r="AV230" s="388">
        <v>0</v>
      </c>
      <c r="AW230" s="388">
        <v>0</v>
      </c>
      <c r="AX230" s="826">
        <v>0</v>
      </c>
      <c r="AY230" s="388">
        <v>0</v>
      </c>
      <c r="AZ230" s="388">
        <v>0</v>
      </c>
    </row>
    <row r="231" spans="2:52" s="283" customFormat="1" ht="10.5" customHeight="1">
      <c r="C231" s="313" t="s">
        <v>390</v>
      </c>
      <c r="E231" s="379">
        <f t="shared" ref="E231:P231" si="477">SUM(E222:E227)</f>
        <v>27.341000000000001</v>
      </c>
      <c r="F231" s="379">
        <f t="shared" si="477"/>
        <v>-5.0519999999999996</v>
      </c>
      <c r="G231" s="379">
        <f t="shared" si="477"/>
        <v>-37.969000000000001</v>
      </c>
      <c r="H231" s="379">
        <f t="shared" si="477"/>
        <v>0.79599999999999849</v>
      </c>
      <c r="I231" s="379">
        <f t="shared" si="477"/>
        <v>-2.6470000000000011</v>
      </c>
      <c r="J231" s="379">
        <f t="shared" si="477"/>
        <v>46.874000000000009</v>
      </c>
      <c r="K231" s="379">
        <f t="shared" si="477"/>
        <v>-6.6059999999999999</v>
      </c>
      <c r="L231" s="379">
        <f t="shared" si="477"/>
        <v>-4.4319999999999951</v>
      </c>
      <c r="M231" s="379">
        <f t="shared" si="477"/>
        <v>169.816</v>
      </c>
      <c r="N231" s="379">
        <f t="shared" ref="N231" si="478">SUM(N222:N227)</f>
        <v>-165.85</v>
      </c>
      <c r="O231" s="379">
        <f t="shared" si="477"/>
        <v>-26.002000000000027</v>
      </c>
      <c r="P231" s="379">
        <f t="shared" si="477"/>
        <v>2.6570000000000285</v>
      </c>
      <c r="Q231" s="379">
        <f t="shared" ref="Q231" si="479">SUM(Q222:Q227)</f>
        <v>-6.7889999999999997</v>
      </c>
      <c r="R231" s="379">
        <f t="shared" ref="R231:V231" si="480">SUM(R222:R227)</f>
        <v>-12.579000000000001</v>
      </c>
      <c r="S231" s="379">
        <f t="shared" si="480"/>
        <v>-8.0319999999999983</v>
      </c>
      <c r="T231" s="379">
        <f t="shared" si="480"/>
        <v>-5.1980000000000022</v>
      </c>
      <c r="U231" s="379">
        <f t="shared" si="480"/>
        <v>-7.1790000000000003</v>
      </c>
      <c r="V231" s="379">
        <f t="shared" ca="1" si="480"/>
        <v>-3.6469999999999412</v>
      </c>
      <c r="W231" s="379">
        <f t="shared" ref="W231:X231" ca="1" si="481">SUM(W222:W227)</f>
        <v>-3.646999999999998</v>
      </c>
      <c r="X231" s="379">
        <f t="shared" ca="1" si="481"/>
        <v>-3.646999999999998</v>
      </c>
      <c r="Z231" s="379">
        <f t="shared" ref="Z231:AG231" si="482">SUM(Z222:Z227)</f>
        <v>-12.021000000000003</v>
      </c>
      <c r="AA231" s="379">
        <f t="shared" si="482"/>
        <v>-5.2480000000000002</v>
      </c>
      <c r="AB231" s="379">
        <f t="shared" si="482"/>
        <v>-14.883999999999993</v>
      </c>
      <c r="AC231" s="379">
        <f t="shared" si="482"/>
        <v>33.188999999999986</v>
      </c>
      <c r="AD231" s="379">
        <f t="shared" si="482"/>
        <v>-19.379000000000048</v>
      </c>
      <c r="AE231" s="379">
        <f t="shared" si="482"/>
        <v>-32.597999999999999</v>
      </c>
      <c r="AF231" s="379">
        <f t="shared" ca="1" si="482"/>
        <v>-18.119999999999937</v>
      </c>
      <c r="AG231" s="379">
        <f t="shared" ca="1" si="482"/>
        <v>-14.588000000000047</v>
      </c>
      <c r="AH231" s="379">
        <f t="shared" ref="AH231" ca="1" si="483">SUM(AH222:AH227)</f>
        <v>-14.58799999999999</v>
      </c>
      <c r="AJ231" s="379">
        <f t="shared" ref="AJ231:AW231" si="484">SUM(AJ222:AJ227)</f>
        <v>27.341000000000001</v>
      </c>
      <c r="AK231" s="379">
        <f t="shared" si="484"/>
        <v>22.289000000000001</v>
      </c>
      <c r="AL231" s="379">
        <f t="shared" si="484"/>
        <v>-15.68</v>
      </c>
      <c r="AM231" s="379">
        <f t="shared" si="484"/>
        <v>-14.883999999999993</v>
      </c>
      <c r="AN231" s="379">
        <f t="shared" si="484"/>
        <v>-2.6470000000000011</v>
      </c>
      <c r="AO231" s="379">
        <f t="shared" si="484"/>
        <v>44.227000000000011</v>
      </c>
      <c r="AP231" s="379">
        <f t="shared" si="484"/>
        <v>37.621000000000016</v>
      </c>
      <c r="AQ231" s="379">
        <f t="shared" si="484"/>
        <v>33.188999999999986</v>
      </c>
      <c r="AR231" s="379">
        <f t="shared" si="484"/>
        <v>169.816</v>
      </c>
      <c r="AS231" s="379">
        <f t="shared" si="484"/>
        <v>3.9659999999999753</v>
      </c>
      <c r="AT231" s="379">
        <f t="shared" si="484"/>
        <v>-22.03600000000004</v>
      </c>
      <c r="AU231" s="379">
        <f t="shared" si="484"/>
        <v>-19.379000000000048</v>
      </c>
      <c r="AV231" s="379">
        <f t="shared" si="484"/>
        <v>-6.7889999999999997</v>
      </c>
      <c r="AW231" s="768">
        <f t="shared" si="484"/>
        <v>-19.367999999999999</v>
      </c>
      <c r="AX231" s="804">
        <f t="shared" ref="AX231:AY231" si="485">SUM(AX222:AX227)</f>
        <v>-27.400000000000002</v>
      </c>
      <c r="AY231" s="768">
        <f t="shared" si="485"/>
        <v>-32.597999999999999</v>
      </c>
      <c r="AZ231" s="768">
        <f t="shared" ref="AZ231" si="486">SUM(AZ222:AZ227)</f>
        <v>-7.1790000000000003</v>
      </c>
    </row>
    <row r="232" spans="2:52" s="283" customFormat="1" ht="10.5" customHeight="1">
      <c r="C232" s="313"/>
      <c r="AJ232" s="313"/>
      <c r="AK232" s="313"/>
      <c r="AL232" s="313"/>
      <c r="AM232" s="313"/>
      <c r="AN232" s="313"/>
      <c r="AO232" s="313"/>
      <c r="AP232" s="313"/>
      <c r="AQ232" s="313"/>
      <c r="AR232" s="313"/>
      <c r="AS232" s="313"/>
      <c r="AT232" s="313"/>
      <c r="AU232" s="313"/>
      <c r="AV232" s="313"/>
      <c r="AW232" s="313"/>
      <c r="AX232" s="423"/>
      <c r="AY232" s="313"/>
      <c r="AZ232" s="313"/>
    </row>
    <row r="233" spans="2:52" s="283" customFormat="1" ht="10.5" customHeight="1">
      <c r="C233" s="283" t="s">
        <v>391</v>
      </c>
      <c r="E233" s="283">
        <f>AJ233</f>
        <v>0.876</v>
      </c>
      <c r="F233" s="283">
        <f>AK233-AJ233</f>
        <v>-1.4079999999999999</v>
      </c>
      <c r="G233" s="283">
        <f>AL233-AK233</f>
        <v>0.31700000000000006</v>
      </c>
      <c r="H233" s="283">
        <f>AM233-AL233</f>
        <v>-1.2999999999999998</v>
      </c>
      <c r="I233" s="283">
        <f>AN233</f>
        <v>9.5000000000000001E-2</v>
      </c>
      <c r="J233" s="283">
        <f>AO233-AN233</f>
        <v>0.33699999999999997</v>
      </c>
      <c r="K233" s="283">
        <f>AP233-AO233</f>
        <v>-0.17499999999999999</v>
      </c>
      <c r="L233" s="283">
        <f>AQ233-AP233</f>
        <v>0.61799999999999999</v>
      </c>
      <c r="M233" s="283">
        <f>AR233</f>
        <v>-1.736</v>
      </c>
      <c r="N233" s="283">
        <f>AS233-AR233</f>
        <v>-5.8000000000000052E-2</v>
      </c>
      <c r="O233" s="283">
        <f>AT233-AS233</f>
        <v>-7.8999999999999959E-2</v>
      </c>
      <c r="P233" s="283">
        <f>AU233-AT233</f>
        <v>0.76600000000000001</v>
      </c>
      <c r="Q233" s="283">
        <f>AV233</f>
        <v>0.16700000000000001</v>
      </c>
      <c r="R233" s="283">
        <f>AW233-AV233</f>
        <v>-0.19500000000000001</v>
      </c>
      <c r="S233" s="283">
        <f>AX233-AW233</f>
        <v>-0.44299999999999995</v>
      </c>
      <c r="T233" s="283">
        <f>AY233-AX233</f>
        <v>-5.9000000000000052E-2</v>
      </c>
      <c r="U233" s="283">
        <f>AZ233</f>
        <v>0.51900000000000002</v>
      </c>
      <c r="V233" s="305">
        <v>0</v>
      </c>
      <c r="W233" s="305">
        <v>0</v>
      </c>
      <c r="X233" s="305">
        <v>0</v>
      </c>
      <c r="Z233" s="305">
        <v>-7.3999999999999996E-2</v>
      </c>
      <c r="AA233" s="305">
        <v>1.095</v>
      </c>
      <c r="AB233" s="283">
        <f t="shared" ref="AB233:AF233" si="487">SUMIF($E$5:$X$5,AB$5,$E233:$X233)</f>
        <v>-1.5149999999999997</v>
      </c>
      <c r="AC233" s="283">
        <f t="shared" si="487"/>
        <v>0.875</v>
      </c>
      <c r="AD233" s="283">
        <f t="shared" si="487"/>
        <v>-1.107</v>
      </c>
      <c r="AE233" s="283">
        <f t="shared" si="487"/>
        <v>-0.53</v>
      </c>
      <c r="AF233" s="283">
        <f t="shared" si="487"/>
        <v>0.51900000000000002</v>
      </c>
      <c r="AG233" s="305">
        <v>0</v>
      </c>
      <c r="AH233" s="305">
        <v>0</v>
      </c>
      <c r="AJ233" s="305">
        <v>0.876</v>
      </c>
      <c r="AK233" s="305">
        <v>-0.53200000000000003</v>
      </c>
      <c r="AL233" s="305">
        <v>-0.215</v>
      </c>
      <c r="AM233" s="305">
        <v>-1.5149999999999999</v>
      </c>
      <c r="AN233" s="305">
        <v>9.5000000000000001E-2</v>
      </c>
      <c r="AO233" s="305">
        <v>0.432</v>
      </c>
      <c r="AP233" s="305">
        <v>0.25700000000000001</v>
      </c>
      <c r="AQ233" s="305">
        <v>0.875</v>
      </c>
      <c r="AR233" s="305">
        <v>-1.736</v>
      </c>
      <c r="AS233" s="305">
        <v>-1.794</v>
      </c>
      <c r="AT233" s="305">
        <v>-1.873</v>
      </c>
      <c r="AU233" s="305">
        <v>-1.107</v>
      </c>
      <c r="AV233" s="305">
        <v>0.16700000000000001</v>
      </c>
      <c r="AW233" s="305">
        <v>-2.8000000000000001E-2</v>
      </c>
      <c r="AX233" s="384">
        <v>-0.47099999999999997</v>
      </c>
      <c r="AY233" s="305">
        <v>-0.53</v>
      </c>
      <c r="AZ233" s="305">
        <v>0.51900000000000002</v>
      </c>
    </row>
    <row r="234" spans="2:52" s="283" customFormat="1" ht="10.5" customHeight="1">
      <c r="AX234" s="399"/>
    </row>
    <row r="235" spans="2:52" s="283" customFormat="1" ht="10.5" customHeight="1">
      <c r="C235" s="283" t="s">
        <v>392</v>
      </c>
      <c r="E235" s="283">
        <f t="shared" ref="E235:P235" si="488">E211+E220+E231+E233</f>
        <v>26.434999999999999</v>
      </c>
      <c r="F235" s="283">
        <f t="shared" si="488"/>
        <v>27.15299999999997</v>
      </c>
      <c r="G235" s="283">
        <f t="shared" si="488"/>
        <v>-178.86099999999999</v>
      </c>
      <c r="H235" s="283">
        <f t="shared" si="488"/>
        <v>-33.451999999999977</v>
      </c>
      <c r="I235" s="283">
        <f t="shared" si="488"/>
        <v>-15.592000000000008</v>
      </c>
      <c r="J235" s="283">
        <f t="shared" si="488"/>
        <v>-2.3629999999999889</v>
      </c>
      <c r="K235" s="283">
        <f t="shared" si="488"/>
        <v>23.561000000000025</v>
      </c>
      <c r="L235" s="283">
        <f t="shared" si="488"/>
        <v>29.457000000000011</v>
      </c>
      <c r="M235" s="283">
        <f t="shared" si="488"/>
        <v>153.29100000000003</v>
      </c>
      <c r="N235" s="283">
        <f t="shared" ref="N235" si="489">N211+N220+N231+N233</f>
        <v>-139.79199999999997</v>
      </c>
      <c r="O235" s="283">
        <f t="shared" si="488"/>
        <v>22.74599999999997</v>
      </c>
      <c r="P235" s="283">
        <f t="shared" si="488"/>
        <v>31.16100000000003</v>
      </c>
      <c r="Q235" s="283">
        <f t="shared" ref="Q235" si="490">Q211+Q220+Q231+Q233</f>
        <v>9.9200000000000053</v>
      </c>
      <c r="R235" s="283">
        <f t="shared" ref="R235:V235" si="491">R211+R220+R231+R233</f>
        <v>41.744000000000014</v>
      </c>
      <c r="S235" s="283">
        <f t="shared" si="491"/>
        <v>9.4100000000000108</v>
      </c>
      <c r="T235" s="283">
        <f t="shared" si="491"/>
        <v>19.106000000000012</v>
      </c>
      <c r="U235" s="283">
        <f t="shared" si="491"/>
        <v>2.0069999999999943</v>
      </c>
      <c r="V235" s="283">
        <f t="shared" ca="1" si="491"/>
        <v>33.665318554874993</v>
      </c>
      <c r="W235" s="283">
        <f t="shared" ref="W235:X235" ca="1" si="492">W211+W220+W231+W233</f>
        <v>4.4164946079131724</v>
      </c>
      <c r="X235" s="283">
        <f t="shared" ca="1" si="492"/>
        <v>47.97601009845323</v>
      </c>
      <c r="Z235" s="283">
        <f t="shared" ref="Z235:AG235" si="493">Z211+Z220+Z231+Z233</f>
        <v>15.76900000000003</v>
      </c>
      <c r="AA235" s="283">
        <f t="shared" si="493"/>
        <v>15.162000000000026</v>
      </c>
      <c r="AB235" s="283">
        <f t="shared" si="493"/>
        <v>-158.72499999999994</v>
      </c>
      <c r="AC235" s="283">
        <f t="shared" si="493"/>
        <v>35.063000000000038</v>
      </c>
      <c r="AD235" s="283">
        <f t="shared" si="493"/>
        <v>67.405999999999949</v>
      </c>
      <c r="AE235" s="283">
        <f t="shared" si="493"/>
        <v>80.180000000000049</v>
      </c>
      <c r="AF235" s="283">
        <f t="shared" ca="1" si="493"/>
        <v>88.064823261241443</v>
      </c>
      <c r="AG235" s="283">
        <f t="shared" ca="1" si="493"/>
        <v>99.8216767176811</v>
      </c>
      <c r="AH235" s="283">
        <f t="shared" ref="AH235" ca="1" si="494">AH211+AH220+AH231+AH233</f>
        <v>46.911869853160624</v>
      </c>
      <c r="AJ235" s="283">
        <f t="shared" ref="AJ235:AW235" si="495">AJ211+AJ220+AJ231+AJ233</f>
        <v>26.435000000000006</v>
      </c>
      <c r="AK235" s="283">
        <f t="shared" si="495"/>
        <v>53.588000000000008</v>
      </c>
      <c r="AL235" s="283">
        <f t="shared" si="495"/>
        <v>-125.27300000000005</v>
      </c>
      <c r="AM235" s="283">
        <f t="shared" si="495"/>
        <v>-158.72499999999994</v>
      </c>
      <c r="AN235" s="283">
        <f t="shared" si="495"/>
        <v>-15.592000000000001</v>
      </c>
      <c r="AO235" s="283">
        <f t="shared" si="495"/>
        <v>-17.954999999999988</v>
      </c>
      <c r="AP235" s="283">
        <f t="shared" si="495"/>
        <v>5.6060000000000105</v>
      </c>
      <c r="AQ235" s="283">
        <f t="shared" si="495"/>
        <v>35.062999999999981</v>
      </c>
      <c r="AR235" s="283">
        <f t="shared" si="495"/>
        <v>153.29100000000003</v>
      </c>
      <c r="AS235" s="283">
        <f t="shared" si="495"/>
        <v>13.498999999999977</v>
      </c>
      <c r="AT235" s="283">
        <f t="shared" si="495"/>
        <v>36.244999999999955</v>
      </c>
      <c r="AU235" s="283">
        <f t="shared" si="495"/>
        <v>67.405999999999949</v>
      </c>
      <c r="AV235" s="283">
        <f t="shared" si="495"/>
        <v>9.919999999999991</v>
      </c>
      <c r="AW235" s="283">
        <f t="shared" si="495"/>
        <v>51.664000000000009</v>
      </c>
      <c r="AX235" s="399">
        <f t="shared" ref="AX235:AY235" si="496">AX211+AX220+AX231+AX233</f>
        <v>61.074000000000034</v>
      </c>
      <c r="AY235" s="283">
        <f t="shared" si="496"/>
        <v>80.179999999999993</v>
      </c>
      <c r="AZ235" s="283">
        <f t="shared" ref="AZ235" si="497">AZ211+AZ220+AZ231+AZ233</f>
        <v>2.0069999999999943</v>
      </c>
    </row>
    <row r="236" spans="2:52" s="283" customFormat="1" ht="10.5" customHeight="1">
      <c r="C236" s="283" t="s">
        <v>393</v>
      </c>
      <c r="E236" s="282">
        <f>AJ236</f>
        <v>187.13900000000001</v>
      </c>
      <c r="F236" s="283">
        <f>E237</f>
        <v>213.57400000000001</v>
      </c>
      <c r="G236" s="283">
        <f t="shared" ref="G236:U236" si="498">F237</f>
        <v>240.72699999999998</v>
      </c>
      <c r="H236" s="283">
        <f t="shared" si="498"/>
        <v>61.865999999999985</v>
      </c>
      <c r="I236" s="283">
        <f t="shared" si="498"/>
        <v>28.414000000000009</v>
      </c>
      <c r="J236" s="283">
        <f t="shared" si="498"/>
        <v>12.822000000000001</v>
      </c>
      <c r="K236" s="283">
        <f t="shared" si="498"/>
        <v>10.459000000000012</v>
      </c>
      <c r="L236" s="283">
        <f t="shared" si="498"/>
        <v>34.020000000000039</v>
      </c>
      <c r="M236" s="283">
        <f t="shared" si="498"/>
        <v>63.477000000000046</v>
      </c>
      <c r="N236" s="283">
        <f t="shared" si="498"/>
        <v>216.76800000000009</v>
      </c>
      <c r="O236" s="283">
        <f t="shared" si="498"/>
        <v>76.976000000000113</v>
      </c>
      <c r="P236" s="283">
        <f t="shared" si="498"/>
        <v>99.722000000000079</v>
      </c>
      <c r="Q236" s="283">
        <f t="shared" si="498"/>
        <v>130.8830000000001</v>
      </c>
      <c r="R236" s="283">
        <f t="shared" si="498"/>
        <v>140.80300000000011</v>
      </c>
      <c r="S236" s="283">
        <f t="shared" si="498"/>
        <v>182.54700000000014</v>
      </c>
      <c r="T236" s="283">
        <f t="shared" si="498"/>
        <v>191.95700000000016</v>
      </c>
      <c r="U236" s="283">
        <f t="shared" si="498"/>
        <v>211.06300000000019</v>
      </c>
      <c r="V236" s="283">
        <f t="shared" ref="V236:X236" si="499">U237</f>
        <v>213.07000000000019</v>
      </c>
      <c r="W236" s="283">
        <f t="shared" ca="1" si="499"/>
        <v>246.73531855487519</v>
      </c>
      <c r="X236" s="283">
        <f t="shared" ca="1" si="499"/>
        <v>251.15181316278836</v>
      </c>
      <c r="Z236" s="305">
        <v>156.208</v>
      </c>
      <c r="AA236" s="283">
        <f t="shared" ref="AA236:AH236" si="500">Z237</f>
        <v>171.97700000000003</v>
      </c>
      <c r="AB236" s="283">
        <f t="shared" si="500"/>
        <v>187.13900000000007</v>
      </c>
      <c r="AC236" s="283">
        <f t="shared" si="500"/>
        <v>28.414000000000129</v>
      </c>
      <c r="AD236" s="283">
        <f t="shared" si="500"/>
        <v>63.477000000000167</v>
      </c>
      <c r="AE236" s="283">
        <f t="shared" si="500"/>
        <v>130.88300000000012</v>
      </c>
      <c r="AF236" s="283">
        <f t="shared" si="500"/>
        <v>211.06300000000016</v>
      </c>
      <c r="AG236" s="283">
        <f t="shared" ca="1" si="500"/>
        <v>299.12782326124159</v>
      </c>
      <c r="AH236" s="283">
        <f t="shared" ca="1" si="500"/>
        <v>398.94949997892269</v>
      </c>
      <c r="AJ236" s="305">
        <v>187.13900000000001</v>
      </c>
      <c r="AK236" s="319">
        <f>AJ236</f>
        <v>187.13900000000001</v>
      </c>
      <c r="AL236" s="319">
        <f>AK236</f>
        <v>187.13900000000001</v>
      </c>
      <c r="AM236" s="319">
        <f>AL236</f>
        <v>187.13900000000001</v>
      </c>
      <c r="AN236" s="282">
        <f>AM237</f>
        <v>28.414000000000073</v>
      </c>
      <c r="AO236" s="319">
        <f>AN236</f>
        <v>28.414000000000073</v>
      </c>
      <c r="AP236" s="319">
        <f>AO236</f>
        <v>28.414000000000073</v>
      </c>
      <c r="AQ236" s="319">
        <f>AP236</f>
        <v>28.414000000000073</v>
      </c>
      <c r="AR236" s="282">
        <f>AQ237</f>
        <v>63.477000000000054</v>
      </c>
      <c r="AS236" s="319">
        <f>AR236</f>
        <v>63.477000000000054</v>
      </c>
      <c r="AT236" s="319">
        <f>AS236</f>
        <v>63.477000000000054</v>
      </c>
      <c r="AU236" s="319">
        <f>AT236</f>
        <v>63.477000000000054</v>
      </c>
      <c r="AV236" s="282">
        <f>AU237</f>
        <v>130.88300000000001</v>
      </c>
      <c r="AW236" s="319">
        <f>AV236</f>
        <v>130.88300000000001</v>
      </c>
      <c r="AX236" s="391">
        <f>AW236</f>
        <v>130.88300000000001</v>
      </c>
      <c r="AY236" s="319">
        <f>AX236</f>
        <v>130.88300000000001</v>
      </c>
      <c r="AZ236" s="282">
        <f>AY237</f>
        <v>211.06299999999999</v>
      </c>
    </row>
    <row r="237" spans="2:52" s="283" customFormat="1" ht="10.5" customHeight="1">
      <c r="C237" s="316" t="s">
        <v>394</v>
      </c>
      <c r="E237" s="379">
        <f>SUM(E235:E236)</f>
        <v>213.57400000000001</v>
      </c>
      <c r="F237" s="379">
        <f t="shared" ref="F237:P237" si="501">SUM(F235:F236)</f>
        <v>240.72699999999998</v>
      </c>
      <c r="G237" s="379">
        <f t="shared" si="501"/>
        <v>61.865999999999985</v>
      </c>
      <c r="H237" s="379">
        <f t="shared" si="501"/>
        <v>28.414000000000009</v>
      </c>
      <c r="I237" s="379">
        <f t="shared" si="501"/>
        <v>12.822000000000001</v>
      </c>
      <c r="J237" s="379">
        <f t="shared" si="501"/>
        <v>10.459000000000012</v>
      </c>
      <c r="K237" s="379">
        <f t="shared" si="501"/>
        <v>34.020000000000039</v>
      </c>
      <c r="L237" s="379">
        <f t="shared" si="501"/>
        <v>63.477000000000046</v>
      </c>
      <c r="M237" s="379">
        <f t="shared" si="501"/>
        <v>216.76800000000009</v>
      </c>
      <c r="N237" s="379">
        <f t="shared" ref="N237" si="502">SUM(N235:N236)</f>
        <v>76.976000000000113</v>
      </c>
      <c r="O237" s="379">
        <f t="shared" si="501"/>
        <v>99.722000000000079</v>
      </c>
      <c r="P237" s="410">
        <f t="shared" si="501"/>
        <v>130.8830000000001</v>
      </c>
      <c r="Q237" s="379">
        <f t="shared" ref="Q237" si="503">SUM(Q235:Q236)</f>
        <v>140.80300000000011</v>
      </c>
      <c r="R237" s="379">
        <f t="shared" ref="R237:V237" si="504">SUM(R235:R236)</f>
        <v>182.54700000000014</v>
      </c>
      <c r="S237" s="379">
        <f t="shared" si="504"/>
        <v>191.95700000000016</v>
      </c>
      <c r="T237" s="379">
        <f t="shared" si="504"/>
        <v>211.06300000000019</v>
      </c>
      <c r="U237" s="379">
        <f t="shared" si="504"/>
        <v>213.07000000000019</v>
      </c>
      <c r="V237" s="379">
        <f t="shared" ca="1" si="504"/>
        <v>246.73531855487519</v>
      </c>
      <c r="W237" s="379">
        <f t="shared" ref="W237:X237" ca="1" si="505">SUM(W235:W236)</f>
        <v>251.15181316278836</v>
      </c>
      <c r="X237" s="379">
        <f t="shared" ca="1" si="505"/>
        <v>299.12782326124159</v>
      </c>
      <c r="Z237" s="379">
        <f t="shared" ref="Z237:AF237" si="506">SUM(Z235:Z236)</f>
        <v>171.97700000000003</v>
      </c>
      <c r="AA237" s="379">
        <f t="shared" si="506"/>
        <v>187.13900000000007</v>
      </c>
      <c r="AB237" s="379">
        <f t="shared" si="506"/>
        <v>28.414000000000129</v>
      </c>
      <c r="AC237" s="379">
        <f t="shared" si="506"/>
        <v>63.477000000000167</v>
      </c>
      <c r="AD237" s="379">
        <f t="shared" si="506"/>
        <v>130.88300000000012</v>
      </c>
      <c r="AE237" s="379">
        <f t="shared" si="506"/>
        <v>211.06300000000016</v>
      </c>
      <c r="AF237" s="379">
        <f t="shared" ca="1" si="506"/>
        <v>299.12782326124159</v>
      </c>
      <c r="AG237" s="379">
        <f t="shared" ref="AG237:AW237" ca="1" si="507">SUM(AG235:AG236)</f>
        <v>398.94949997892269</v>
      </c>
      <c r="AH237" s="379">
        <f t="shared" ref="AH237" ca="1" si="508">SUM(AH235:AH236)</f>
        <v>445.86136983208331</v>
      </c>
      <c r="AJ237" s="379">
        <f t="shared" si="507"/>
        <v>213.57400000000001</v>
      </c>
      <c r="AK237" s="379">
        <f t="shared" si="507"/>
        <v>240.72700000000003</v>
      </c>
      <c r="AL237" s="379">
        <f t="shared" si="507"/>
        <v>61.865999999999957</v>
      </c>
      <c r="AM237" s="379">
        <f t="shared" si="507"/>
        <v>28.414000000000073</v>
      </c>
      <c r="AN237" s="379">
        <f t="shared" si="507"/>
        <v>12.822000000000072</v>
      </c>
      <c r="AO237" s="379">
        <f t="shared" si="507"/>
        <v>10.459000000000085</v>
      </c>
      <c r="AP237" s="379">
        <f t="shared" si="507"/>
        <v>34.020000000000081</v>
      </c>
      <c r="AQ237" s="379">
        <f t="shared" si="507"/>
        <v>63.477000000000054</v>
      </c>
      <c r="AR237" s="379">
        <f t="shared" si="507"/>
        <v>216.76800000000009</v>
      </c>
      <c r="AS237" s="379">
        <f t="shared" si="507"/>
        <v>76.976000000000028</v>
      </c>
      <c r="AT237" s="379">
        <f t="shared" si="507"/>
        <v>99.722000000000008</v>
      </c>
      <c r="AU237" s="379">
        <f t="shared" si="507"/>
        <v>130.88300000000001</v>
      </c>
      <c r="AV237" s="379">
        <f t="shared" si="507"/>
        <v>140.803</v>
      </c>
      <c r="AW237" s="768">
        <f t="shared" si="507"/>
        <v>182.54700000000003</v>
      </c>
      <c r="AX237" s="804">
        <f t="shared" ref="AX237:AY237" si="509">SUM(AX235:AX236)</f>
        <v>191.95700000000005</v>
      </c>
      <c r="AY237" s="768">
        <f t="shared" si="509"/>
        <v>211.06299999999999</v>
      </c>
      <c r="AZ237" s="768">
        <f t="shared" ref="AZ237" si="510">SUM(AZ235:AZ236)</f>
        <v>213.07</v>
      </c>
    </row>
    <row r="238" spans="2:52" ht="10.5" customHeight="1">
      <c r="M238" s="283"/>
      <c r="N238" s="399"/>
      <c r="O238" s="399"/>
      <c r="P238" s="399"/>
      <c r="Q238" s="399"/>
      <c r="R238" s="399"/>
      <c r="S238" s="399"/>
      <c r="T238" s="399"/>
      <c r="Y238" s="283"/>
      <c r="AJ238" s="314"/>
      <c r="AK238" s="314"/>
      <c r="AL238" s="314"/>
      <c r="AM238" s="314"/>
      <c r="AN238" s="314"/>
      <c r="AO238" s="314"/>
      <c r="AP238" s="314"/>
      <c r="AQ238" s="314"/>
      <c r="AR238" s="314"/>
      <c r="AS238" s="314"/>
      <c r="AT238" s="314"/>
      <c r="AU238" s="314"/>
      <c r="AV238" s="314"/>
      <c r="AW238" s="314"/>
      <c r="AX238" s="314"/>
      <c r="AY238" s="314"/>
      <c r="AZ238" s="314"/>
    </row>
    <row r="239" spans="2:52" s="283" customFormat="1" ht="10.5" customHeight="1" collapsed="1">
      <c r="C239" s="833" t="s">
        <v>264</v>
      </c>
      <c r="E239" s="314">
        <f t="shared" ref="E239" si="511">ROUND(E96+E97-E237,0)</f>
        <v>0</v>
      </c>
      <c r="F239" s="314">
        <f t="shared" ref="F239:L239" si="512">F96+F97-F237</f>
        <v>0</v>
      </c>
      <c r="G239" s="314">
        <f t="shared" si="512"/>
        <v>0</v>
      </c>
      <c r="H239" s="314">
        <f t="shared" si="512"/>
        <v>0</v>
      </c>
      <c r="I239" s="314">
        <f t="shared" si="512"/>
        <v>0</v>
      </c>
      <c r="J239" s="314">
        <f t="shared" si="512"/>
        <v>0</v>
      </c>
      <c r="K239" s="314">
        <f t="shared" si="512"/>
        <v>0</v>
      </c>
      <c r="L239" s="314">
        <f t="shared" si="512"/>
        <v>0</v>
      </c>
      <c r="M239" s="314">
        <f>ROUND(M96+M97-M237,0)</f>
        <v>0</v>
      </c>
      <c r="N239" s="314">
        <f t="shared" ref="N239:AH239" si="513">ROUND(N96+N97-N237,0)</f>
        <v>0</v>
      </c>
      <c r="O239" s="314">
        <f t="shared" si="513"/>
        <v>0</v>
      </c>
      <c r="P239" s="314">
        <f t="shared" si="513"/>
        <v>0</v>
      </c>
      <c r="Q239" s="314">
        <f t="shared" si="513"/>
        <v>0</v>
      </c>
      <c r="R239" s="314">
        <f t="shared" si="513"/>
        <v>0</v>
      </c>
      <c r="S239" s="314">
        <f t="shared" si="513"/>
        <v>0</v>
      </c>
      <c r="T239" s="314">
        <f t="shared" si="513"/>
        <v>0</v>
      </c>
      <c r="U239" s="314">
        <f t="shared" si="513"/>
        <v>0</v>
      </c>
      <c r="V239" s="314">
        <f t="shared" ca="1" si="513"/>
        <v>0</v>
      </c>
      <c r="W239" s="314">
        <f t="shared" ca="1" si="513"/>
        <v>0</v>
      </c>
      <c r="X239" s="314">
        <f t="shared" ca="1" si="513"/>
        <v>0</v>
      </c>
      <c r="Z239" s="314">
        <f t="shared" si="513"/>
        <v>0</v>
      </c>
      <c r="AA239" s="314">
        <f t="shared" si="513"/>
        <v>0</v>
      </c>
      <c r="AB239" s="314">
        <f t="shared" si="513"/>
        <v>0</v>
      </c>
      <c r="AC239" s="314">
        <f t="shared" si="513"/>
        <v>0</v>
      </c>
      <c r="AD239" s="314">
        <f t="shared" si="513"/>
        <v>0</v>
      </c>
      <c r="AE239" s="314">
        <f t="shared" si="513"/>
        <v>0</v>
      </c>
      <c r="AF239" s="314">
        <f t="shared" ca="1" si="513"/>
        <v>0</v>
      </c>
      <c r="AG239" s="314">
        <f t="shared" ca="1" si="513"/>
        <v>0</v>
      </c>
      <c r="AH239" s="314">
        <f t="shared" ca="1" si="513"/>
        <v>0</v>
      </c>
      <c r="AJ239" s="314">
        <f>ROUND(E96+E97-AJ237,0)</f>
        <v>0</v>
      </c>
      <c r="AK239" s="314">
        <f t="shared" ref="AK239:AZ239" si="514">ROUND(F96+F97-AK237,0)</f>
        <v>0</v>
      </c>
      <c r="AL239" s="314">
        <f t="shared" si="514"/>
        <v>0</v>
      </c>
      <c r="AM239" s="314">
        <f t="shared" si="514"/>
        <v>0</v>
      </c>
      <c r="AN239" s="314">
        <f t="shared" si="514"/>
        <v>0</v>
      </c>
      <c r="AO239" s="314">
        <f t="shared" si="514"/>
        <v>0</v>
      </c>
      <c r="AP239" s="314">
        <f t="shared" si="514"/>
        <v>0</v>
      </c>
      <c r="AQ239" s="314">
        <f t="shared" si="514"/>
        <v>0</v>
      </c>
      <c r="AR239" s="314">
        <f t="shared" si="514"/>
        <v>0</v>
      </c>
      <c r="AS239" s="314">
        <f t="shared" si="514"/>
        <v>0</v>
      </c>
      <c r="AT239" s="314">
        <f t="shared" si="514"/>
        <v>0</v>
      </c>
      <c r="AU239" s="314">
        <f t="shared" si="514"/>
        <v>0</v>
      </c>
      <c r="AV239" s="314">
        <f t="shared" si="514"/>
        <v>0</v>
      </c>
      <c r="AW239" s="314">
        <f t="shared" si="514"/>
        <v>0</v>
      </c>
      <c r="AX239" s="314">
        <f t="shared" si="514"/>
        <v>0</v>
      </c>
      <c r="AY239" s="314">
        <f t="shared" si="514"/>
        <v>0</v>
      </c>
      <c r="AZ239" s="314">
        <f t="shared" si="514"/>
        <v>0</v>
      </c>
    </row>
    <row r="240" spans="2:52" ht="10.5" customHeight="1">
      <c r="C240" s="389"/>
      <c r="E240" s="380"/>
      <c r="Y240" s="283"/>
      <c r="Z240" s="305"/>
      <c r="AJ240" s="305"/>
      <c r="AK240" s="314"/>
      <c r="AL240" s="314"/>
      <c r="AM240" s="314"/>
      <c r="AN240" s="314"/>
      <c r="AO240" s="314"/>
      <c r="AP240" s="314"/>
      <c r="AQ240" s="314"/>
      <c r="AR240" s="314"/>
      <c r="AS240" s="314"/>
      <c r="AT240" s="314"/>
      <c r="AU240" s="314"/>
      <c r="AV240" s="314"/>
    </row>
    <row r="241" spans="2:34" s="283" customFormat="1" ht="10.5" customHeight="1">
      <c r="B241" s="286" t="s">
        <v>137</v>
      </c>
      <c r="C241" s="287" t="s">
        <v>468</v>
      </c>
      <c r="D241" s="287"/>
      <c r="E241" s="286"/>
      <c r="F241" s="286"/>
      <c r="G241" s="286"/>
      <c r="H241" s="286"/>
      <c r="I241" s="286"/>
      <c r="J241" s="286"/>
      <c r="K241" s="286"/>
      <c r="L241" s="286"/>
      <c r="M241" s="286"/>
      <c r="N241" s="286"/>
      <c r="O241" s="286"/>
      <c r="P241" s="286"/>
      <c r="Q241" s="286"/>
      <c r="R241" s="286"/>
      <c r="S241" s="286"/>
      <c r="T241" s="286"/>
      <c r="U241" s="286"/>
      <c r="V241" s="286"/>
      <c r="W241" s="286"/>
      <c r="X241" s="286"/>
      <c r="Z241" s="286"/>
      <c r="AA241" s="286"/>
      <c r="AB241" s="286"/>
      <c r="AC241" s="286"/>
      <c r="AD241" s="286"/>
      <c r="AE241" s="286"/>
      <c r="AF241" s="286"/>
      <c r="AG241" s="286"/>
      <c r="AH241" s="286"/>
    </row>
    <row r="242" spans="2:34" ht="10.5" customHeight="1">
      <c r="C242" s="320"/>
      <c r="H242" s="419"/>
      <c r="I242" s="419"/>
      <c r="J242" s="419"/>
      <c r="K242" s="419"/>
      <c r="L242" s="419"/>
      <c r="M242" s="419"/>
      <c r="N242" s="419"/>
      <c r="O242" s="419"/>
      <c r="P242" s="419"/>
      <c r="Q242" s="419"/>
      <c r="R242" s="419"/>
      <c r="S242" s="419"/>
      <c r="T242" s="419"/>
      <c r="U242" s="419"/>
      <c r="V242" s="419"/>
      <c r="W242" s="419"/>
      <c r="X242" s="419"/>
      <c r="Y242" s="283"/>
      <c r="Z242" s="419"/>
      <c r="AA242" s="419"/>
      <c r="AB242" s="419"/>
      <c r="AC242" s="419"/>
      <c r="AD242" s="419"/>
      <c r="AE242" s="419"/>
      <c r="AF242" s="419"/>
      <c r="AG242" s="419"/>
      <c r="AH242" s="419"/>
    </row>
    <row r="243" spans="2:34" ht="10.5" customHeight="1">
      <c r="C243" s="421" t="s">
        <v>469</v>
      </c>
      <c r="H243" s="419"/>
      <c r="I243" s="419"/>
      <c r="J243" s="419"/>
      <c r="K243" s="419"/>
      <c r="L243" s="419"/>
      <c r="M243" s="419"/>
      <c r="N243" s="419"/>
      <c r="O243" s="419"/>
      <c r="P243" s="419"/>
      <c r="Q243" s="419"/>
      <c r="R243" s="419"/>
      <c r="S243" s="419"/>
      <c r="T243" s="419"/>
      <c r="U243" s="419"/>
      <c r="V243" s="419"/>
      <c r="W243" s="419"/>
      <c r="X243" s="419"/>
      <c r="Y243" s="283"/>
      <c r="Z243" s="419"/>
      <c r="AA243" s="419"/>
      <c r="AB243" s="419"/>
      <c r="AC243" s="419"/>
      <c r="AD243" s="419"/>
      <c r="AE243" s="419"/>
      <c r="AF243" s="419"/>
      <c r="AG243" s="419"/>
      <c r="AH243" s="419"/>
    </row>
    <row r="244" spans="2:34" ht="10.5" customHeight="1">
      <c r="C244" s="402" t="s">
        <v>470</v>
      </c>
      <c r="E244" s="305">
        <v>3.9E-2</v>
      </c>
      <c r="F244" s="282">
        <f>E246</f>
        <v>3.9E-2</v>
      </c>
      <c r="G244" s="282">
        <f t="shared" ref="G244:Q244" si="515">F246</f>
        <v>3.9E-2</v>
      </c>
      <c r="H244" s="282">
        <f t="shared" si="515"/>
        <v>3.9E-2</v>
      </c>
      <c r="I244" s="282">
        <f t="shared" si="515"/>
        <v>3.9E-2</v>
      </c>
      <c r="J244" s="282">
        <f t="shared" si="515"/>
        <v>3.9E-2</v>
      </c>
      <c r="K244" s="282">
        <f t="shared" si="515"/>
        <v>3.9E-2</v>
      </c>
      <c r="L244" s="282">
        <f t="shared" si="515"/>
        <v>3.9E-2</v>
      </c>
      <c r="M244" s="282">
        <f t="shared" si="515"/>
        <v>3.9E-2</v>
      </c>
      <c r="N244" s="282">
        <f t="shared" si="515"/>
        <v>3.9E-2</v>
      </c>
      <c r="O244" s="282">
        <f t="shared" si="515"/>
        <v>3.9E-2</v>
      </c>
      <c r="P244" s="282">
        <f t="shared" si="515"/>
        <v>3.9E-2</v>
      </c>
      <c r="Q244" s="282">
        <f t="shared" si="515"/>
        <v>3.9E-2</v>
      </c>
      <c r="R244" s="282">
        <f>Q246</f>
        <v>3.9E-2</v>
      </c>
      <c r="S244" s="282">
        <f>R246</f>
        <v>3.9E-2</v>
      </c>
      <c r="T244" s="282">
        <f t="shared" ref="T244" si="516">S246</f>
        <v>3.9E-2</v>
      </c>
      <c r="U244" s="282">
        <f>T246</f>
        <v>3.9E-2</v>
      </c>
      <c r="V244" s="282">
        <f t="shared" ref="V244:X244" si="517">U246</f>
        <v>3.9E-2</v>
      </c>
      <c r="W244" s="282">
        <f t="shared" si="517"/>
        <v>3.9E-2</v>
      </c>
      <c r="X244" s="282">
        <f t="shared" si="517"/>
        <v>3.9E-2</v>
      </c>
      <c r="Y244" s="283"/>
      <c r="Z244" s="305">
        <v>3.9E-2</v>
      </c>
      <c r="AA244" s="282">
        <f t="shared" ref="AA244:AH244" si="518">Z246</f>
        <v>3.9E-2</v>
      </c>
      <c r="AB244" s="282">
        <f t="shared" si="518"/>
        <v>3.9E-2</v>
      </c>
      <c r="AC244" s="282">
        <f t="shared" si="518"/>
        <v>3.9E-2</v>
      </c>
      <c r="AD244" s="282">
        <f t="shared" si="518"/>
        <v>3.9E-2</v>
      </c>
      <c r="AE244" s="282">
        <f t="shared" si="518"/>
        <v>3.9E-2</v>
      </c>
      <c r="AF244" s="282">
        <f t="shared" si="518"/>
        <v>3.9E-2</v>
      </c>
      <c r="AG244" s="282">
        <f t="shared" si="518"/>
        <v>3.9E-2</v>
      </c>
      <c r="AH244" s="282">
        <f t="shared" si="518"/>
        <v>3.9E-2</v>
      </c>
    </row>
    <row r="245" spans="2:34" ht="10.5" customHeight="1">
      <c r="C245" s="430" t="s">
        <v>503</v>
      </c>
      <c r="E245" s="305">
        <v>0</v>
      </c>
      <c r="F245" s="305">
        <v>0</v>
      </c>
      <c r="G245" s="305">
        <v>0</v>
      </c>
      <c r="H245" s="305">
        <v>0</v>
      </c>
      <c r="I245" s="305">
        <v>0</v>
      </c>
      <c r="J245" s="305">
        <v>0</v>
      </c>
      <c r="K245" s="305">
        <v>0</v>
      </c>
      <c r="L245" s="305">
        <v>0</v>
      </c>
      <c r="M245" s="305">
        <v>0</v>
      </c>
      <c r="N245" s="305">
        <v>0</v>
      </c>
      <c r="O245" s="305">
        <v>0</v>
      </c>
      <c r="P245" s="305">
        <v>0</v>
      </c>
      <c r="Q245" s="305">
        <v>0</v>
      </c>
      <c r="R245" s="305">
        <v>0</v>
      </c>
      <c r="S245" s="305">
        <v>0</v>
      </c>
      <c r="T245" s="305">
        <v>0</v>
      </c>
      <c r="U245" s="305">
        <v>0</v>
      </c>
      <c r="V245" s="305">
        <v>0</v>
      </c>
      <c r="W245" s="305">
        <v>0</v>
      </c>
      <c r="X245" s="305">
        <v>0</v>
      </c>
      <c r="Y245" s="283"/>
      <c r="Z245" s="305">
        <v>0</v>
      </c>
      <c r="AA245" s="305">
        <v>0</v>
      </c>
      <c r="AB245" s="305">
        <v>0</v>
      </c>
      <c r="AC245" s="305">
        <v>0</v>
      </c>
      <c r="AD245" s="305">
        <v>0</v>
      </c>
      <c r="AE245" s="305">
        <v>0</v>
      </c>
      <c r="AF245" s="283">
        <f t="shared" ref="AF245" si="519">SUMIF($E$5:$X$5,AF$5,$E245:$X245)</f>
        <v>0</v>
      </c>
      <c r="AG245" s="305">
        <v>0</v>
      </c>
      <c r="AH245" s="305">
        <v>0</v>
      </c>
    </row>
    <row r="246" spans="2:34" ht="10.5" customHeight="1">
      <c r="C246" s="320" t="s">
        <v>242</v>
      </c>
      <c r="E246" s="379">
        <f t="shared" ref="E246:Q246" si="520">SUM(E244:E245)</f>
        <v>3.9E-2</v>
      </c>
      <c r="F246" s="379">
        <f t="shared" si="520"/>
        <v>3.9E-2</v>
      </c>
      <c r="G246" s="379">
        <f t="shared" si="520"/>
        <v>3.9E-2</v>
      </c>
      <c r="H246" s="379">
        <f t="shared" si="520"/>
        <v>3.9E-2</v>
      </c>
      <c r="I246" s="379">
        <f t="shared" si="520"/>
        <v>3.9E-2</v>
      </c>
      <c r="J246" s="379">
        <f t="shared" si="520"/>
        <v>3.9E-2</v>
      </c>
      <c r="K246" s="379">
        <f t="shared" si="520"/>
        <v>3.9E-2</v>
      </c>
      <c r="L246" s="379">
        <f t="shared" si="520"/>
        <v>3.9E-2</v>
      </c>
      <c r="M246" s="379">
        <f t="shared" si="520"/>
        <v>3.9E-2</v>
      </c>
      <c r="N246" s="379">
        <f t="shared" si="520"/>
        <v>3.9E-2</v>
      </c>
      <c r="O246" s="379">
        <f t="shared" si="520"/>
        <v>3.9E-2</v>
      </c>
      <c r="P246" s="379">
        <f t="shared" si="520"/>
        <v>3.9E-2</v>
      </c>
      <c r="Q246" s="379">
        <f t="shared" si="520"/>
        <v>3.9E-2</v>
      </c>
      <c r="R246" s="768">
        <f>SUM(R244:R245)</f>
        <v>3.9E-2</v>
      </c>
      <c r="S246" s="379">
        <f>SUM(S244:S245)</f>
        <v>3.9E-2</v>
      </c>
      <c r="T246" s="379">
        <f t="shared" ref="T246" si="521">SUM(T244:T245)</f>
        <v>3.9E-2</v>
      </c>
      <c r="U246" s="379">
        <f>SUM(U244:U245)</f>
        <v>3.9E-2</v>
      </c>
      <c r="V246" s="379">
        <f t="shared" ref="V246:X246" si="522">SUM(V244:V245)</f>
        <v>3.9E-2</v>
      </c>
      <c r="W246" s="379">
        <f t="shared" si="522"/>
        <v>3.9E-2</v>
      </c>
      <c r="X246" s="379">
        <f t="shared" si="522"/>
        <v>3.9E-2</v>
      </c>
      <c r="Y246" s="283"/>
      <c r="Z246" s="379">
        <f t="shared" ref="Z246:AG246" si="523">SUM(Z244:Z245)</f>
        <v>3.9E-2</v>
      </c>
      <c r="AA246" s="379">
        <f t="shared" si="523"/>
        <v>3.9E-2</v>
      </c>
      <c r="AB246" s="379">
        <f t="shared" si="523"/>
        <v>3.9E-2</v>
      </c>
      <c r="AC246" s="379">
        <f t="shared" si="523"/>
        <v>3.9E-2</v>
      </c>
      <c r="AD246" s="379">
        <f t="shared" si="523"/>
        <v>3.9E-2</v>
      </c>
      <c r="AE246" s="379">
        <f t="shared" ref="AE246" si="524">SUM(AE244:AE245)</f>
        <v>3.9E-2</v>
      </c>
      <c r="AF246" s="379">
        <f t="shared" si="523"/>
        <v>3.9E-2</v>
      </c>
      <c r="AG246" s="379">
        <f t="shared" si="523"/>
        <v>3.9E-2</v>
      </c>
      <c r="AH246" s="379">
        <f t="shared" ref="AH246" si="525">SUM(AH244:AH245)</f>
        <v>3.9E-2</v>
      </c>
    </row>
    <row r="247" spans="2:34" ht="10.5" customHeight="1">
      <c r="C247" s="320"/>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399"/>
      <c r="AF247" s="283"/>
      <c r="AG247" s="283"/>
      <c r="AH247" s="283"/>
    </row>
    <row r="248" spans="2:34" ht="10.5" customHeight="1">
      <c r="C248" s="421" t="s">
        <v>471</v>
      </c>
      <c r="H248" s="419"/>
      <c r="I248" s="419"/>
      <c r="J248" s="419"/>
      <c r="K248" s="419"/>
      <c r="L248" s="419"/>
      <c r="M248" s="419"/>
      <c r="N248" s="419"/>
      <c r="O248" s="419"/>
      <c r="P248" s="419"/>
      <c r="Q248" s="419"/>
      <c r="R248" s="419"/>
      <c r="S248" s="419"/>
      <c r="T248" s="419"/>
      <c r="U248" s="313"/>
      <c r="V248" s="419"/>
      <c r="W248" s="419"/>
      <c r="X248" s="419"/>
      <c r="Y248" s="283"/>
      <c r="Z248" s="419"/>
      <c r="AA248" s="419"/>
      <c r="AB248" s="419"/>
      <c r="AC248" s="419"/>
      <c r="AD248" s="419"/>
      <c r="AE248" s="423"/>
      <c r="AF248" s="419"/>
      <c r="AG248" s="419"/>
      <c r="AH248" s="419"/>
    </row>
    <row r="249" spans="2:34" ht="10.5" customHeight="1">
      <c r="C249" s="402" t="s">
        <v>470</v>
      </c>
      <c r="E249" s="305">
        <v>100.926</v>
      </c>
      <c r="F249" s="282">
        <f t="shared" ref="F249:U249" si="526">E260</f>
        <v>101.29</v>
      </c>
      <c r="G249" s="282">
        <f t="shared" si="526"/>
        <v>101.643</v>
      </c>
      <c r="H249" s="282">
        <f t="shared" si="526"/>
        <v>121.28300000000002</v>
      </c>
      <c r="I249" s="282">
        <f t="shared" si="526"/>
        <v>121.95600000000002</v>
      </c>
      <c r="J249" s="282">
        <f t="shared" si="526"/>
        <v>122.05200000000002</v>
      </c>
      <c r="K249" s="282">
        <f t="shared" si="526"/>
        <v>123.70100000000002</v>
      </c>
      <c r="L249" s="282">
        <f t="shared" si="526"/>
        <v>124.13300000000002</v>
      </c>
      <c r="M249" s="282">
        <f t="shared" si="526"/>
        <v>132.292</v>
      </c>
      <c r="N249" s="282">
        <f t="shared" si="526"/>
        <v>132.381</v>
      </c>
      <c r="O249" s="282">
        <f t="shared" si="526"/>
        <v>133.69900000000001</v>
      </c>
      <c r="P249" s="282">
        <f t="shared" si="526"/>
        <v>134.42100000000005</v>
      </c>
      <c r="Q249" s="282">
        <f t="shared" si="526"/>
        <v>134.62900000000005</v>
      </c>
      <c r="R249" s="282">
        <f t="shared" si="526"/>
        <v>135.54600000000005</v>
      </c>
      <c r="S249" s="282">
        <f t="shared" si="526"/>
        <v>136.06500000000005</v>
      </c>
      <c r="T249" s="282">
        <f t="shared" si="526"/>
        <v>136.35000000000005</v>
      </c>
      <c r="U249" s="282">
        <f t="shared" si="526"/>
        <v>136.39100000000005</v>
      </c>
      <c r="V249" s="282">
        <f t="shared" ref="V249" si="527">U260</f>
        <v>136.65700000000007</v>
      </c>
      <c r="W249" s="282">
        <f t="shared" ref="W249" si="528">V260</f>
        <v>136.65700000000007</v>
      </c>
      <c r="X249" s="282">
        <f t="shared" ref="X249" si="529">W260</f>
        <v>136.65700000000007</v>
      </c>
      <c r="Y249" s="283"/>
      <c r="Z249" s="305">
        <v>95.218999999999994</v>
      </c>
      <c r="AA249" s="282">
        <f t="shared" ref="AA249:AH249" si="530">Z260</f>
        <v>99.805999999999969</v>
      </c>
      <c r="AB249" s="282">
        <f t="shared" si="530"/>
        <v>100.92599999999996</v>
      </c>
      <c r="AC249" s="282">
        <f t="shared" si="530"/>
        <v>121.95599999999996</v>
      </c>
      <c r="AD249" s="282">
        <f t="shared" si="530"/>
        <v>132.29199999999994</v>
      </c>
      <c r="AE249" s="282">
        <f t="shared" si="530"/>
        <v>134.62899999999993</v>
      </c>
      <c r="AF249" s="282">
        <f t="shared" si="530"/>
        <v>136.39099999999993</v>
      </c>
      <c r="AG249" s="282">
        <f t="shared" si="530"/>
        <v>136.65699999999995</v>
      </c>
      <c r="AH249" s="282">
        <f t="shared" si="530"/>
        <v>136.65699999999995</v>
      </c>
    </row>
    <row r="250" spans="2:34" ht="10.5" customHeight="1">
      <c r="C250" s="430" t="s">
        <v>504</v>
      </c>
      <c r="E250" s="305">
        <v>0</v>
      </c>
      <c r="F250" s="305">
        <v>0.27</v>
      </c>
      <c r="G250" s="305">
        <v>0</v>
      </c>
      <c r="H250" s="282">
        <f t="shared" ref="H250:H259" si="531">SUMIF($Z$6:$AG$6,H$6,$Z250:$AG250)-SUM(E250:G250)</f>
        <v>-0.27</v>
      </c>
      <c r="I250" s="305">
        <v>0</v>
      </c>
      <c r="J250" s="305">
        <v>0</v>
      </c>
      <c r="K250" s="305">
        <v>0</v>
      </c>
      <c r="L250" s="282">
        <f t="shared" ref="L250:L259" si="532">SUMIF($Z$6:$AG$6,L$6,$Z250:$AG250)-SUM(I250:K250)</f>
        <v>0</v>
      </c>
      <c r="M250" s="305">
        <v>0</v>
      </c>
      <c r="N250" s="305">
        <v>0</v>
      </c>
      <c r="O250" s="305">
        <v>0</v>
      </c>
      <c r="P250" s="282">
        <f t="shared" ref="P250:P259" si="533">SUMIF($Z$6:$AG$6,P$6,$Z250:$AG250)-SUM(M250:O250)</f>
        <v>0</v>
      </c>
      <c r="Q250" s="305">
        <v>0</v>
      </c>
      <c r="R250" s="305">
        <v>0</v>
      </c>
      <c r="S250" s="305">
        <v>0</v>
      </c>
      <c r="T250" s="282">
        <f t="shared" ref="T250:T259" si="534">SUMIF($Z$6:$AG$6,T$6,$Z250:$AG250)-SUM(Q250:S250)</f>
        <v>0</v>
      </c>
      <c r="U250" s="305">
        <v>0</v>
      </c>
      <c r="V250" s="305">
        <v>0</v>
      </c>
      <c r="W250" s="305">
        <v>0</v>
      </c>
      <c r="X250" s="305">
        <v>0</v>
      </c>
      <c r="Y250" s="283"/>
      <c r="Z250" s="305">
        <v>0</v>
      </c>
      <c r="AA250" s="305">
        <v>0</v>
      </c>
      <c r="AB250" s="305">
        <v>0</v>
      </c>
      <c r="AC250" s="305">
        <v>0</v>
      </c>
      <c r="AD250" s="305">
        <v>0</v>
      </c>
      <c r="AE250" s="305">
        <v>0</v>
      </c>
      <c r="AF250" s="283">
        <f t="shared" ref="AF250:AF259" si="535">SUMIF($E$5:$X$5,AF$5,$E250:$X250)</f>
        <v>0</v>
      </c>
      <c r="AG250" s="305">
        <v>0</v>
      </c>
      <c r="AH250" s="305">
        <v>0</v>
      </c>
    </row>
    <row r="251" spans="2:34" ht="10.5" customHeight="1">
      <c r="C251" s="430" t="s">
        <v>505</v>
      </c>
      <c r="E251" s="305">
        <v>0</v>
      </c>
      <c r="F251" s="305">
        <v>0</v>
      </c>
      <c r="G251" s="305">
        <v>0</v>
      </c>
      <c r="H251" s="282">
        <f t="shared" si="531"/>
        <v>0.27</v>
      </c>
      <c r="I251" s="305">
        <v>0</v>
      </c>
      <c r="J251" s="305">
        <v>0</v>
      </c>
      <c r="K251" s="305">
        <v>0.29099999999999998</v>
      </c>
      <c r="L251" s="282">
        <f t="shared" si="532"/>
        <v>0</v>
      </c>
      <c r="M251" s="305">
        <v>0</v>
      </c>
      <c r="N251" s="305">
        <v>0.42599999999999999</v>
      </c>
      <c r="O251" s="305">
        <v>0</v>
      </c>
      <c r="P251" s="282">
        <f t="shared" si="533"/>
        <v>0</v>
      </c>
      <c r="Q251" s="305">
        <v>0</v>
      </c>
      <c r="R251" s="305">
        <v>0.41299999999999998</v>
      </c>
      <c r="S251" s="305">
        <v>0</v>
      </c>
      <c r="T251" s="282">
        <f t="shared" si="534"/>
        <v>0</v>
      </c>
      <c r="U251" s="305">
        <v>0</v>
      </c>
      <c r="V251" s="305">
        <v>0</v>
      </c>
      <c r="W251" s="305">
        <v>0</v>
      </c>
      <c r="X251" s="305">
        <v>0</v>
      </c>
      <c r="Y251" s="283"/>
      <c r="Z251" s="305">
        <v>0.34799999999999998</v>
      </c>
      <c r="AA251" s="305">
        <v>0.313</v>
      </c>
      <c r="AB251" s="305">
        <v>0.27</v>
      </c>
      <c r="AC251" s="305">
        <v>0.29099999999999998</v>
      </c>
      <c r="AD251" s="305">
        <v>0.42599999999999999</v>
      </c>
      <c r="AE251" s="305">
        <v>0.41299999999999998</v>
      </c>
      <c r="AF251" s="283">
        <f t="shared" si="535"/>
        <v>0</v>
      </c>
      <c r="AG251" s="305">
        <v>0</v>
      </c>
      <c r="AH251" s="305">
        <v>0</v>
      </c>
    </row>
    <row r="252" spans="2:34" ht="10.5" customHeight="1">
      <c r="C252" s="430" t="s">
        <v>506</v>
      </c>
      <c r="E252" s="305">
        <v>0</v>
      </c>
      <c r="F252" s="305">
        <v>0</v>
      </c>
      <c r="G252" s="305">
        <v>0.25600000000000001</v>
      </c>
      <c r="H252" s="282">
        <f t="shared" si="531"/>
        <v>0.38500000000000001</v>
      </c>
      <c r="I252" s="305">
        <v>0</v>
      </c>
      <c r="J252" s="305">
        <v>0</v>
      </c>
      <c r="K252" s="305">
        <v>0</v>
      </c>
      <c r="L252" s="282">
        <f t="shared" si="532"/>
        <v>5.3529999999999998</v>
      </c>
      <c r="M252" s="305">
        <v>0</v>
      </c>
      <c r="N252" s="305">
        <v>0</v>
      </c>
      <c r="O252" s="305">
        <v>0</v>
      </c>
      <c r="P252" s="282">
        <f t="shared" si="533"/>
        <v>0</v>
      </c>
      <c r="Q252" s="305">
        <v>0</v>
      </c>
      <c r="R252" s="305">
        <v>0</v>
      </c>
      <c r="S252" s="305">
        <v>3.5000000000000003E-2</v>
      </c>
      <c r="T252" s="282">
        <f t="shared" si="534"/>
        <v>-3.5000000000000003E-2</v>
      </c>
      <c r="U252" s="305">
        <v>0</v>
      </c>
      <c r="V252" s="305">
        <v>0</v>
      </c>
      <c r="W252" s="305">
        <v>0</v>
      </c>
      <c r="X252" s="305">
        <v>0</v>
      </c>
      <c r="Y252" s="283"/>
      <c r="Z252" s="305">
        <v>0.69499999999999995</v>
      </c>
      <c r="AA252" s="305">
        <v>0.45700000000000002</v>
      </c>
      <c r="AB252" s="305">
        <v>0.64100000000000001</v>
      </c>
      <c r="AC252" s="305">
        <v>5.3529999999999998</v>
      </c>
      <c r="AD252" s="305">
        <v>0</v>
      </c>
      <c r="AE252" s="305">
        <v>0</v>
      </c>
      <c r="AF252" s="283">
        <f t="shared" si="535"/>
        <v>0</v>
      </c>
      <c r="AG252" s="305">
        <v>0</v>
      </c>
      <c r="AH252" s="305">
        <v>0</v>
      </c>
    </row>
    <row r="253" spans="2:34" ht="10.5" customHeight="1">
      <c r="C253" s="430" t="s">
        <v>507</v>
      </c>
      <c r="E253" s="305">
        <v>0</v>
      </c>
      <c r="F253" s="305">
        <v>0</v>
      </c>
      <c r="G253" s="305">
        <v>0.04</v>
      </c>
      <c r="H253" s="282">
        <f t="shared" si="531"/>
        <v>0</v>
      </c>
      <c r="I253" s="305">
        <v>0</v>
      </c>
      <c r="J253" s="305">
        <v>0</v>
      </c>
      <c r="K253" s="305">
        <v>0</v>
      </c>
      <c r="L253" s="282">
        <f t="shared" si="532"/>
        <v>6.3E-2</v>
      </c>
      <c r="M253" s="305">
        <v>0</v>
      </c>
      <c r="N253" s="305">
        <v>0</v>
      </c>
      <c r="O253" s="305">
        <v>9.8000000000000004E-2</v>
      </c>
      <c r="P253" s="282">
        <f t="shared" si="533"/>
        <v>-1.0000000000000009E-3</v>
      </c>
      <c r="Q253" s="305">
        <v>0</v>
      </c>
      <c r="R253" s="305">
        <v>5.1999999999999998E-2</v>
      </c>
      <c r="S253" s="305">
        <v>0</v>
      </c>
      <c r="T253" s="282">
        <f t="shared" si="534"/>
        <v>0</v>
      </c>
      <c r="U253" s="305">
        <v>0</v>
      </c>
      <c r="V253" s="305">
        <v>0</v>
      </c>
      <c r="W253" s="305">
        <v>0</v>
      </c>
      <c r="X253" s="305">
        <v>0</v>
      </c>
      <c r="Y253" s="283"/>
      <c r="Z253" s="305">
        <v>4.7E-2</v>
      </c>
      <c r="AA253" s="305">
        <v>4.7E-2</v>
      </c>
      <c r="AB253" s="305">
        <v>0.04</v>
      </c>
      <c r="AC253" s="305">
        <v>6.3E-2</v>
      </c>
      <c r="AD253" s="305">
        <v>9.7000000000000003E-2</v>
      </c>
      <c r="AE253" s="305">
        <v>5.1999999999999998E-2</v>
      </c>
      <c r="AF253" s="283">
        <f t="shared" si="535"/>
        <v>0</v>
      </c>
      <c r="AG253" s="305">
        <v>0</v>
      </c>
      <c r="AH253" s="305">
        <v>0</v>
      </c>
    </row>
    <row r="254" spans="2:34" ht="10.5" customHeight="1">
      <c r="C254" s="430" t="s">
        <v>508</v>
      </c>
      <c r="E254" s="305">
        <v>0</v>
      </c>
      <c r="F254" s="305">
        <v>0</v>
      </c>
      <c r="G254" s="305">
        <v>0.46800000000000003</v>
      </c>
      <c r="H254" s="282">
        <f t="shared" si="531"/>
        <v>0.21600000000000003</v>
      </c>
      <c r="I254" s="305">
        <v>0</v>
      </c>
      <c r="J254" s="305">
        <v>0.59699999999999998</v>
      </c>
      <c r="K254" s="305">
        <v>0</v>
      </c>
      <c r="L254" s="282">
        <f t="shared" si="532"/>
        <v>-1.0000000000000009E-3</v>
      </c>
      <c r="M254" s="305">
        <v>0</v>
      </c>
      <c r="N254" s="305">
        <v>4.2000000000000003E-2</v>
      </c>
      <c r="O254" s="305">
        <v>0.51400000000000001</v>
      </c>
      <c r="P254" s="282">
        <f t="shared" si="533"/>
        <v>0.16099999999999992</v>
      </c>
      <c r="Q254" s="305">
        <v>0.875</v>
      </c>
      <c r="R254" s="305">
        <v>0</v>
      </c>
      <c r="S254" s="305">
        <v>0.25</v>
      </c>
      <c r="T254" s="282">
        <f t="shared" si="534"/>
        <v>0</v>
      </c>
      <c r="U254" s="305">
        <v>0</v>
      </c>
      <c r="V254" s="305">
        <v>0</v>
      </c>
      <c r="W254" s="305">
        <v>0</v>
      </c>
      <c r="X254" s="305">
        <v>0</v>
      </c>
      <c r="Y254" s="283"/>
      <c r="Z254" s="305">
        <v>0.45700000000000002</v>
      </c>
      <c r="AA254" s="305">
        <v>0</v>
      </c>
      <c r="AB254" s="305">
        <v>0.68400000000000005</v>
      </c>
      <c r="AC254" s="305">
        <v>0.59599999999999997</v>
      </c>
      <c r="AD254" s="305">
        <v>0.71699999999999997</v>
      </c>
      <c r="AE254" s="305">
        <v>1.125</v>
      </c>
      <c r="AF254" s="283">
        <f t="shared" si="535"/>
        <v>0</v>
      </c>
      <c r="AG254" s="305">
        <v>0</v>
      </c>
      <c r="AH254" s="305">
        <v>0</v>
      </c>
    </row>
    <row r="255" spans="2:34" ht="10.5" customHeight="1">
      <c r="C255" s="430" t="s">
        <v>509</v>
      </c>
      <c r="E255" s="305">
        <v>5.5E-2</v>
      </c>
      <c r="F255" s="305">
        <v>8.3000000000000004E-2</v>
      </c>
      <c r="G255" s="305">
        <v>5.7000000000000002E-2</v>
      </c>
      <c r="H255" s="282">
        <f t="shared" si="531"/>
        <v>7.2000000000000008E-2</v>
      </c>
      <c r="I255" s="305">
        <v>9.6000000000000002E-2</v>
      </c>
      <c r="J255" s="305">
        <v>0.09</v>
      </c>
      <c r="K255" s="305">
        <v>0.14099999999999999</v>
      </c>
      <c r="L255" s="282">
        <f t="shared" si="532"/>
        <v>0.14300000000000002</v>
      </c>
      <c r="M255" s="305">
        <v>8.8999999999999996E-2</v>
      </c>
      <c r="N255" s="305">
        <v>0.151</v>
      </c>
      <c r="O255" s="305">
        <v>0.11</v>
      </c>
      <c r="P255" s="282">
        <f t="shared" si="533"/>
        <v>4.7000000000000042E-2</v>
      </c>
      <c r="Q255" s="305">
        <v>4.2000000000000003E-2</v>
      </c>
      <c r="R255" s="305">
        <v>5.3999999999999999E-2</v>
      </c>
      <c r="S255" s="305">
        <v>0</v>
      </c>
      <c r="T255" s="282">
        <f t="shared" si="534"/>
        <v>7.5999999999999984E-2</v>
      </c>
      <c r="U255" s="305">
        <v>4.3999999999999997E-2</v>
      </c>
      <c r="V255" s="305">
        <v>0</v>
      </c>
      <c r="W255" s="305">
        <v>0</v>
      </c>
      <c r="X255" s="305">
        <v>0</v>
      </c>
      <c r="Y255" s="283"/>
      <c r="Z255" s="305">
        <v>0.28199999999999997</v>
      </c>
      <c r="AA255" s="305">
        <v>0.17</v>
      </c>
      <c r="AB255" s="305">
        <v>0.26700000000000002</v>
      </c>
      <c r="AC255" s="305">
        <v>0.47</v>
      </c>
      <c r="AD255" s="305">
        <v>0.39700000000000002</v>
      </c>
      <c r="AE255" s="305">
        <v>0.17199999999999999</v>
      </c>
      <c r="AF255" s="283">
        <f t="shared" si="535"/>
        <v>4.3999999999999997E-2</v>
      </c>
      <c r="AG255" s="305">
        <v>0</v>
      </c>
      <c r="AH255" s="305">
        <v>0</v>
      </c>
    </row>
    <row r="256" spans="2:34" ht="10.5" customHeight="1">
      <c r="C256" s="430" t="s">
        <v>510</v>
      </c>
      <c r="E256" s="305">
        <v>0</v>
      </c>
      <c r="F256" s="305">
        <v>0</v>
      </c>
      <c r="G256" s="305">
        <v>0</v>
      </c>
      <c r="H256" s="282">
        <f t="shared" si="531"/>
        <v>0</v>
      </c>
      <c r="I256" s="305">
        <v>0</v>
      </c>
      <c r="J256" s="305">
        <v>0</v>
      </c>
      <c r="K256" s="305">
        <v>0</v>
      </c>
      <c r="L256" s="282">
        <f t="shared" si="532"/>
        <v>2.6640000000000001</v>
      </c>
      <c r="M256" s="305">
        <v>0</v>
      </c>
      <c r="N256" s="305">
        <v>0</v>
      </c>
      <c r="O256" s="305">
        <v>0</v>
      </c>
      <c r="P256" s="282">
        <f t="shared" si="533"/>
        <v>0</v>
      </c>
      <c r="Q256" s="305">
        <v>0</v>
      </c>
      <c r="R256" s="305">
        <v>0</v>
      </c>
      <c r="S256" s="305">
        <v>0</v>
      </c>
      <c r="T256" s="282">
        <f t="shared" si="534"/>
        <v>0</v>
      </c>
      <c r="U256" s="305">
        <v>0</v>
      </c>
      <c r="V256" s="305">
        <v>0</v>
      </c>
      <c r="W256" s="305">
        <v>0</v>
      </c>
      <c r="X256" s="305">
        <v>0</v>
      </c>
      <c r="Y256" s="283"/>
      <c r="Z256" s="305">
        <v>0</v>
      </c>
      <c r="AA256" s="305">
        <v>0</v>
      </c>
      <c r="AB256" s="305">
        <v>0</v>
      </c>
      <c r="AC256" s="305">
        <v>2.6640000000000001</v>
      </c>
      <c r="AD256" s="305">
        <v>0</v>
      </c>
      <c r="AE256" s="305">
        <v>0</v>
      </c>
      <c r="AF256" s="283">
        <f t="shared" si="535"/>
        <v>0</v>
      </c>
      <c r="AG256" s="305">
        <v>0</v>
      </c>
      <c r="AH256" s="305">
        <v>0</v>
      </c>
    </row>
    <row r="257" spans="3:34" ht="10.5" customHeight="1">
      <c r="C257" s="430" t="s">
        <v>511</v>
      </c>
      <c r="E257" s="305">
        <v>0</v>
      </c>
      <c r="F257" s="305">
        <v>0</v>
      </c>
      <c r="G257" s="305">
        <v>18.818999999999999</v>
      </c>
      <c r="H257" s="282">
        <f t="shared" si="531"/>
        <v>0</v>
      </c>
      <c r="I257" s="305">
        <v>0</v>
      </c>
      <c r="J257" s="305">
        <v>0</v>
      </c>
      <c r="K257" s="305">
        <v>0</v>
      </c>
      <c r="L257" s="282">
        <f t="shared" si="532"/>
        <v>0</v>
      </c>
      <c r="M257" s="305">
        <v>0</v>
      </c>
      <c r="N257" s="305">
        <v>0</v>
      </c>
      <c r="O257" s="305">
        <v>0</v>
      </c>
      <c r="P257" s="282">
        <f t="shared" si="533"/>
        <v>0</v>
      </c>
      <c r="Q257" s="305">
        <v>0</v>
      </c>
      <c r="R257" s="305">
        <v>0</v>
      </c>
      <c r="S257" s="305">
        <v>0</v>
      </c>
      <c r="T257" s="282">
        <f t="shared" si="534"/>
        <v>0</v>
      </c>
      <c r="U257" s="305">
        <v>0</v>
      </c>
      <c r="V257" s="305">
        <v>0</v>
      </c>
      <c r="W257" s="305">
        <v>0</v>
      </c>
      <c r="X257" s="305">
        <v>0</v>
      </c>
      <c r="Y257" s="283"/>
      <c r="Z257" s="305">
        <v>2.2130000000000001</v>
      </c>
      <c r="AA257" s="305">
        <v>0.13300000000000001</v>
      </c>
      <c r="AB257" s="305">
        <v>18.818999999999999</v>
      </c>
      <c r="AC257" s="305">
        <v>0</v>
      </c>
      <c r="AD257" s="305">
        <v>0</v>
      </c>
      <c r="AE257" s="305">
        <v>0</v>
      </c>
      <c r="AF257" s="283">
        <f t="shared" si="535"/>
        <v>0</v>
      </c>
      <c r="AG257" s="305">
        <v>0</v>
      </c>
      <c r="AH257" s="305">
        <v>0</v>
      </c>
    </row>
    <row r="258" spans="3:34" ht="10.5" customHeight="1">
      <c r="C258" s="430" t="s">
        <v>512</v>
      </c>
      <c r="E258" s="305">
        <v>0.309</v>
      </c>
      <c r="F258" s="305">
        <v>0</v>
      </c>
      <c r="G258" s="305">
        <v>0</v>
      </c>
      <c r="H258" s="282">
        <f t="shared" si="531"/>
        <v>0</v>
      </c>
      <c r="I258" s="305">
        <v>0</v>
      </c>
      <c r="J258" s="305">
        <v>0.89900000000000002</v>
      </c>
      <c r="K258" s="305">
        <v>0</v>
      </c>
      <c r="L258" s="282">
        <f t="shared" si="532"/>
        <v>0</v>
      </c>
      <c r="M258" s="305">
        <v>0</v>
      </c>
      <c r="N258" s="305">
        <v>0.69899999999999995</v>
      </c>
      <c r="O258" s="305">
        <v>0</v>
      </c>
      <c r="P258" s="282">
        <f t="shared" si="533"/>
        <v>1.0000000000000009E-3</v>
      </c>
      <c r="Q258" s="305">
        <v>0</v>
      </c>
      <c r="R258" s="305">
        <v>0</v>
      </c>
      <c r="S258" s="305">
        <v>0</v>
      </c>
      <c r="T258" s="282">
        <f t="shared" si="534"/>
        <v>0</v>
      </c>
      <c r="U258" s="305">
        <v>0.222</v>
      </c>
      <c r="V258" s="305">
        <v>0</v>
      </c>
      <c r="W258" s="305">
        <v>0</v>
      </c>
      <c r="X258" s="305">
        <v>0</v>
      </c>
      <c r="Y258" s="283"/>
      <c r="Z258" s="305">
        <v>0.54500000000000004</v>
      </c>
      <c r="AA258" s="305">
        <v>0</v>
      </c>
      <c r="AB258" s="305">
        <v>0.309</v>
      </c>
      <c r="AC258" s="305">
        <v>0.89900000000000002</v>
      </c>
      <c r="AD258" s="305">
        <v>0.7</v>
      </c>
      <c r="AE258" s="305">
        <v>0</v>
      </c>
      <c r="AF258" s="283">
        <f t="shared" si="535"/>
        <v>0.222</v>
      </c>
      <c r="AG258" s="305">
        <v>0</v>
      </c>
      <c r="AH258" s="305">
        <v>0</v>
      </c>
    </row>
    <row r="259" spans="3:34" ht="10.5" customHeight="1">
      <c r="C259" s="430" t="s">
        <v>513</v>
      </c>
      <c r="E259" s="305">
        <v>0</v>
      </c>
      <c r="F259" s="305">
        <v>0</v>
      </c>
      <c r="G259" s="305">
        <v>0</v>
      </c>
      <c r="H259" s="282">
        <f t="shared" si="531"/>
        <v>0</v>
      </c>
      <c r="I259" s="305">
        <v>0</v>
      </c>
      <c r="J259" s="305">
        <v>6.3E-2</v>
      </c>
      <c r="K259" s="305">
        <v>0</v>
      </c>
      <c r="L259" s="282">
        <f t="shared" si="532"/>
        <v>-6.3E-2</v>
      </c>
      <c r="M259" s="305">
        <v>0</v>
      </c>
      <c r="N259" s="305">
        <v>0</v>
      </c>
      <c r="O259" s="305">
        <v>0</v>
      </c>
      <c r="P259" s="282">
        <f t="shared" si="533"/>
        <v>0</v>
      </c>
      <c r="Q259" s="305">
        <v>0</v>
      </c>
      <c r="R259" s="305">
        <v>0</v>
      </c>
      <c r="S259" s="305">
        <v>0</v>
      </c>
      <c r="T259" s="282">
        <f t="shared" si="534"/>
        <v>0</v>
      </c>
      <c r="U259" s="305">
        <v>0</v>
      </c>
      <c r="V259" s="305">
        <v>0</v>
      </c>
      <c r="W259" s="305">
        <v>0</v>
      </c>
      <c r="X259" s="305">
        <v>0</v>
      </c>
      <c r="Y259" s="283"/>
      <c r="Z259" s="305">
        <v>0</v>
      </c>
      <c r="AA259" s="305">
        <v>0</v>
      </c>
      <c r="AB259" s="305">
        <v>0</v>
      </c>
      <c r="AC259" s="305">
        <v>0</v>
      </c>
      <c r="AD259" s="305">
        <v>0</v>
      </c>
      <c r="AE259" s="305">
        <v>0</v>
      </c>
      <c r="AF259" s="283">
        <f t="shared" si="535"/>
        <v>0</v>
      </c>
      <c r="AG259" s="305">
        <v>0</v>
      </c>
      <c r="AH259" s="305">
        <v>0</v>
      </c>
    </row>
    <row r="260" spans="3:34" ht="10.5" customHeight="1">
      <c r="C260" s="320" t="s">
        <v>242</v>
      </c>
      <c r="E260" s="379">
        <f t="shared" ref="E260:Q260" si="536">SUM(E249:E259)</f>
        <v>101.29</v>
      </c>
      <c r="F260" s="379">
        <f t="shared" si="536"/>
        <v>101.643</v>
      </c>
      <c r="G260" s="379">
        <f t="shared" si="536"/>
        <v>121.28300000000002</v>
      </c>
      <c r="H260" s="379">
        <f t="shared" si="536"/>
        <v>121.95600000000002</v>
      </c>
      <c r="I260" s="379">
        <f t="shared" si="536"/>
        <v>122.05200000000002</v>
      </c>
      <c r="J260" s="379">
        <f t="shared" si="536"/>
        <v>123.70100000000002</v>
      </c>
      <c r="K260" s="379">
        <f t="shared" si="536"/>
        <v>124.13300000000002</v>
      </c>
      <c r="L260" s="379">
        <f t="shared" si="536"/>
        <v>132.292</v>
      </c>
      <c r="M260" s="379">
        <f t="shared" si="536"/>
        <v>132.381</v>
      </c>
      <c r="N260" s="379">
        <f t="shared" si="536"/>
        <v>133.69900000000001</v>
      </c>
      <c r="O260" s="379">
        <f t="shared" si="536"/>
        <v>134.42100000000005</v>
      </c>
      <c r="P260" s="379">
        <f t="shared" si="536"/>
        <v>134.62900000000005</v>
      </c>
      <c r="Q260" s="379">
        <f t="shared" si="536"/>
        <v>135.54600000000005</v>
      </c>
      <c r="R260" s="768">
        <f>SUM(R249:R259)</f>
        <v>136.06500000000005</v>
      </c>
      <c r="S260" s="379">
        <f>SUM(S249:S259)</f>
        <v>136.35000000000005</v>
      </c>
      <c r="T260" s="379">
        <f t="shared" ref="T260" si="537">SUM(T249:T259)</f>
        <v>136.39100000000005</v>
      </c>
      <c r="U260" s="379">
        <f>SUM(U249:U259)</f>
        <v>136.65700000000007</v>
      </c>
      <c r="V260" s="379">
        <f t="shared" ref="V260:X260" si="538">SUM(V249:V259)</f>
        <v>136.65700000000007</v>
      </c>
      <c r="W260" s="379">
        <f t="shared" si="538"/>
        <v>136.65700000000007</v>
      </c>
      <c r="X260" s="379">
        <f t="shared" si="538"/>
        <v>136.65700000000007</v>
      </c>
      <c r="Y260" s="283"/>
      <c r="Z260" s="379">
        <f t="shared" ref="Z260:AD260" si="539">SUM(Z249:Z259)</f>
        <v>99.805999999999969</v>
      </c>
      <c r="AA260" s="379">
        <f t="shared" si="539"/>
        <v>100.92599999999996</v>
      </c>
      <c r="AB260" s="379">
        <f t="shared" si="539"/>
        <v>121.95599999999996</v>
      </c>
      <c r="AC260" s="379">
        <f t="shared" si="539"/>
        <v>132.29199999999994</v>
      </c>
      <c r="AD260" s="379">
        <f t="shared" si="539"/>
        <v>134.62899999999993</v>
      </c>
      <c r="AE260" s="379">
        <f t="shared" ref="AE260" si="540">SUM(AE249:AE259)</f>
        <v>136.39099999999993</v>
      </c>
      <c r="AF260" s="379">
        <f>SUM(AF249:AF259)</f>
        <v>136.65699999999995</v>
      </c>
      <c r="AG260" s="379">
        <f>SUM(AG249:AG259)</f>
        <v>136.65699999999995</v>
      </c>
      <c r="AH260" s="379">
        <f>SUM(AH249:AH259)</f>
        <v>136.65699999999995</v>
      </c>
    </row>
    <row r="261" spans="3:34" ht="10.5" customHeight="1">
      <c r="C261" s="320"/>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399"/>
      <c r="AF261" s="283"/>
      <c r="AG261" s="283"/>
      <c r="AH261" s="283"/>
    </row>
    <row r="262" spans="3:34" ht="10.5" customHeight="1">
      <c r="C262" s="421" t="s">
        <v>472</v>
      </c>
      <c r="E262" s="577"/>
      <c r="F262" s="577"/>
      <c r="G262" s="577"/>
      <c r="H262" s="577"/>
      <c r="I262" s="577"/>
      <c r="J262" s="577"/>
      <c r="K262" s="577"/>
      <c r="L262" s="577"/>
      <c r="M262" s="577"/>
      <c r="N262" s="577"/>
      <c r="O262" s="577"/>
      <c r="P262" s="577"/>
      <c r="Q262" s="577"/>
      <c r="R262" s="283"/>
      <c r="S262" s="283"/>
      <c r="T262" s="577"/>
      <c r="U262" s="283"/>
      <c r="V262" s="283"/>
      <c r="W262" s="283"/>
      <c r="X262" s="283"/>
      <c r="Y262" s="283"/>
      <c r="Z262" s="283"/>
      <c r="AA262" s="283"/>
      <c r="AB262" s="283"/>
      <c r="AC262" s="283"/>
      <c r="AD262" s="283"/>
      <c r="AE262" s="399"/>
      <c r="AF262" s="283"/>
      <c r="AG262" s="283"/>
      <c r="AH262" s="283"/>
    </row>
    <row r="263" spans="3:34" ht="10.5" customHeight="1">
      <c r="C263" s="402" t="s">
        <v>470</v>
      </c>
      <c r="E263" s="305">
        <v>1619.816</v>
      </c>
      <c r="F263" s="282">
        <f t="shared" ref="F263:K263" si="541">E274</f>
        <v>1626.298</v>
      </c>
      <c r="G263" s="282">
        <f t="shared" si="541"/>
        <v>1628.44</v>
      </c>
      <c r="H263" s="282">
        <f t="shared" si="541"/>
        <v>1872.9459999999999</v>
      </c>
      <c r="I263" s="282">
        <f t="shared" si="541"/>
        <v>1880.4809999999998</v>
      </c>
      <c r="J263" s="282">
        <f t="shared" si="541"/>
        <v>1882.6129999999996</v>
      </c>
      <c r="K263" s="282">
        <f t="shared" si="541"/>
        <v>1895.6169999999995</v>
      </c>
      <c r="L263" s="282">
        <f t="shared" ref="L263:Q263" si="542">K274</f>
        <v>1897.3629999999994</v>
      </c>
      <c r="M263" s="282">
        <f t="shared" si="542"/>
        <v>1973.6999999999994</v>
      </c>
      <c r="N263" s="282">
        <f t="shared" si="542"/>
        <v>1976.0329999999994</v>
      </c>
      <c r="O263" s="282">
        <f t="shared" si="542"/>
        <v>1982.3999999999994</v>
      </c>
      <c r="P263" s="282">
        <f t="shared" si="542"/>
        <v>1998.3219999999994</v>
      </c>
      <c r="Q263" s="282">
        <f t="shared" si="542"/>
        <v>2003.5759999999993</v>
      </c>
      <c r="R263" s="282">
        <f>Q274</f>
        <v>2021.0719999999992</v>
      </c>
      <c r="S263" s="282">
        <f>R274</f>
        <v>2024.6449999999991</v>
      </c>
      <c r="T263" s="282">
        <f t="shared" ref="T263" si="543">S274</f>
        <v>2032.3339999999992</v>
      </c>
      <c r="U263" s="282">
        <f>T274</f>
        <v>2034.4849999999992</v>
      </c>
      <c r="V263" s="282">
        <f t="shared" ref="V263:X263" si="544">U274</f>
        <v>2036.4169999999992</v>
      </c>
      <c r="W263" s="282">
        <f t="shared" ca="1" si="544"/>
        <v>2037.5337841768123</v>
      </c>
      <c r="X263" s="282">
        <f t="shared" ca="1" si="544"/>
        <v>2038.4979401924447</v>
      </c>
      <c r="Y263" s="283"/>
      <c r="Z263" s="305">
        <v>1519.598</v>
      </c>
      <c r="AA263" s="282">
        <f t="shared" ref="AA263:AH263" si="545">Z274</f>
        <v>1597.2120000000002</v>
      </c>
      <c r="AB263" s="282">
        <f t="shared" si="545"/>
        <v>1619.816</v>
      </c>
      <c r="AC263" s="282">
        <f t="shared" si="545"/>
        <v>1880.4810000000002</v>
      </c>
      <c r="AD263" s="282">
        <f t="shared" si="545"/>
        <v>1973.7</v>
      </c>
      <c r="AE263" s="282">
        <f t="shared" si="545"/>
        <v>2003.576</v>
      </c>
      <c r="AF263" s="282">
        <f t="shared" si="545"/>
        <v>2034.4849999999999</v>
      </c>
      <c r="AG263" s="282">
        <f t="shared" ca="1" si="545"/>
        <v>2039.6066693043633</v>
      </c>
      <c r="AH263" s="282">
        <f t="shared" ca="1" si="545"/>
        <v>2043.931655904468</v>
      </c>
    </row>
    <row r="264" spans="3:34" ht="10.5" customHeight="1">
      <c r="C264" s="430" t="s">
        <v>504</v>
      </c>
      <c r="E264" s="305">
        <v>1.089</v>
      </c>
      <c r="F264" s="305">
        <v>1.3149999999999999</v>
      </c>
      <c r="G264" s="305">
        <v>1.6379999999999999</v>
      </c>
      <c r="H264" s="282">
        <f t="shared" ref="H264:H273" si="546">SUMIF($Z$6:$AG$6,H$6,$Z264:$AG264)-SUM(E264:G264)</f>
        <v>1.6070000000000002</v>
      </c>
      <c r="I264" s="305">
        <v>1.579</v>
      </c>
      <c r="J264" s="305">
        <v>1.518</v>
      </c>
      <c r="K264" s="305">
        <v>1.206</v>
      </c>
      <c r="L264" s="282">
        <f t="shared" ref="L264:L273" si="547">SUMIF($Z$6:$AG$6,L$6,$Z264:$AG264)-SUM(I264:K264)</f>
        <v>0.91000000000000014</v>
      </c>
      <c r="M264" s="305">
        <v>1.2190000000000001</v>
      </c>
      <c r="N264" s="305">
        <v>1.2110000000000001</v>
      </c>
      <c r="O264" s="305">
        <v>1.3169999999999999</v>
      </c>
      <c r="P264" s="282">
        <f t="shared" ref="P264:P273" si="548">SUMIF($Z$6:$AG$6,P$6,$Z264:$AG264)-SUM(M264:O264)</f>
        <v>1.2279999999999998</v>
      </c>
      <c r="Q264" s="305">
        <v>0.48299999999999998</v>
      </c>
      <c r="R264" s="305">
        <v>0.95899999999999996</v>
      </c>
      <c r="S264" s="305">
        <v>1.472</v>
      </c>
      <c r="T264" s="282">
        <f t="shared" ref="T264:T273" si="549">SUMIF($Z$6:$AG$6,T$6,$Z264:$AG264)-SUM(Q264:S264)</f>
        <v>1.3240000000000007</v>
      </c>
      <c r="U264" s="305">
        <v>1.2709999999999999</v>
      </c>
      <c r="V264" s="317">
        <f ca="1">Segment!V23</f>
        <v>1.116784176813076</v>
      </c>
      <c r="W264" s="317">
        <f ca="1">Segment!W23</f>
        <v>0.96415601563238373</v>
      </c>
      <c r="X264" s="317">
        <f ca="1">Segment!X23</f>
        <v>1.1087291119179818</v>
      </c>
      <c r="Y264" s="283"/>
      <c r="Z264" s="305">
        <v>5.1280000000000001</v>
      </c>
      <c r="AA264" s="305">
        <v>5.55</v>
      </c>
      <c r="AB264" s="305">
        <v>5.649</v>
      </c>
      <c r="AC264" s="305">
        <v>5.2130000000000001</v>
      </c>
      <c r="AD264" s="305">
        <v>4.9749999999999996</v>
      </c>
      <c r="AE264" s="305">
        <v>4.2380000000000004</v>
      </c>
      <c r="AF264" s="283">
        <f t="shared" ref="AF264:AF273" ca="1" si="550">SUMIF($E$5:$X$5,AF$5,$E264:$X264)</f>
        <v>4.4606693043634422</v>
      </c>
      <c r="AG264" s="317">
        <f ca="1">Segment!AG23</f>
        <v>4.3249866001046913</v>
      </c>
      <c r="AH264" s="317">
        <f ca="1">Segment!AH23</f>
        <v>4.6472726541967475</v>
      </c>
    </row>
    <row r="265" spans="3:34" ht="10.5" customHeight="1">
      <c r="C265" s="430" t="s">
        <v>506</v>
      </c>
      <c r="E265" s="305">
        <v>0</v>
      </c>
      <c r="F265" s="305">
        <v>0</v>
      </c>
      <c r="G265" s="305">
        <v>2.83</v>
      </c>
      <c r="H265" s="282">
        <f t="shared" si="546"/>
        <v>3.2750000000000004</v>
      </c>
      <c r="I265" s="305">
        <v>0</v>
      </c>
      <c r="J265" s="305">
        <v>0</v>
      </c>
      <c r="K265" s="305">
        <v>0</v>
      </c>
      <c r="L265" s="282">
        <f t="shared" si="547"/>
        <v>43.665999999999997</v>
      </c>
      <c r="M265" s="305">
        <v>0</v>
      </c>
      <c r="N265" s="305">
        <v>0</v>
      </c>
      <c r="O265" s="305">
        <v>0</v>
      </c>
      <c r="P265" s="282">
        <f t="shared" si="548"/>
        <v>0</v>
      </c>
      <c r="Q265" s="305">
        <v>0</v>
      </c>
      <c r="R265" s="305">
        <v>0</v>
      </c>
      <c r="S265" s="305">
        <v>0</v>
      </c>
      <c r="T265" s="282">
        <f t="shared" si="549"/>
        <v>0</v>
      </c>
      <c r="U265" s="305">
        <v>0</v>
      </c>
      <c r="V265" s="305">
        <v>0</v>
      </c>
      <c r="W265" s="305">
        <v>0</v>
      </c>
      <c r="X265" s="305">
        <v>0</v>
      </c>
      <c r="Y265" s="283"/>
      <c r="Z265" s="305">
        <v>7.4260000000000002</v>
      </c>
      <c r="AA265" s="305">
        <v>-0.32100000000000001</v>
      </c>
      <c r="AB265" s="305">
        <v>6.1050000000000004</v>
      </c>
      <c r="AC265" s="305">
        <v>43.665999999999997</v>
      </c>
      <c r="AD265" s="305"/>
      <c r="AE265" s="305">
        <v>0</v>
      </c>
      <c r="AF265" s="283">
        <f t="shared" si="550"/>
        <v>0</v>
      </c>
      <c r="AG265" s="305">
        <v>0</v>
      </c>
      <c r="AH265" s="305">
        <v>0</v>
      </c>
    </row>
    <row r="266" spans="3:34" ht="10.5" customHeight="1">
      <c r="C266" s="430" t="s">
        <v>505</v>
      </c>
      <c r="E266" s="305">
        <v>0</v>
      </c>
      <c r="F266" s="305">
        <v>-0.27</v>
      </c>
      <c r="G266" s="305">
        <v>0</v>
      </c>
      <c r="H266" s="282">
        <f t="shared" si="546"/>
        <v>0</v>
      </c>
      <c r="I266" s="305">
        <v>0</v>
      </c>
      <c r="J266" s="305">
        <v>0</v>
      </c>
      <c r="K266" s="305">
        <v>-0.29099999999999998</v>
      </c>
      <c r="L266" s="282">
        <f t="shared" si="547"/>
        <v>0</v>
      </c>
      <c r="M266" s="305">
        <v>0</v>
      </c>
      <c r="N266" s="305">
        <v>-0.42599999999999999</v>
      </c>
      <c r="O266" s="305">
        <v>0</v>
      </c>
      <c r="P266" s="282">
        <f t="shared" si="548"/>
        <v>0</v>
      </c>
      <c r="Q266" s="305">
        <v>0</v>
      </c>
      <c r="R266" s="305">
        <v>-0.41299999999999998</v>
      </c>
      <c r="S266" s="305">
        <v>0</v>
      </c>
      <c r="T266" s="282">
        <f t="shared" si="549"/>
        <v>0</v>
      </c>
      <c r="U266" s="305">
        <v>0</v>
      </c>
      <c r="V266" s="305">
        <v>0</v>
      </c>
      <c r="W266" s="305">
        <v>0</v>
      </c>
      <c r="X266" s="305">
        <v>0</v>
      </c>
      <c r="Y266" s="283"/>
      <c r="Z266" s="305">
        <v>-0.34799999999999998</v>
      </c>
      <c r="AA266" s="305">
        <v>9.1539999999999999</v>
      </c>
      <c r="AB266" s="305">
        <v>-0.27</v>
      </c>
      <c r="AC266" s="305">
        <v>-0.29099999999999998</v>
      </c>
      <c r="AD266" s="305">
        <v>-0.42599999999999999</v>
      </c>
      <c r="AE266" s="305">
        <v>-0.41299999999999998</v>
      </c>
      <c r="AF266" s="283">
        <f t="shared" si="550"/>
        <v>0</v>
      </c>
      <c r="AG266" s="305">
        <v>0</v>
      </c>
      <c r="AH266" s="305">
        <v>0</v>
      </c>
    </row>
    <row r="267" spans="3:34" ht="10.5" customHeight="1">
      <c r="C267" s="430" t="s">
        <v>514</v>
      </c>
      <c r="E267" s="305">
        <v>0</v>
      </c>
      <c r="F267" s="305">
        <v>0</v>
      </c>
      <c r="G267" s="305">
        <v>0</v>
      </c>
      <c r="H267" s="282">
        <f t="shared" si="546"/>
        <v>233.72499999999999</v>
      </c>
      <c r="I267" s="305">
        <v>-0.32500000000000001</v>
      </c>
      <c r="J267" s="305">
        <v>0</v>
      </c>
      <c r="K267" s="305">
        <v>0</v>
      </c>
      <c r="L267" s="282">
        <f t="shared" si="547"/>
        <v>0</v>
      </c>
      <c r="M267" s="305">
        <v>0</v>
      </c>
      <c r="N267" s="305">
        <v>0</v>
      </c>
      <c r="O267" s="305">
        <v>0</v>
      </c>
      <c r="P267" s="282">
        <f t="shared" si="548"/>
        <v>0</v>
      </c>
      <c r="Q267" s="305">
        <v>0</v>
      </c>
      <c r="R267" s="305">
        <v>0</v>
      </c>
      <c r="S267" s="305">
        <v>0</v>
      </c>
      <c r="T267" s="282">
        <f t="shared" si="549"/>
        <v>0</v>
      </c>
      <c r="U267" s="305">
        <v>0</v>
      </c>
      <c r="V267" s="305">
        <v>0</v>
      </c>
      <c r="W267" s="305">
        <v>0</v>
      </c>
      <c r="X267" s="305">
        <v>0</v>
      </c>
      <c r="Y267" s="283"/>
      <c r="Z267" s="305">
        <v>48.997999999999998</v>
      </c>
      <c r="AA267" s="305">
        <v>0</v>
      </c>
      <c r="AB267" s="305">
        <v>233.72499999999999</v>
      </c>
      <c r="AC267" s="305">
        <v>-0.32500000000000001</v>
      </c>
      <c r="AD267" s="305">
        <v>0</v>
      </c>
      <c r="AE267" s="305">
        <v>0</v>
      </c>
      <c r="AF267" s="283">
        <f t="shared" si="550"/>
        <v>0</v>
      </c>
      <c r="AG267" s="305">
        <v>0</v>
      </c>
      <c r="AH267" s="305">
        <v>0</v>
      </c>
    </row>
    <row r="268" spans="3:34" ht="10.5" customHeight="1">
      <c r="C268" s="430" t="s">
        <v>507</v>
      </c>
      <c r="E268" s="305">
        <v>0</v>
      </c>
      <c r="F268" s="305">
        <v>0</v>
      </c>
      <c r="G268" s="305">
        <v>0.55300000000000005</v>
      </c>
      <c r="H268" s="282">
        <f t="shared" si="546"/>
        <v>0</v>
      </c>
      <c r="I268" s="305">
        <v>0</v>
      </c>
      <c r="J268" s="305">
        <v>0</v>
      </c>
      <c r="K268" s="305">
        <v>0</v>
      </c>
      <c r="L268" s="282">
        <f t="shared" si="547"/>
        <v>0.39200000000000002</v>
      </c>
      <c r="M268" s="305">
        <v>0</v>
      </c>
      <c r="N268" s="305">
        <v>0</v>
      </c>
      <c r="O268" s="305">
        <v>1.385</v>
      </c>
      <c r="P268" s="282">
        <f t="shared" si="548"/>
        <v>4.0000000000000036E-3</v>
      </c>
      <c r="Q268" s="305">
        <v>0</v>
      </c>
      <c r="R268" s="305">
        <v>1.792</v>
      </c>
      <c r="S268" s="305">
        <v>0</v>
      </c>
      <c r="T268" s="282">
        <f t="shared" si="549"/>
        <v>0</v>
      </c>
      <c r="U268" s="305">
        <v>0</v>
      </c>
      <c r="V268" s="305">
        <v>0</v>
      </c>
      <c r="W268" s="305">
        <v>0</v>
      </c>
      <c r="X268" s="305">
        <v>0</v>
      </c>
      <c r="Y268" s="283"/>
      <c r="Z268" s="305">
        <v>0.75600000000000001</v>
      </c>
      <c r="AA268" s="305">
        <v>0.73499999999999999</v>
      </c>
      <c r="AB268" s="305">
        <v>0.55300000000000005</v>
      </c>
      <c r="AC268" s="305">
        <v>0.39200000000000002</v>
      </c>
      <c r="AD268" s="305">
        <v>1.389</v>
      </c>
      <c r="AE268" s="305">
        <v>1.792</v>
      </c>
      <c r="AF268" s="283">
        <f t="shared" si="550"/>
        <v>0</v>
      </c>
      <c r="AG268" s="305">
        <v>0</v>
      </c>
      <c r="AH268" s="305">
        <v>0</v>
      </c>
    </row>
    <row r="269" spans="3:34" ht="10.5" customHeight="1">
      <c r="C269" s="430" t="s">
        <v>508</v>
      </c>
      <c r="E269" s="305">
        <v>0</v>
      </c>
      <c r="F269" s="305">
        <v>0</v>
      </c>
      <c r="G269" s="305">
        <v>5.032</v>
      </c>
      <c r="H269" s="282">
        <f t="shared" si="546"/>
        <v>1.8789999999999996</v>
      </c>
      <c r="I269" s="305">
        <v>0</v>
      </c>
      <c r="J269" s="305">
        <v>3.0030000000000001</v>
      </c>
      <c r="K269" s="305">
        <v>0</v>
      </c>
      <c r="L269" s="282">
        <f t="shared" si="547"/>
        <v>9.9999999999988987E-4</v>
      </c>
      <c r="M269" s="305">
        <v>0</v>
      </c>
      <c r="N269" s="305">
        <v>0.308</v>
      </c>
      <c r="O269" s="305">
        <v>11.917</v>
      </c>
      <c r="P269" s="282">
        <f t="shared" si="548"/>
        <v>3.09</v>
      </c>
      <c r="Q269" s="305">
        <v>15.925000000000001</v>
      </c>
      <c r="R269" s="305">
        <v>0</v>
      </c>
      <c r="S269" s="305">
        <v>5.2</v>
      </c>
      <c r="T269" s="282">
        <f t="shared" si="549"/>
        <v>0</v>
      </c>
      <c r="U269" s="305">
        <v>0</v>
      </c>
      <c r="V269" s="305">
        <v>0</v>
      </c>
      <c r="W269" s="305">
        <v>0</v>
      </c>
      <c r="X269" s="305">
        <v>0</v>
      </c>
      <c r="Y269" s="283"/>
      <c r="Z269" s="305">
        <v>7.23</v>
      </c>
      <c r="AA269" s="305">
        <v>0</v>
      </c>
      <c r="AB269" s="305">
        <v>6.9109999999999996</v>
      </c>
      <c r="AC269" s="305">
        <v>3.004</v>
      </c>
      <c r="AD269" s="305">
        <v>15.315</v>
      </c>
      <c r="AE269" s="305">
        <v>21.125</v>
      </c>
      <c r="AF269" s="283">
        <f t="shared" si="550"/>
        <v>0</v>
      </c>
      <c r="AG269" s="305">
        <v>0</v>
      </c>
      <c r="AH269" s="305">
        <v>0</v>
      </c>
    </row>
    <row r="270" spans="3:34" ht="10.5" customHeight="1">
      <c r="C270" s="430" t="s">
        <v>509</v>
      </c>
      <c r="E270" s="305">
        <v>0.83899999999999997</v>
      </c>
      <c r="F270" s="305">
        <v>1.097</v>
      </c>
      <c r="G270" s="305">
        <v>0.72799999999999998</v>
      </c>
      <c r="H270" s="282">
        <f t="shared" si="546"/>
        <v>0.77400000000000047</v>
      </c>
      <c r="I270" s="305">
        <v>0.878</v>
      </c>
      <c r="J270" s="305">
        <v>0.71599999999999997</v>
      </c>
      <c r="K270" s="305">
        <v>0.83099999999999996</v>
      </c>
      <c r="L270" s="282">
        <f t="shared" si="547"/>
        <v>0.96700000000000008</v>
      </c>
      <c r="M270" s="305">
        <v>1.1140000000000001</v>
      </c>
      <c r="N270" s="305">
        <v>0.878</v>
      </c>
      <c r="O270" s="305">
        <v>1.3029999999999999</v>
      </c>
      <c r="P270" s="282">
        <f t="shared" si="548"/>
        <v>0.93200000000000038</v>
      </c>
      <c r="Q270" s="305">
        <v>1.0880000000000001</v>
      </c>
      <c r="R270" s="305">
        <v>1.2350000000000001</v>
      </c>
      <c r="S270" s="305">
        <v>1.0169999999999999</v>
      </c>
      <c r="T270" s="282">
        <f t="shared" si="549"/>
        <v>0.82699999999999951</v>
      </c>
      <c r="U270" s="305">
        <v>0.88300000000000001</v>
      </c>
      <c r="V270" s="305">
        <v>0</v>
      </c>
      <c r="W270" s="305">
        <v>0</v>
      </c>
      <c r="X270" s="305">
        <v>0</v>
      </c>
      <c r="Y270" s="283"/>
      <c r="Z270" s="305">
        <v>3.2360000000000002</v>
      </c>
      <c r="AA270" s="305">
        <v>3.379</v>
      </c>
      <c r="AB270" s="305">
        <v>3.4380000000000002</v>
      </c>
      <c r="AC270" s="305">
        <v>3.3919999999999999</v>
      </c>
      <c r="AD270" s="305">
        <v>4.2270000000000003</v>
      </c>
      <c r="AE270" s="305">
        <v>4.1669999999999998</v>
      </c>
      <c r="AF270" s="283">
        <f t="shared" si="550"/>
        <v>0.88300000000000001</v>
      </c>
      <c r="AG270" s="305">
        <v>0</v>
      </c>
      <c r="AH270" s="305">
        <v>0</v>
      </c>
    </row>
    <row r="271" spans="3:34" ht="10.5" customHeight="1">
      <c r="C271" s="430" t="s">
        <v>510</v>
      </c>
      <c r="E271" s="305">
        <v>0</v>
      </c>
      <c r="F271" s="305">
        <v>0</v>
      </c>
      <c r="G271" s="305">
        <v>0</v>
      </c>
      <c r="H271" s="282">
        <f t="shared" si="546"/>
        <v>0</v>
      </c>
      <c r="I271" s="305">
        <v>0</v>
      </c>
      <c r="J271" s="305">
        <v>0</v>
      </c>
      <c r="K271" s="305">
        <v>0</v>
      </c>
      <c r="L271" s="282">
        <f t="shared" si="547"/>
        <v>30.792999999999999</v>
      </c>
      <c r="M271" s="305">
        <v>0</v>
      </c>
      <c r="N271" s="305">
        <v>0</v>
      </c>
      <c r="O271" s="305">
        <v>0</v>
      </c>
      <c r="P271" s="282">
        <f t="shared" si="548"/>
        <v>0</v>
      </c>
      <c r="Q271" s="305">
        <v>0</v>
      </c>
      <c r="R271" s="305">
        <v>0</v>
      </c>
      <c r="S271" s="305">
        <v>0</v>
      </c>
      <c r="T271" s="282">
        <f t="shared" si="549"/>
        <v>0</v>
      </c>
      <c r="U271" s="305">
        <v>0</v>
      </c>
      <c r="V271" s="305">
        <v>0</v>
      </c>
      <c r="W271" s="305">
        <v>0</v>
      </c>
      <c r="X271" s="305">
        <v>0</v>
      </c>
      <c r="Y271" s="283"/>
      <c r="Z271" s="305">
        <v>0</v>
      </c>
      <c r="AA271" s="305">
        <v>0</v>
      </c>
      <c r="AB271" s="305">
        <v>0</v>
      </c>
      <c r="AC271" s="305">
        <v>30.792999999999999</v>
      </c>
      <c r="AD271" s="305">
        <v>0</v>
      </c>
      <c r="AE271" s="305">
        <v>0</v>
      </c>
      <c r="AF271" s="283">
        <f t="shared" si="550"/>
        <v>0</v>
      </c>
      <c r="AG271" s="305">
        <v>0</v>
      </c>
      <c r="AH271" s="305">
        <v>0</v>
      </c>
    </row>
    <row r="272" spans="3:34" ht="10.5" customHeight="1">
      <c r="C272" s="430" t="s">
        <v>512</v>
      </c>
      <c r="E272" s="305">
        <v>4.5540000000000003</v>
      </c>
      <c r="F272" s="305">
        <v>0</v>
      </c>
      <c r="G272" s="305">
        <v>233.72499999999999</v>
      </c>
      <c r="H272" s="282">
        <f t="shared" si="546"/>
        <v>-233.72499999999999</v>
      </c>
      <c r="I272" s="305">
        <v>0</v>
      </c>
      <c r="J272" s="305">
        <v>7.375</v>
      </c>
      <c r="K272" s="305">
        <v>0</v>
      </c>
      <c r="L272" s="282">
        <f t="shared" si="547"/>
        <v>0</v>
      </c>
      <c r="M272" s="305">
        <v>0</v>
      </c>
      <c r="N272" s="305">
        <v>4.3959999999999999</v>
      </c>
      <c r="O272" s="305">
        <v>0</v>
      </c>
      <c r="P272" s="282">
        <f t="shared" si="548"/>
        <v>0</v>
      </c>
      <c r="Q272" s="305">
        <v>0</v>
      </c>
      <c r="R272" s="305">
        <v>0</v>
      </c>
      <c r="S272" s="305">
        <v>0</v>
      </c>
      <c r="T272" s="282">
        <f t="shared" si="549"/>
        <v>0</v>
      </c>
      <c r="U272" s="305">
        <v>-0.222</v>
      </c>
      <c r="V272" s="305">
        <v>0</v>
      </c>
      <c r="W272" s="305">
        <v>0</v>
      </c>
      <c r="X272" s="305">
        <v>0</v>
      </c>
      <c r="Y272" s="283"/>
      <c r="Z272" s="305">
        <v>5.1879999999999997</v>
      </c>
      <c r="AA272" s="305">
        <v>4.1070000000000002</v>
      </c>
      <c r="AB272" s="305">
        <v>4.5540000000000003</v>
      </c>
      <c r="AC272" s="305">
        <v>7.375</v>
      </c>
      <c r="AD272" s="305">
        <v>4.3959999999999999</v>
      </c>
      <c r="AE272" s="305">
        <v>0</v>
      </c>
      <c r="AF272" s="283">
        <f t="shared" si="550"/>
        <v>-0.222</v>
      </c>
      <c r="AG272" s="305">
        <v>0</v>
      </c>
      <c r="AH272" s="305">
        <v>0</v>
      </c>
    </row>
    <row r="273" spans="3:34" ht="10.5" customHeight="1">
      <c r="C273" s="430" t="s">
        <v>513</v>
      </c>
      <c r="E273" s="305">
        <v>0</v>
      </c>
      <c r="F273" s="305">
        <v>0</v>
      </c>
      <c r="G273" s="305">
        <v>0</v>
      </c>
      <c r="H273" s="282">
        <f t="shared" si="546"/>
        <v>0</v>
      </c>
      <c r="I273" s="305">
        <v>0</v>
      </c>
      <c r="J273" s="305">
        <v>0.39200000000000002</v>
      </c>
      <c r="K273" s="305">
        <v>0</v>
      </c>
      <c r="L273" s="282">
        <f t="shared" si="547"/>
        <v>-0.39200000000000002</v>
      </c>
      <c r="M273" s="305">
        <v>0</v>
      </c>
      <c r="N273" s="305">
        <v>0</v>
      </c>
      <c r="O273" s="305">
        <v>0</v>
      </c>
      <c r="P273" s="282">
        <f t="shared" si="548"/>
        <v>0</v>
      </c>
      <c r="Q273" s="305">
        <v>0</v>
      </c>
      <c r="R273" s="305">
        <v>0</v>
      </c>
      <c r="S273" s="305">
        <v>0</v>
      </c>
      <c r="T273" s="282">
        <f t="shared" si="549"/>
        <v>0</v>
      </c>
      <c r="U273" s="305">
        <v>0</v>
      </c>
      <c r="V273" s="305">
        <v>0</v>
      </c>
      <c r="W273" s="305">
        <v>0</v>
      </c>
      <c r="X273" s="305">
        <v>0</v>
      </c>
      <c r="Y273" s="283"/>
      <c r="Z273" s="305">
        <v>0</v>
      </c>
      <c r="AA273" s="305">
        <v>0</v>
      </c>
      <c r="AB273" s="305">
        <v>0</v>
      </c>
      <c r="AC273" s="305">
        <v>0</v>
      </c>
      <c r="AD273" s="305">
        <v>0</v>
      </c>
      <c r="AE273" s="305">
        <v>0</v>
      </c>
      <c r="AF273" s="283">
        <f t="shared" si="550"/>
        <v>0</v>
      </c>
      <c r="AG273" s="305">
        <v>0</v>
      </c>
      <c r="AH273" s="305">
        <v>0</v>
      </c>
    </row>
    <row r="274" spans="3:34" ht="10.5" customHeight="1">
      <c r="C274" s="320" t="s">
        <v>242</v>
      </c>
      <c r="E274" s="379">
        <f t="shared" ref="E274:Q274" si="551">SUM(E263:E273)</f>
        <v>1626.298</v>
      </c>
      <c r="F274" s="379">
        <f t="shared" si="551"/>
        <v>1628.44</v>
      </c>
      <c r="G274" s="379">
        <f t="shared" si="551"/>
        <v>1872.9459999999999</v>
      </c>
      <c r="H274" s="379">
        <f t="shared" si="551"/>
        <v>1880.4809999999998</v>
      </c>
      <c r="I274" s="379">
        <f t="shared" si="551"/>
        <v>1882.6129999999996</v>
      </c>
      <c r="J274" s="379">
        <f t="shared" si="551"/>
        <v>1895.6169999999995</v>
      </c>
      <c r="K274" s="379">
        <f t="shared" si="551"/>
        <v>1897.3629999999994</v>
      </c>
      <c r="L274" s="379">
        <f t="shared" si="551"/>
        <v>1973.6999999999994</v>
      </c>
      <c r="M274" s="379">
        <f t="shared" si="551"/>
        <v>1976.0329999999994</v>
      </c>
      <c r="N274" s="379">
        <f t="shared" si="551"/>
        <v>1982.3999999999994</v>
      </c>
      <c r="O274" s="379">
        <f t="shared" si="551"/>
        <v>1998.3219999999994</v>
      </c>
      <c r="P274" s="379">
        <f t="shared" si="551"/>
        <v>2003.5759999999993</v>
      </c>
      <c r="Q274" s="379">
        <f t="shared" si="551"/>
        <v>2021.0719999999992</v>
      </c>
      <c r="R274" s="768">
        <f>SUM(R263:R273)</f>
        <v>2024.6449999999991</v>
      </c>
      <c r="S274" s="379">
        <f>SUM(S263:S273)</f>
        <v>2032.3339999999992</v>
      </c>
      <c r="T274" s="379">
        <f t="shared" ref="T274" si="552">SUM(T263:T273)</f>
        <v>2034.4849999999992</v>
      </c>
      <c r="U274" s="379">
        <f>SUM(U263:U273)</f>
        <v>2036.4169999999992</v>
      </c>
      <c r="V274" s="379">
        <f t="shared" ref="V274:X274" ca="1" si="553">SUM(V263:V273)</f>
        <v>2037.5337841768123</v>
      </c>
      <c r="W274" s="379">
        <f t="shared" ca="1" si="553"/>
        <v>2038.4979401924447</v>
      </c>
      <c r="X274" s="379">
        <f t="shared" ca="1" si="553"/>
        <v>2039.6066693043626</v>
      </c>
      <c r="Y274" s="283"/>
      <c r="Z274" s="379">
        <f t="shared" ref="Z274:AD274" si="554">SUM(Z263:Z273)</f>
        <v>1597.2120000000002</v>
      </c>
      <c r="AA274" s="379">
        <f t="shared" si="554"/>
        <v>1619.816</v>
      </c>
      <c r="AB274" s="379">
        <f t="shared" si="554"/>
        <v>1880.4810000000002</v>
      </c>
      <c r="AC274" s="379">
        <f t="shared" si="554"/>
        <v>1973.7</v>
      </c>
      <c r="AD274" s="379">
        <f t="shared" si="554"/>
        <v>2003.576</v>
      </c>
      <c r="AE274" s="379">
        <f t="shared" ref="AE274" si="555">SUM(AE263:AE273)</f>
        <v>2034.4849999999999</v>
      </c>
      <c r="AF274" s="379">
        <f ca="1">SUM(AF263:AF273)</f>
        <v>2039.6066693043633</v>
      </c>
      <c r="AG274" s="379">
        <f ca="1">SUM(AG263:AG273)</f>
        <v>2043.931655904468</v>
      </c>
      <c r="AH274" s="379">
        <f ca="1">SUM(AH263:AH273)</f>
        <v>2048.5789285586648</v>
      </c>
    </row>
    <row r="275" spans="3:34" ht="10.5" customHeight="1">
      <c r="C275" s="320"/>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399"/>
      <c r="AF275" s="283"/>
      <c r="AG275" s="283"/>
      <c r="AH275" s="283"/>
    </row>
    <row r="276" spans="3:34" ht="10.5" customHeight="1">
      <c r="C276" s="421" t="s">
        <v>473</v>
      </c>
      <c r="E276" s="380"/>
      <c r="G276" s="407"/>
      <c r="H276" s="419"/>
      <c r="I276" s="419"/>
      <c r="J276" s="419"/>
      <c r="K276" s="419"/>
      <c r="L276" s="419"/>
      <c r="M276" s="305"/>
      <c r="N276" s="419"/>
      <c r="O276" s="419"/>
      <c r="P276" s="419"/>
      <c r="Q276" s="396"/>
      <c r="R276" s="423"/>
      <c r="S276" s="419"/>
      <c r="T276" s="419"/>
      <c r="U276" s="313"/>
      <c r="V276" s="419"/>
      <c r="W276" s="419"/>
      <c r="X276" s="419"/>
      <c r="Y276" s="283"/>
      <c r="Z276" s="419"/>
      <c r="AA276" s="419"/>
      <c r="AB276" s="419"/>
      <c r="AC276" s="419"/>
      <c r="AD276" s="419"/>
      <c r="AE276" s="423"/>
      <c r="AF276" s="419"/>
      <c r="AG276" s="419"/>
      <c r="AH276" s="419"/>
    </row>
    <row r="277" spans="3:34" ht="10.5" customHeight="1">
      <c r="C277" s="402" t="s">
        <v>470</v>
      </c>
      <c r="E277" s="282">
        <f>+E283-SUM(E278:E282)</f>
        <v>-195.48500000000001</v>
      </c>
      <c r="F277" s="282">
        <f>+F283-SUM(F278:F282)</f>
        <v>-187.09199999999998</v>
      </c>
      <c r="G277" s="282">
        <f>+G283-SUM(G278:G282)</f>
        <v>-198.762</v>
      </c>
      <c r="H277" s="282">
        <f t="shared" ref="H277:M277" si="556">G283</f>
        <v>-223.28</v>
      </c>
      <c r="I277" s="282">
        <f t="shared" si="556"/>
        <v>-248.30800000000002</v>
      </c>
      <c r="J277" s="282">
        <f t="shared" si="556"/>
        <v>-275.18799999999999</v>
      </c>
      <c r="K277" s="282">
        <f t="shared" si="556"/>
        <v>-323.07899999999995</v>
      </c>
      <c r="L277" s="282">
        <f t="shared" si="556"/>
        <v>-343.95799999999997</v>
      </c>
      <c r="M277" s="282">
        <f t="shared" si="556"/>
        <v>-353.33099999999996</v>
      </c>
      <c r="N277" s="282">
        <f>M283</f>
        <v>-371.95799999999991</v>
      </c>
      <c r="O277" s="282">
        <f>N283</f>
        <v>-387.68799999999987</v>
      </c>
      <c r="P277" s="282">
        <f>O283</f>
        <v>-375.52699999999987</v>
      </c>
      <c r="Q277" s="305">
        <v>-391.37400000000002</v>
      </c>
      <c r="R277" s="282">
        <f>Q283</f>
        <v>-377.22899999999998</v>
      </c>
      <c r="S277" s="305">
        <v>-354.86599999999999</v>
      </c>
      <c r="T277" s="305">
        <v>-366.46600000000001</v>
      </c>
      <c r="U277" s="305">
        <v>-353.65100000000001</v>
      </c>
      <c r="V277" s="282">
        <f t="shared" ref="V277:X277" si="557">U283</f>
        <v>-353.00699999999995</v>
      </c>
      <c r="W277" s="282">
        <f t="shared" ca="1" si="557"/>
        <v>-322.47232177411621</v>
      </c>
      <c r="X277" s="282">
        <f t="shared" ca="1" si="557"/>
        <v>-310.88721451627907</v>
      </c>
      <c r="Y277" s="283"/>
      <c r="Z277" s="305">
        <v>-242.191</v>
      </c>
      <c r="AA277" s="305">
        <v>-185.041</v>
      </c>
      <c r="AB277" s="282">
        <f>AA283</f>
        <v>-218.089</v>
      </c>
      <c r="AC277" s="282">
        <f>AB283</f>
        <v>-248.30799999999999</v>
      </c>
      <c r="AD277" s="282">
        <f>AC283</f>
        <v>-353.33100000000002</v>
      </c>
      <c r="AE277" s="305">
        <v>-368.07400000000001</v>
      </c>
      <c r="AF277" s="282">
        <f>AE283</f>
        <v>-353.65100000000007</v>
      </c>
      <c r="AG277" s="282">
        <f ca="1">AF283</f>
        <v>-268.09422881695207</v>
      </c>
      <c r="AH277" s="282">
        <f ca="1">AG283</f>
        <v>-176.65498363065555</v>
      </c>
    </row>
    <row r="278" spans="3:34" ht="10.5" customHeight="1">
      <c r="C278" s="430" t="s">
        <v>503</v>
      </c>
      <c r="E278" s="305">
        <v>8.24</v>
      </c>
      <c r="F278" s="305">
        <v>12.074</v>
      </c>
      <c r="G278" s="305">
        <v>-23.184000000000001</v>
      </c>
      <c r="H278" s="282">
        <f>SUMIF($Z$6:$AG$6,H$6,$Z278:$AG278)-SUM(E278:G278)</f>
        <v>-23.692999999999998</v>
      </c>
      <c r="I278" s="305">
        <v>-25.533000000000001</v>
      </c>
      <c r="J278" s="305">
        <v>-46.531999999999996</v>
      </c>
      <c r="K278" s="305">
        <v>-19.515999999999998</v>
      </c>
      <c r="L278" s="282">
        <f>SUMIF($Z$6:$AG$6,L$6,$Z278:$AG278)-SUM(I278:K278)</f>
        <v>-7.9760000000000133</v>
      </c>
      <c r="M278" s="305">
        <v>-17.184999999999999</v>
      </c>
      <c r="N278" s="305">
        <v>-14.028</v>
      </c>
      <c r="O278" s="305">
        <v>13.628</v>
      </c>
      <c r="P278" s="282">
        <f>SUMIF($Z$6:$AG$6,P$6,$Z278:$AG278)-SUM(M278:O278)</f>
        <v>0.79500000000000171</v>
      </c>
      <c r="Q278" s="305">
        <v>18.971</v>
      </c>
      <c r="R278" s="305">
        <v>0.78500000000000003</v>
      </c>
      <c r="S278" s="282">
        <f>S36</f>
        <v>-0.97899999999998766</v>
      </c>
      <c r="T278" s="282">
        <f>SUMIF($Z$6:$AG$6,T$6,$Z278:$AG278)-SUM(Q278:S278)</f>
        <v>16.317999999999987</v>
      </c>
      <c r="U278" s="282">
        <f>U36</f>
        <v>4.1530000000000005</v>
      </c>
      <c r="V278" s="282">
        <f ca="1">V36</f>
        <v>34.181678225883743</v>
      </c>
      <c r="W278" s="282">
        <f ca="1">W36</f>
        <v>15.232107257837113</v>
      </c>
      <c r="X278" s="282">
        <f ca="1">X36</f>
        <v>46.439985699327202</v>
      </c>
      <c r="Y278" s="283"/>
      <c r="Z278" s="305">
        <v>61.569000000000003</v>
      </c>
      <c r="AA278" s="305">
        <v>-28.52</v>
      </c>
      <c r="AB278" s="305">
        <v>-26.562999999999999</v>
      </c>
      <c r="AC278" s="305">
        <v>-99.557000000000002</v>
      </c>
      <c r="AD278" s="305">
        <v>-16.79</v>
      </c>
      <c r="AE278" s="305">
        <v>35.094999999999999</v>
      </c>
      <c r="AF278" s="283">
        <f t="shared" ref="AF278:AF282" ca="1" si="558">SUMIF($E$5:$X$5,AF$5,$E278:$X278)</f>
        <v>100.00677118304806</v>
      </c>
      <c r="AG278" s="282">
        <f ca="1">AG36</f>
        <v>106.0272451862965</v>
      </c>
      <c r="AH278" s="282">
        <f ca="1">AH36</f>
        <v>116.89188920288217</v>
      </c>
    </row>
    <row r="279" spans="3:34" ht="10.5" customHeight="1">
      <c r="C279" s="430" t="s">
        <v>502</v>
      </c>
      <c r="E279" s="305">
        <v>1.2889999999999999</v>
      </c>
      <c r="F279" s="305">
        <v>0</v>
      </c>
      <c r="G279" s="305">
        <v>0</v>
      </c>
      <c r="H279" s="282">
        <f>SUMIF($Z$6:$AG$6,H$6,$Z279:$AG279)-SUM(E279:G279)</f>
        <v>0</v>
      </c>
      <c r="I279" s="305">
        <v>0</v>
      </c>
      <c r="J279" s="305">
        <v>0</v>
      </c>
      <c r="K279" s="305">
        <v>0</v>
      </c>
      <c r="L279" s="282">
        <f>SUMIF($Z$6:$AG$6,L$6,$Z279:$AG279)-SUM(I279:K279)</f>
        <v>0</v>
      </c>
      <c r="M279" s="305">
        <v>0</v>
      </c>
      <c r="N279" s="305">
        <v>0</v>
      </c>
      <c r="O279" s="305">
        <v>0</v>
      </c>
      <c r="P279" s="282">
        <f>SUMIF($Z$6:$AG$6,P$6,$Z279:$AG279)-SUM(M279:O279)</f>
        <v>0</v>
      </c>
      <c r="Q279" s="305">
        <v>0</v>
      </c>
      <c r="R279" s="305">
        <v>0</v>
      </c>
      <c r="S279" s="305">
        <v>0</v>
      </c>
      <c r="T279" s="282">
        <f>SUMIF($Z$6:$AG$6,T$6,$Z279:$AG279)-SUM(Q279:S279)</f>
        <v>0</v>
      </c>
      <c r="U279" s="305">
        <v>0</v>
      </c>
      <c r="V279" s="305">
        <v>0</v>
      </c>
      <c r="W279" s="305">
        <v>0</v>
      </c>
      <c r="X279" s="305">
        <v>0</v>
      </c>
      <c r="Y279" s="283"/>
      <c r="Z279" s="305">
        <v>0</v>
      </c>
      <c r="AA279" s="305">
        <v>0</v>
      </c>
      <c r="AB279" s="305">
        <v>1.2889999999999999</v>
      </c>
      <c r="AC279" s="305">
        <v>0</v>
      </c>
      <c r="AD279" s="305">
        <v>0</v>
      </c>
      <c r="AE279" s="305">
        <v>0</v>
      </c>
      <c r="AF279" s="283">
        <f t="shared" si="558"/>
        <v>0</v>
      </c>
      <c r="AG279" s="305">
        <v>0</v>
      </c>
      <c r="AH279" s="305">
        <v>0</v>
      </c>
    </row>
    <row r="280" spans="3:34" ht="10.5" customHeight="1">
      <c r="C280" s="430" t="s">
        <v>515</v>
      </c>
      <c r="E280" s="305">
        <v>-0.998</v>
      </c>
      <c r="F280" s="305">
        <v>-1.002</v>
      </c>
      <c r="G280" s="305">
        <v>-1.196</v>
      </c>
      <c r="H280" s="282">
        <f>SUMIF($Z$6:$AG$6,H$6,$Z280:$AG280)-SUM(E280:G280)</f>
        <v>-1.1970000000000001</v>
      </c>
      <c r="I280" s="305">
        <v>-1.2090000000000001</v>
      </c>
      <c r="J280" s="305">
        <v>-1.2210000000000001</v>
      </c>
      <c r="K280" s="305">
        <v>-1.2250000000000001</v>
      </c>
      <c r="L280" s="282">
        <f>SUMIF($Z$6:$AG$6,L$6,$Z280:$AG280)-SUM(I280:K280)</f>
        <v>-1.2589999999999995</v>
      </c>
      <c r="M280" s="305">
        <v>-1.304</v>
      </c>
      <c r="N280" s="305">
        <v>-1.3180000000000001</v>
      </c>
      <c r="O280" s="305">
        <v>-1.329</v>
      </c>
      <c r="P280" s="282">
        <f>SUMIF($Z$6:$AG$6,P$6,$Z280:$AG280)-SUM(M280:O280)</f>
        <v>-4.649</v>
      </c>
      <c r="Q280" s="305">
        <v>-4.6879999999999997</v>
      </c>
      <c r="R280" s="305">
        <v>-6.0270000000000001</v>
      </c>
      <c r="S280" s="305">
        <v>-6.04</v>
      </c>
      <c r="T280" s="282">
        <f>SUMIF($Z$6:$AG$6,T$6,$Z280:$AG280)-SUM(Q280:S280)</f>
        <v>16.754999999999999</v>
      </c>
      <c r="U280" s="305">
        <f>-3.509-U281</f>
        <v>-3.371</v>
      </c>
      <c r="V280" s="283">
        <f>-V47*V44</f>
        <v>-3.5089999999999999</v>
      </c>
      <c r="W280" s="283">
        <f>-W47*W44</f>
        <v>-3.5089999999999999</v>
      </c>
      <c r="X280" s="283">
        <f>-X47*X44</f>
        <v>-3.5089999999999999</v>
      </c>
      <c r="Y280" s="283"/>
      <c r="Z280" s="305">
        <v>-3.867</v>
      </c>
      <c r="AA280" s="305">
        <v>-3.976</v>
      </c>
      <c r="AB280" s="305">
        <v>-4.3929999999999998</v>
      </c>
      <c r="AC280" s="305">
        <v>-4.9139999999999997</v>
      </c>
      <c r="AD280" s="305">
        <v>-8.6</v>
      </c>
      <c r="AE280" s="305">
        <v>0</v>
      </c>
      <c r="AF280" s="283">
        <f t="shared" si="558"/>
        <v>-13.898</v>
      </c>
      <c r="AG280" s="283">
        <f>-AG47*AG44</f>
        <v>-14.036</v>
      </c>
      <c r="AH280" s="283">
        <f>-AH47*AH44</f>
        <v>-14.036</v>
      </c>
    </row>
    <row r="281" spans="3:34" ht="10.5" customHeight="1">
      <c r="C281" s="430" t="s">
        <v>516</v>
      </c>
      <c r="E281" s="305">
        <v>-0.13800000000000001</v>
      </c>
      <c r="F281" s="305">
        <v>-0.13800000000000001</v>
      </c>
      <c r="G281" s="305">
        <v>-0.13800000000000001</v>
      </c>
      <c r="H281" s="282">
        <f>SUMIF($Z$6:$AG$6,H$6,$Z281:$AG281)-SUM(E281:G281)</f>
        <v>-0.13800000000000001</v>
      </c>
      <c r="I281" s="305">
        <v>-0.13800000000000001</v>
      </c>
      <c r="J281" s="305">
        <v>-0.13800000000000001</v>
      </c>
      <c r="K281" s="305">
        <v>-0.13800000000000001</v>
      </c>
      <c r="L281" s="282">
        <f>SUMIF($Z$6:$AG$6,L$6,$Z281:$AG281)-SUM(I281:K281)</f>
        <v>-0.13800000000000001</v>
      </c>
      <c r="M281" s="305">
        <v>-0.13800000000000001</v>
      </c>
      <c r="N281" s="305">
        <v>-0.13800000000000001</v>
      </c>
      <c r="O281" s="305">
        <v>-0.13800000000000001</v>
      </c>
      <c r="P281" s="282">
        <f>SUMIF($Z$6:$AG$6,P$6,$Z281:$AG281)-SUM(M281:O281)</f>
        <v>-0.13800000000000001</v>
      </c>
      <c r="Q281" s="305">
        <v>-0.13800000000000001</v>
      </c>
      <c r="R281" s="305">
        <v>-0.13800000000000001</v>
      </c>
      <c r="S281" s="282">
        <f>-S38</f>
        <v>-0.13800000000000001</v>
      </c>
      <c r="T281" s="282">
        <f>SUMIF($Z$6:$AG$6,T$6,$Z281:$AG281)-SUM(Q281:S281)</f>
        <v>-20.257999999999999</v>
      </c>
      <c r="U281" s="282">
        <f>-U38</f>
        <v>-0.13800000000000001</v>
      </c>
      <c r="V281" s="282">
        <f>-V38</f>
        <v>-0.13800000000000001</v>
      </c>
      <c r="W281" s="282">
        <f>-W38</f>
        <v>-0.13800000000000001</v>
      </c>
      <c r="X281" s="282">
        <f>-X38</f>
        <v>-0.13800000000000001</v>
      </c>
      <c r="Y281" s="283"/>
      <c r="Z281" s="305">
        <v>-0.55200000000000005</v>
      </c>
      <c r="AA281" s="305">
        <v>-0.55200000000000005</v>
      </c>
      <c r="AB281" s="305">
        <v>-0.55200000000000005</v>
      </c>
      <c r="AC281" s="305">
        <v>-0.55200000000000005</v>
      </c>
      <c r="AD281" s="305">
        <v>-0.55200000000000005</v>
      </c>
      <c r="AE281" s="305">
        <v>-20.672000000000001</v>
      </c>
      <c r="AF281" s="283">
        <f t="shared" si="558"/>
        <v>-0.55200000000000005</v>
      </c>
      <c r="AG281" s="282">
        <f>-AG38</f>
        <v>-0.55200000000000005</v>
      </c>
      <c r="AH281" s="282">
        <f>-AH38</f>
        <v>-0.55200000000000005</v>
      </c>
    </row>
    <row r="282" spans="3:34" ht="10.5" customHeight="1">
      <c r="C282" s="430" t="s">
        <v>517</v>
      </c>
      <c r="E282" s="305">
        <v>0</v>
      </c>
      <c r="F282" s="305">
        <v>0</v>
      </c>
      <c r="G282" s="305">
        <v>0</v>
      </c>
      <c r="H282" s="282">
        <f>SUMIF($Z$6:$AG$6,H$6,$Z282:$AG282)-SUM(E282:G282)</f>
        <v>0</v>
      </c>
      <c r="I282" s="305">
        <v>0</v>
      </c>
      <c r="J282" s="305">
        <v>0</v>
      </c>
      <c r="K282" s="305">
        <v>0</v>
      </c>
      <c r="L282" s="282">
        <f>SUMIF($Z$6:$AG$6,L$6,$Z282:$AG282)-SUM(I282:K282)</f>
        <v>0</v>
      </c>
      <c r="M282" s="305">
        <v>0</v>
      </c>
      <c r="N282" s="305">
        <v>-0.246</v>
      </c>
      <c r="O282" s="305">
        <v>0</v>
      </c>
      <c r="P282" s="282">
        <f>SUMIF($Z$6:$AG$6,P$6,$Z282:$AG282)-SUM(M282:O282)</f>
        <v>0</v>
      </c>
      <c r="Q282" s="305">
        <v>0</v>
      </c>
      <c r="R282" s="305">
        <v>0</v>
      </c>
      <c r="S282" s="305">
        <v>0</v>
      </c>
      <c r="T282" s="282">
        <f>SUMIF($Z$6:$AG$6,T$6,$Z282:$AG282)-SUM(Q282:S282)</f>
        <v>0</v>
      </c>
      <c r="U282" s="305">
        <v>0</v>
      </c>
      <c r="V282" s="305">
        <v>0</v>
      </c>
      <c r="W282" s="305">
        <v>0</v>
      </c>
      <c r="X282" s="305">
        <v>0</v>
      </c>
      <c r="Y282" s="283"/>
      <c r="Z282" s="305">
        <v>0</v>
      </c>
      <c r="AA282" s="305">
        <v>0</v>
      </c>
      <c r="AB282" s="305">
        <v>0</v>
      </c>
      <c r="AC282" s="305">
        <v>0</v>
      </c>
      <c r="AD282" s="305">
        <v>-0.246</v>
      </c>
      <c r="AE282" s="305">
        <v>0</v>
      </c>
      <c r="AF282" s="283">
        <f t="shared" si="558"/>
        <v>0</v>
      </c>
      <c r="AG282" s="305">
        <v>0</v>
      </c>
      <c r="AH282" s="305">
        <v>0</v>
      </c>
    </row>
    <row r="283" spans="3:34" ht="10.5" customHeight="1">
      <c r="C283" s="320" t="s">
        <v>242</v>
      </c>
      <c r="E283" s="429">
        <v>-187.09200000000001</v>
      </c>
      <c r="F283" s="429">
        <v>-176.15799999999999</v>
      </c>
      <c r="G283" s="429">
        <v>-223.28</v>
      </c>
      <c r="H283" s="379">
        <f t="shared" ref="H283:Q283" si="559">SUM(H277:H282)</f>
        <v>-248.30800000000002</v>
      </c>
      <c r="I283" s="379">
        <f t="shared" si="559"/>
        <v>-275.18799999999999</v>
      </c>
      <c r="J283" s="379">
        <f t="shared" si="559"/>
        <v>-323.07899999999995</v>
      </c>
      <c r="K283" s="379">
        <f t="shared" si="559"/>
        <v>-343.95799999999997</v>
      </c>
      <c r="L283" s="379">
        <f t="shared" si="559"/>
        <v>-353.33099999999996</v>
      </c>
      <c r="M283" s="379">
        <f t="shared" si="559"/>
        <v>-371.95799999999991</v>
      </c>
      <c r="N283" s="379">
        <f t="shared" si="559"/>
        <v>-387.68799999999987</v>
      </c>
      <c r="O283" s="379">
        <f t="shared" si="559"/>
        <v>-375.52699999999987</v>
      </c>
      <c r="P283" s="379">
        <f t="shared" si="559"/>
        <v>-379.51899999999983</v>
      </c>
      <c r="Q283" s="379">
        <f t="shared" si="559"/>
        <v>-377.22899999999998</v>
      </c>
      <c r="R283" s="768">
        <f>SUM(R277:R282)</f>
        <v>-382.60899999999992</v>
      </c>
      <c r="S283" s="379">
        <f>SUM(S277:S282)</f>
        <v>-362.02299999999997</v>
      </c>
      <c r="T283" s="379">
        <f t="shared" ref="T283" si="560">SUM(T277:T282)</f>
        <v>-353.65100000000001</v>
      </c>
      <c r="U283" s="379">
        <f>SUM(U277:U282)</f>
        <v>-353.00699999999995</v>
      </c>
      <c r="V283" s="379">
        <f t="shared" ref="V283:X283" ca="1" si="561">SUM(V277:V282)</f>
        <v>-322.47232177411621</v>
      </c>
      <c r="W283" s="379">
        <f t="shared" ca="1" si="561"/>
        <v>-310.88721451627907</v>
      </c>
      <c r="X283" s="379">
        <f t="shared" ca="1" si="561"/>
        <v>-268.09422881695184</v>
      </c>
      <c r="Y283" s="283"/>
      <c r="Z283" s="429">
        <v>-167.43700000000001</v>
      </c>
      <c r="AA283" s="379">
        <f t="shared" ref="AA283:AG283" si="562">SUM(AA277:AA282)</f>
        <v>-218.089</v>
      </c>
      <c r="AB283" s="379">
        <f t="shared" si="562"/>
        <v>-248.30799999999999</v>
      </c>
      <c r="AC283" s="379">
        <f t="shared" si="562"/>
        <v>-353.33100000000002</v>
      </c>
      <c r="AD283" s="379">
        <f t="shared" si="562"/>
        <v>-379.51900000000006</v>
      </c>
      <c r="AE283" s="379">
        <f t="shared" ref="AE283" si="563">SUM(AE277:AE282)</f>
        <v>-353.65100000000007</v>
      </c>
      <c r="AF283" s="379">
        <f t="shared" ca="1" si="562"/>
        <v>-268.09422881695207</v>
      </c>
      <c r="AG283" s="379">
        <f t="shared" ca="1" si="562"/>
        <v>-176.65498363065555</v>
      </c>
      <c r="AH283" s="379">
        <f t="shared" ref="AH283" ca="1" si="564">SUM(AH277:AH282)</f>
        <v>-74.35109442777339</v>
      </c>
    </row>
    <row r="284" spans="3:34" ht="10.5" customHeight="1">
      <c r="C284" s="320"/>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399"/>
      <c r="AF284" s="283"/>
      <c r="AG284" s="283"/>
      <c r="AH284" s="283"/>
    </row>
    <row r="285" spans="3:34" ht="10.5" customHeight="1">
      <c r="C285" s="421" t="s">
        <v>474</v>
      </c>
      <c r="E285" s="407"/>
      <c r="F285" s="407"/>
      <c r="G285" s="407"/>
      <c r="H285" s="407"/>
      <c r="I285" s="407"/>
      <c r="J285" s="407"/>
      <c r="K285" s="407"/>
      <c r="L285" s="407"/>
      <c r="M285" s="407"/>
      <c r="N285" s="407"/>
      <c r="O285" s="407"/>
      <c r="P285" s="407"/>
      <c r="Q285" s="407"/>
      <c r="R285" s="419"/>
      <c r="S285" s="419"/>
      <c r="T285" s="407"/>
      <c r="U285" s="313"/>
      <c r="V285" s="419"/>
      <c r="W285" s="419"/>
      <c r="X285" s="419"/>
      <c r="Y285" s="283"/>
      <c r="Z285" s="407"/>
      <c r="AA285" s="407"/>
      <c r="AB285" s="407"/>
      <c r="AC285" s="407"/>
      <c r="AD285" s="407"/>
      <c r="AE285" s="399"/>
      <c r="AF285" s="419"/>
      <c r="AG285" s="419"/>
      <c r="AH285" s="419"/>
    </row>
    <row r="286" spans="3:34" ht="10.5" customHeight="1">
      <c r="C286" s="402" t="s">
        <v>470</v>
      </c>
      <c r="E286" s="305">
        <v>-23.373000000000001</v>
      </c>
      <c r="F286" s="282">
        <f t="shared" ref="F286:K286" si="565">E290</f>
        <v>-26.767000000000003</v>
      </c>
      <c r="G286" s="282">
        <f t="shared" si="565"/>
        <v>-31.929000000000002</v>
      </c>
      <c r="H286" s="282">
        <f t="shared" si="565"/>
        <v>-28.183000000000003</v>
      </c>
      <c r="I286" s="282">
        <f t="shared" si="565"/>
        <v>-42.469000000000001</v>
      </c>
      <c r="J286" s="282">
        <f t="shared" si="565"/>
        <v>-38.21</v>
      </c>
      <c r="K286" s="282">
        <f t="shared" si="565"/>
        <v>-34.67</v>
      </c>
      <c r="L286" s="282">
        <f t="shared" ref="L286:Q286" si="566">K290</f>
        <v>-37.957999999999998</v>
      </c>
      <c r="M286" s="282">
        <f t="shared" si="566"/>
        <v>-37.31</v>
      </c>
      <c r="N286" s="282">
        <f t="shared" si="566"/>
        <v>-56.645000000000003</v>
      </c>
      <c r="O286" s="282">
        <f t="shared" si="566"/>
        <v>-46.261000000000003</v>
      </c>
      <c r="P286" s="282">
        <f t="shared" si="566"/>
        <v>-40.111000000000004</v>
      </c>
      <c r="Q286" s="282">
        <f t="shared" si="566"/>
        <v>-32.889000000000003</v>
      </c>
      <c r="R286" s="282">
        <f>Q290</f>
        <v>-31.057000000000002</v>
      </c>
      <c r="S286" s="282">
        <f>R290</f>
        <v>-29.437000000000001</v>
      </c>
      <c r="T286" s="282">
        <f t="shared" ref="T286" si="567">S290</f>
        <v>-35.704000000000001</v>
      </c>
      <c r="U286" s="282">
        <f>T290</f>
        <v>-28.456</v>
      </c>
      <c r="V286" s="282">
        <f t="shared" ref="V286:X286" si="568">U290</f>
        <v>-61.620999999999995</v>
      </c>
      <c r="W286" s="282">
        <f t="shared" si="568"/>
        <v>-61.620999999999995</v>
      </c>
      <c r="X286" s="282">
        <f t="shared" si="568"/>
        <v>-61.620999999999995</v>
      </c>
      <c r="Y286" s="283"/>
      <c r="Z286" s="305">
        <v>-32.631</v>
      </c>
      <c r="AA286" s="282">
        <f t="shared" ref="AA286:AH286" si="569">Z290</f>
        <v>-34.602000000000004</v>
      </c>
      <c r="AB286" s="282">
        <f t="shared" si="569"/>
        <v>-23.373000000000005</v>
      </c>
      <c r="AC286" s="282">
        <f t="shared" si="569"/>
        <v>-42.469000000000008</v>
      </c>
      <c r="AD286" s="282">
        <f t="shared" si="569"/>
        <v>-37.310000000000009</v>
      </c>
      <c r="AE286" s="282">
        <f t="shared" si="569"/>
        <v>-32.88900000000001</v>
      </c>
      <c r="AF286" s="282">
        <f t="shared" si="569"/>
        <v>-28.45600000000001</v>
      </c>
      <c r="AG286" s="282">
        <f t="shared" si="569"/>
        <v>-61.621000000000009</v>
      </c>
      <c r="AH286" s="282">
        <f t="shared" si="569"/>
        <v>-61.621000000000009</v>
      </c>
    </row>
    <row r="287" spans="3:34" ht="10.5" customHeight="1">
      <c r="C287" s="430" t="s">
        <v>503</v>
      </c>
      <c r="E287" s="305">
        <v>-1.2889999999999999</v>
      </c>
      <c r="F287" s="305">
        <v>0</v>
      </c>
      <c r="G287" s="305">
        <v>0</v>
      </c>
      <c r="H287" s="282">
        <f>SUMIF($Z$6:$AG$6,H$6,$Z287:$AG287)-SUM(E287:G287)</f>
        <v>1.2889999999999999</v>
      </c>
      <c r="I287" s="305">
        <v>0</v>
      </c>
      <c r="J287" s="305">
        <v>0</v>
      </c>
      <c r="K287" s="305">
        <v>0</v>
      </c>
      <c r="L287" s="282">
        <f>SUMIF($Z$6:$AG$6,L$6,$Z287:$AG287)-SUM(I287:K287)</f>
        <v>0</v>
      </c>
      <c r="M287" s="305">
        <v>0</v>
      </c>
      <c r="N287" s="305">
        <v>0</v>
      </c>
      <c r="O287" s="305">
        <v>0</v>
      </c>
      <c r="P287" s="282">
        <f>SUMIF($Z$6:$AG$6,P$6,$Z287:$AG287)-SUM(M287:O287)</f>
        <v>0</v>
      </c>
      <c r="Q287" s="305">
        <v>0</v>
      </c>
      <c r="R287" s="305">
        <v>0</v>
      </c>
      <c r="S287" s="305">
        <v>0</v>
      </c>
      <c r="T287" s="282">
        <f>SUMIF($Z$6:$AG$6,T$6,$Z287:$AG287)-SUM(Q287:S287)</f>
        <v>0</v>
      </c>
      <c r="U287" s="305">
        <v>0</v>
      </c>
      <c r="V287" s="305">
        <v>0</v>
      </c>
      <c r="W287" s="305">
        <v>0</v>
      </c>
      <c r="X287" s="305">
        <v>0</v>
      </c>
      <c r="Y287" s="283"/>
      <c r="Z287" s="305">
        <v>0</v>
      </c>
      <c r="AA287" s="305">
        <v>0</v>
      </c>
      <c r="AB287" s="305">
        <v>0</v>
      </c>
      <c r="AC287" s="305">
        <v>0</v>
      </c>
      <c r="AD287" s="305">
        <v>0</v>
      </c>
      <c r="AE287" s="305">
        <v>0</v>
      </c>
      <c r="AF287" s="283">
        <f t="shared" ref="AF287:AF289" si="570">SUMIF($E$5:$X$5,AF$5,$E287:$X287)</f>
        <v>0</v>
      </c>
      <c r="AG287" s="305">
        <v>0</v>
      </c>
      <c r="AH287" s="305">
        <v>0</v>
      </c>
    </row>
    <row r="288" spans="3:34" ht="10.5" customHeight="1">
      <c r="C288" s="430" t="s">
        <v>502</v>
      </c>
      <c r="E288" s="305">
        <v>0</v>
      </c>
      <c r="F288" s="305">
        <v>0</v>
      </c>
      <c r="G288" s="305">
        <v>0</v>
      </c>
      <c r="H288" s="282">
        <f>SUMIF($Z$6:$AG$6,H$6,$Z288:$AG288)-SUM(E288:G288)</f>
        <v>-1.2889999999999999</v>
      </c>
      <c r="I288" s="305">
        <v>0</v>
      </c>
      <c r="J288" s="305">
        <v>0</v>
      </c>
      <c r="K288" s="305">
        <v>0</v>
      </c>
      <c r="L288" s="282">
        <f>SUMIF($Z$6:$AG$6,L$6,$Z288:$AG288)-SUM(I288:K288)</f>
        <v>0</v>
      </c>
      <c r="M288" s="305">
        <v>0</v>
      </c>
      <c r="N288" s="305">
        <v>0</v>
      </c>
      <c r="O288" s="305">
        <v>0</v>
      </c>
      <c r="P288" s="282">
        <f>SUMIF($Z$6:$AG$6,P$6,$Z288:$AG288)-SUM(M288:O288)</f>
        <v>0</v>
      </c>
      <c r="Q288" s="305">
        <v>0</v>
      </c>
      <c r="R288" s="305">
        <v>0</v>
      </c>
      <c r="S288" s="305">
        <v>0</v>
      </c>
      <c r="T288" s="282">
        <f>SUMIF($Z$6:$AG$6,T$6,$Z288:$AG288)-SUM(Q288:S288)</f>
        <v>0</v>
      </c>
      <c r="U288" s="305">
        <v>0</v>
      </c>
      <c r="V288" s="305">
        <v>0</v>
      </c>
      <c r="W288" s="305">
        <v>0</v>
      </c>
      <c r="X288" s="305">
        <v>0</v>
      </c>
      <c r="Y288" s="283"/>
      <c r="Z288" s="305">
        <v>0</v>
      </c>
      <c r="AA288" s="305">
        <v>0</v>
      </c>
      <c r="AB288" s="305">
        <v>-1.2889999999999999</v>
      </c>
      <c r="AC288" s="305">
        <v>0</v>
      </c>
      <c r="AD288" s="305">
        <v>0</v>
      </c>
      <c r="AE288" s="305">
        <v>0</v>
      </c>
      <c r="AF288" s="283">
        <f t="shared" si="570"/>
        <v>0</v>
      </c>
      <c r="AG288" s="305">
        <v>0</v>
      </c>
      <c r="AH288" s="305">
        <v>0</v>
      </c>
    </row>
    <row r="289" spans="2:34" ht="10.5" customHeight="1">
      <c r="C289" s="430" t="s">
        <v>513</v>
      </c>
      <c r="E289" s="305">
        <v>-2.105</v>
      </c>
      <c r="F289" s="305">
        <v>-5.1619999999999999</v>
      </c>
      <c r="G289" s="305">
        <v>3.746</v>
      </c>
      <c r="H289" s="282">
        <f>SUMIF($Z$6:$AG$6,H$6,$Z289:$AG289)-SUM(E289:G289)</f>
        <v>-14.286</v>
      </c>
      <c r="I289" s="305">
        <v>4.2590000000000003</v>
      </c>
      <c r="J289" s="305">
        <v>3.54</v>
      </c>
      <c r="K289" s="305">
        <v>-3.2879999999999998</v>
      </c>
      <c r="L289" s="282">
        <f>SUMIF($Z$6:$AG$6,L$6,$Z289:$AG289)-SUM(I289:K289)</f>
        <v>0.6479999999999988</v>
      </c>
      <c r="M289" s="305">
        <v>-19.335000000000001</v>
      </c>
      <c r="N289" s="305">
        <v>10.384</v>
      </c>
      <c r="O289" s="305">
        <v>6.15</v>
      </c>
      <c r="P289" s="282">
        <f>SUMIF($Z$6:$AG$6,P$6,$Z289:$AG289)-SUM(M289:O289)</f>
        <v>7.2220000000000004</v>
      </c>
      <c r="Q289" s="305">
        <v>1.8320000000000001</v>
      </c>
      <c r="R289" s="305">
        <v>1.62</v>
      </c>
      <c r="S289" s="305">
        <v>-6.2670000000000003</v>
      </c>
      <c r="T289" s="282">
        <f>SUMIF($Z$6:$AG$6,T$6,$Z289:$AG289)-SUM(Q289:S289)</f>
        <v>7.2480000000000002</v>
      </c>
      <c r="U289" s="305">
        <v>-33.164999999999999</v>
      </c>
      <c r="V289" s="305">
        <v>0</v>
      </c>
      <c r="W289" s="305">
        <v>0</v>
      </c>
      <c r="X289" s="305">
        <v>0</v>
      </c>
      <c r="Y289" s="283"/>
      <c r="Z289" s="305">
        <v>-1.9710000000000001</v>
      </c>
      <c r="AA289" s="305">
        <v>11.228999999999999</v>
      </c>
      <c r="AB289" s="305">
        <v>-17.806999999999999</v>
      </c>
      <c r="AC289" s="305">
        <v>5.1589999999999998</v>
      </c>
      <c r="AD289" s="305">
        <v>4.4210000000000003</v>
      </c>
      <c r="AE289" s="305">
        <v>4.4329999999999998</v>
      </c>
      <c r="AF289" s="283">
        <f t="shared" si="570"/>
        <v>-33.164999999999999</v>
      </c>
      <c r="AG289" s="305">
        <v>0</v>
      </c>
      <c r="AH289" s="305">
        <v>0</v>
      </c>
    </row>
    <row r="290" spans="2:34" ht="10.5" customHeight="1">
      <c r="C290" s="320" t="s">
        <v>242</v>
      </c>
      <c r="E290" s="379">
        <f t="shared" ref="E290:Q290" si="571">SUM(E286:E289)</f>
        <v>-26.767000000000003</v>
      </c>
      <c r="F290" s="379">
        <f t="shared" si="571"/>
        <v>-31.929000000000002</v>
      </c>
      <c r="G290" s="379">
        <f t="shared" si="571"/>
        <v>-28.183000000000003</v>
      </c>
      <c r="H290" s="379">
        <f t="shared" si="571"/>
        <v>-42.469000000000001</v>
      </c>
      <c r="I290" s="379">
        <f t="shared" si="571"/>
        <v>-38.21</v>
      </c>
      <c r="J290" s="379">
        <f t="shared" si="571"/>
        <v>-34.67</v>
      </c>
      <c r="K290" s="379">
        <f t="shared" si="571"/>
        <v>-37.957999999999998</v>
      </c>
      <c r="L290" s="379">
        <f t="shared" si="571"/>
        <v>-37.31</v>
      </c>
      <c r="M290" s="379">
        <f t="shared" si="571"/>
        <v>-56.645000000000003</v>
      </c>
      <c r="N290" s="379">
        <f t="shared" si="571"/>
        <v>-46.261000000000003</v>
      </c>
      <c r="O290" s="379">
        <f t="shared" si="571"/>
        <v>-40.111000000000004</v>
      </c>
      <c r="P290" s="379">
        <f t="shared" si="571"/>
        <v>-32.889000000000003</v>
      </c>
      <c r="Q290" s="379">
        <f t="shared" si="571"/>
        <v>-31.057000000000002</v>
      </c>
      <c r="R290" s="768">
        <f>SUM(R286:R289)</f>
        <v>-29.437000000000001</v>
      </c>
      <c r="S290" s="379">
        <f>SUM(S286:S289)</f>
        <v>-35.704000000000001</v>
      </c>
      <c r="T290" s="379">
        <f t="shared" ref="T290" si="572">SUM(T286:T289)</f>
        <v>-28.456</v>
      </c>
      <c r="U290" s="379">
        <f>SUM(U286:U289)</f>
        <v>-61.620999999999995</v>
      </c>
      <c r="V290" s="379">
        <f t="shared" ref="V290:X290" si="573">SUM(V286:V289)</f>
        <v>-61.620999999999995</v>
      </c>
      <c r="W290" s="379">
        <f t="shared" si="573"/>
        <v>-61.620999999999995</v>
      </c>
      <c r="X290" s="379">
        <f t="shared" si="573"/>
        <v>-61.620999999999995</v>
      </c>
      <c r="Y290" s="283"/>
      <c r="Z290" s="379">
        <f t="shared" ref="Z290:AD290" si="574">SUM(Z286:Z289)</f>
        <v>-34.602000000000004</v>
      </c>
      <c r="AA290" s="379">
        <f t="shared" si="574"/>
        <v>-23.373000000000005</v>
      </c>
      <c r="AB290" s="379">
        <f t="shared" si="574"/>
        <v>-42.469000000000008</v>
      </c>
      <c r="AC290" s="379">
        <f t="shared" si="574"/>
        <v>-37.310000000000009</v>
      </c>
      <c r="AD290" s="379">
        <f t="shared" si="574"/>
        <v>-32.88900000000001</v>
      </c>
      <c r="AE290" s="379">
        <f t="shared" ref="AE290" si="575">SUM(AE286:AE289)</f>
        <v>-28.45600000000001</v>
      </c>
      <c r="AF290" s="379">
        <f>SUM(AF286:AF289)</f>
        <v>-61.621000000000009</v>
      </c>
      <c r="AG290" s="379">
        <f>SUM(AG286:AG289)</f>
        <v>-61.621000000000009</v>
      </c>
      <c r="AH290" s="379">
        <f>SUM(AH286:AH289)</f>
        <v>-61.621000000000009</v>
      </c>
    </row>
    <row r="291" spans="2:34" ht="10.5" customHeight="1">
      <c r="C291" s="320"/>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399"/>
      <c r="AF291" s="283"/>
      <c r="AG291" s="283"/>
      <c r="AH291" s="283"/>
    </row>
    <row r="292" spans="2:34" ht="10.5" customHeight="1">
      <c r="C292" s="421" t="s">
        <v>475</v>
      </c>
      <c r="E292" s="283"/>
      <c r="F292" s="283"/>
      <c r="G292" s="283"/>
      <c r="H292" s="283"/>
      <c r="I292" s="283"/>
      <c r="J292" s="283"/>
      <c r="K292" s="283"/>
      <c r="L292" s="283"/>
      <c r="M292" s="283"/>
      <c r="N292" s="283"/>
      <c r="O292" s="283"/>
      <c r="P292" s="283"/>
      <c r="Q292" s="283"/>
      <c r="R292" s="419"/>
      <c r="S292" s="419"/>
      <c r="T292" s="283"/>
      <c r="U292" s="313"/>
      <c r="V292" s="419"/>
      <c r="W292" s="419"/>
      <c r="X292" s="419"/>
      <c r="Y292" s="283"/>
      <c r="Z292" s="283"/>
      <c r="AA292" s="283"/>
      <c r="AB292" s="283"/>
      <c r="AC292" s="283"/>
      <c r="AD292" s="283"/>
      <c r="AE292" s="399"/>
      <c r="AF292" s="419"/>
      <c r="AG292" s="419"/>
      <c r="AH292" s="419"/>
    </row>
    <row r="293" spans="2:34" ht="10.5" customHeight="1">
      <c r="C293" s="402" t="s">
        <v>470</v>
      </c>
      <c r="E293" s="305">
        <v>-18.042000000000002</v>
      </c>
      <c r="F293" s="282">
        <f t="shared" ref="F293:U293" si="576">E298</f>
        <v>-19.267000000000003</v>
      </c>
      <c r="G293" s="282">
        <f t="shared" si="576"/>
        <v>-20.736000000000004</v>
      </c>
      <c r="H293" s="282">
        <f t="shared" si="576"/>
        <v>-20.736000000000004</v>
      </c>
      <c r="I293" s="282">
        <f t="shared" si="576"/>
        <v>-20.736000000000004</v>
      </c>
      <c r="J293" s="282">
        <f t="shared" si="576"/>
        <v>-20.736000000000004</v>
      </c>
      <c r="K293" s="282">
        <f t="shared" si="576"/>
        <v>-22.380000000000003</v>
      </c>
      <c r="L293" s="282">
        <f t="shared" si="576"/>
        <v>-22.975000000000001</v>
      </c>
      <c r="M293" s="282">
        <f t="shared" si="576"/>
        <v>-22.967000000000002</v>
      </c>
      <c r="N293" s="282">
        <f t="shared" si="576"/>
        <v>-22.967000000000002</v>
      </c>
      <c r="O293" s="282">
        <f t="shared" si="576"/>
        <v>-23.496000000000002</v>
      </c>
      <c r="P293" s="282">
        <f t="shared" si="576"/>
        <v>-23.496000000000002</v>
      </c>
      <c r="Q293" s="282">
        <f t="shared" si="576"/>
        <v>-23.496000000000002</v>
      </c>
      <c r="R293" s="282">
        <f t="shared" si="576"/>
        <v>-23.496000000000002</v>
      </c>
      <c r="S293" s="282">
        <f t="shared" si="576"/>
        <v>-28.021000000000001</v>
      </c>
      <c r="T293" s="282">
        <f t="shared" si="576"/>
        <v>-28.021000000000001</v>
      </c>
      <c r="U293" s="282">
        <f t="shared" si="576"/>
        <v>-28.021000000000001</v>
      </c>
      <c r="V293" s="282">
        <f t="shared" ref="V293" si="577">U298</f>
        <v>-29.942</v>
      </c>
      <c r="W293" s="282">
        <f t="shared" ref="W293" si="578">V298</f>
        <v>-29.942</v>
      </c>
      <c r="X293" s="282">
        <f t="shared" ref="X293" si="579">W298</f>
        <v>-29.942</v>
      </c>
      <c r="Y293" s="283"/>
      <c r="Z293" s="305">
        <v>-10.734</v>
      </c>
      <c r="AA293" s="282">
        <f t="shared" ref="AA293:AH293" si="580">Z298</f>
        <v>-15.173999999999999</v>
      </c>
      <c r="AB293" s="282">
        <f t="shared" si="580"/>
        <v>-18.041999999999998</v>
      </c>
      <c r="AC293" s="282">
        <f t="shared" si="580"/>
        <v>-20.735999999999997</v>
      </c>
      <c r="AD293" s="282">
        <f t="shared" si="580"/>
        <v>-22.966999999999995</v>
      </c>
      <c r="AE293" s="282">
        <f t="shared" si="580"/>
        <v>-23.495999999999995</v>
      </c>
      <c r="AF293" s="282">
        <f t="shared" si="580"/>
        <v>-28.020999999999994</v>
      </c>
      <c r="AG293" s="282">
        <f t="shared" si="580"/>
        <v>-29.941999999999993</v>
      </c>
      <c r="AH293" s="282">
        <f t="shared" si="580"/>
        <v>-29.941999999999993</v>
      </c>
    </row>
    <row r="294" spans="2:34" ht="10.5" customHeight="1">
      <c r="C294" s="430" t="s">
        <v>505</v>
      </c>
      <c r="E294" s="305">
        <v>0</v>
      </c>
      <c r="F294" s="305">
        <v>-1.4690000000000001</v>
      </c>
      <c r="G294" s="305">
        <v>0</v>
      </c>
      <c r="H294" s="282">
        <f>SUMIF($Z$6:$AG$6,H$6,$Z294:$AG294)-SUM(E294:G294)</f>
        <v>8.3000000000000185E-2</v>
      </c>
      <c r="I294" s="305">
        <v>0</v>
      </c>
      <c r="J294" s="305">
        <v>0</v>
      </c>
      <c r="K294" s="305">
        <v>-0.59499999999999997</v>
      </c>
      <c r="L294" s="282">
        <f>SUMIF($Z$6:$AG$6,L$6,$Z294:$AG294)-SUM(I294:K294)</f>
        <v>-4.1000000000000036E-2</v>
      </c>
      <c r="M294" s="305">
        <v>0</v>
      </c>
      <c r="N294" s="305">
        <v>-1.4790000000000001</v>
      </c>
      <c r="O294" s="305">
        <v>0</v>
      </c>
      <c r="P294" s="282">
        <f>SUMIF($Z$6:$AG$6,P$6,$Z294:$AG294)-SUM(M294:O294)</f>
        <v>0</v>
      </c>
      <c r="Q294" s="305">
        <v>0</v>
      </c>
      <c r="R294" s="305">
        <v>-4.5250000000000004</v>
      </c>
      <c r="S294" s="305">
        <v>0</v>
      </c>
      <c r="T294" s="282">
        <f>SUMIF($Z$6:$AG$6,T$6,$Z294:$AG294)-SUM(Q294:S294)</f>
        <v>0</v>
      </c>
      <c r="U294" s="305">
        <v>0</v>
      </c>
      <c r="V294" s="305">
        <v>0</v>
      </c>
      <c r="W294" s="305">
        <v>0</v>
      </c>
      <c r="X294" s="305">
        <v>0</v>
      </c>
      <c r="Y294" s="283"/>
      <c r="Z294" s="305">
        <v>-2.2109999999999999</v>
      </c>
      <c r="AA294" s="305">
        <v>-2.1989999999999998</v>
      </c>
      <c r="AB294" s="305">
        <v>-1.3859999999999999</v>
      </c>
      <c r="AC294" s="305">
        <v>-0.63600000000000001</v>
      </c>
      <c r="AD294" s="305">
        <v>-1.4790000000000001</v>
      </c>
      <c r="AE294" s="305">
        <v>-4.5250000000000004</v>
      </c>
      <c r="AF294" s="283">
        <f t="shared" ref="AF294:AF297" si="581">SUMIF($E$5:$X$5,AF$5,$E294:$X294)</f>
        <v>0</v>
      </c>
      <c r="AG294" s="305">
        <v>0</v>
      </c>
      <c r="AH294" s="305">
        <v>0</v>
      </c>
    </row>
    <row r="295" spans="2:34" ht="10.5" customHeight="1">
      <c r="C295" s="430" t="s">
        <v>511</v>
      </c>
      <c r="E295" s="305">
        <v>0</v>
      </c>
      <c r="F295" s="305">
        <v>0</v>
      </c>
      <c r="G295" s="305">
        <v>0</v>
      </c>
      <c r="H295" s="282">
        <f>SUMIF($Z$6:$AG$6,H$6,$Z295:$AG295)-SUM(E295:G295)</f>
        <v>0</v>
      </c>
      <c r="I295" s="305">
        <v>0</v>
      </c>
      <c r="J295" s="305">
        <v>0</v>
      </c>
      <c r="K295" s="305">
        <v>0</v>
      </c>
      <c r="L295" s="282">
        <f>SUMIF($Z$6:$AG$6,L$6,$Z295:$AG295)-SUM(I295:K295)</f>
        <v>0</v>
      </c>
      <c r="M295" s="305">
        <v>0</v>
      </c>
      <c r="N295" s="305">
        <v>0</v>
      </c>
      <c r="O295" s="305">
        <v>0</v>
      </c>
      <c r="P295" s="282">
        <f>SUMIF($Z$6:$AG$6,P$6,$Z295:$AG295)-SUM(M295:O295)</f>
        <v>0</v>
      </c>
      <c r="Q295" s="305">
        <v>0</v>
      </c>
      <c r="R295" s="305">
        <v>0</v>
      </c>
      <c r="S295" s="305">
        <v>0</v>
      </c>
      <c r="T295" s="282">
        <f>SUMIF($Z$6:$AG$6,T$6,$Z295:$AG295)-SUM(Q295:S295)</f>
        <v>0</v>
      </c>
      <c r="U295" s="305">
        <v>0</v>
      </c>
      <c r="V295" s="305">
        <v>0</v>
      </c>
      <c r="W295" s="305">
        <v>0</v>
      </c>
      <c r="X295" s="305">
        <v>0</v>
      </c>
      <c r="Y295" s="283"/>
      <c r="Z295" s="305">
        <v>-0.95899999999999996</v>
      </c>
      <c r="AA295" s="305">
        <v>0</v>
      </c>
      <c r="AB295" s="305">
        <v>0</v>
      </c>
      <c r="AC295" s="305">
        <v>0</v>
      </c>
      <c r="AD295" s="305">
        <v>0</v>
      </c>
      <c r="AE295" s="305">
        <v>0</v>
      </c>
      <c r="AF295" s="283">
        <f t="shared" si="581"/>
        <v>0</v>
      </c>
      <c r="AG295" s="305">
        <v>0</v>
      </c>
      <c r="AH295" s="305">
        <v>0</v>
      </c>
    </row>
    <row r="296" spans="2:34" ht="10.5" customHeight="1">
      <c r="C296" s="430" t="s">
        <v>512</v>
      </c>
      <c r="E296" s="305">
        <v>-1.2250000000000001</v>
      </c>
      <c r="F296" s="305">
        <v>0</v>
      </c>
      <c r="G296" s="305">
        <v>0</v>
      </c>
      <c r="H296" s="282">
        <f>SUMIF($Z$6:$AG$6,H$6,$Z296:$AG296)-SUM(E296:G296)</f>
        <v>-8.2999999999999963E-2</v>
      </c>
      <c r="I296" s="305">
        <v>0</v>
      </c>
      <c r="J296" s="305">
        <v>-1.6439999999999999</v>
      </c>
      <c r="K296" s="305">
        <v>0</v>
      </c>
      <c r="L296" s="282">
        <f>SUMIF($Z$6:$AG$6,L$6,$Z296:$AG296)-SUM(I296:K296)</f>
        <v>4.8999999999999932E-2</v>
      </c>
      <c r="M296" s="305">
        <v>0</v>
      </c>
      <c r="N296" s="305">
        <v>-1.266</v>
      </c>
      <c r="O296" s="305">
        <v>0</v>
      </c>
      <c r="P296" s="282">
        <f>SUMIF($Z$6:$AG$6,P$6,$Z296:$AG296)-SUM(M296:O296)</f>
        <v>0</v>
      </c>
      <c r="Q296" s="305">
        <v>0</v>
      </c>
      <c r="R296" s="305">
        <v>0</v>
      </c>
      <c r="S296" s="305">
        <v>0</v>
      </c>
      <c r="T296" s="282">
        <f>SUMIF($Z$6:$AG$6,T$6,$Z296:$AG296)-SUM(Q296:S296)</f>
        <v>0</v>
      </c>
      <c r="U296" s="305">
        <v>-1.921</v>
      </c>
      <c r="V296" s="305">
        <v>0</v>
      </c>
      <c r="W296" s="305">
        <v>0</v>
      </c>
      <c r="X296" s="305">
        <v>0</v>
      </c>
      <c r="Y296" s="283"/>
      <c r="Z296" s="305">
        <v>-1.27</v>
      </c>
      <c r="AA296" s="305">
        <v>-0.66900000000000004</v>
      </c>
      <c r="AB296" s="305">
        <v>-1.3080000000000001</v>
      </c>
      <c r="AC296" s="305">
        <v>-1.595</v>
      </c>
      <c r="AD296" s="305">
        <v>-1.266</v>
      </c>
      <c r="AE296" s="305">
        <v>0</v>
      </c>
      <c r="AF296" s="283">
        <f t="shared" si="581"/>
        <v>-1.921</v>
      </c>
      <c r="AG296" s="305">
        <v>0</v>
      </c>
      <c r="AH296" s="305">
        <v>0</v>
      </c>
    </row>
    <row r="297" spans="2:34" ht="10.5" customHeight="1">
      <c r="C297" s="430" t="s">
        <v>517</v>
      </c>
      <c r="E297" s="305">
        <v>0</v>
      </c>
      <c r="F297" s="305">
        <v>0</v>
      </c>
      <c r="G297" s="305">
        <v>0</v>
      </c>
      <c r="H297" s="282">
        <f>SUMIF($Z$6:$AG$6,H$6,$Z297:$AG297)-SUM(E297:G297)</f>
        <v>0</v>
      </c>
      <c r="I297" s="305">
        <v>0</v>
      </c>
      <c r="J297" s="305">
        <v>0</v>
      </c>
      <c r="K297" s="305">
        <v>0</v>
      </c>
      <c r="L297" s="282">
        <f>SUMIF($Z$6:$AG$6,L$6,$Z297:$AG297)-SUM(I297:K297)</f>
        <v>0</v>
      </c>
      <c r="M297" s="305">
        <v>0</v>
      </c>
      <c r="N297" s="305">
        <v>2.2160000000000002</v>
      </c>
      <c r="O297" s="305">
        <v>0</v>
      </c>
      <c r="P297" s="282">
        <f>SUMIF($Z$6:$AG$6,P$6,$Z297:$AG297)-SUM(M297:O297)</f>
        <v>0</v>
      </c>
      <c r="Q297" s="305">
        <v>0</v>
      </c>
      <c r="R297" s="305">
        <v>0</v>
      </c>
      <c r="S297" s="305">
        <v>0</v>
      </c>
      <c r="T297" s="282">
        <f>SUMIF($Z$6:$AG$6,T$6,$Z297:$AG297)-SUM(Q297:S297)</f>
        <v>0</v>
      </c>
      <c r="U297" s="305">
        <v>0</v>
      </c>
      <c r="V297" s="305">
        <v>0</v>
      </c>
      <c r="W297" s="305">
        <v>0</v>
      </c>
      <c r="X297" s="305">
        <v>0</v>
      </c>
      <c r="Y297" s="283"/>
      <c r="Z297" s="305">
        <v>0</v>
      </c>
      <c r="AA297" s="305">
        <v>0</v>
      </c>
      <c r="AB297" s="305">
        <v>0</v>
      </c>
      <c r="AC297" s="305">
        <v>0</v>
      </c>
      <c r="AD297" s="305">
        <v>2.2160000000000002</v>
      </c>
      <c r="AE297" s="305">
        <v>0</v>
      </c>
      <c r="AF297" s="283">
        <f t="shared" si="581"/>
        <v>0</v>
      </c>
      <c r="AG297" s="305">
        <v>0</v>
      </c>
      <c r="AH297" s="305">
        <v>0</v>
      </c>
    </row>
    <row r="298" spans="2:34" ht="10.5" customHeight="1">
      <c r="C298" s="320" t="s">
        <v>242</v>
      </c>
      <c r="E298" s="379">
        <f t="shared" ref="E298:Q298" si="582">SUM(E293:E297)</f>
        <v>-19.267000000000003</v>
      </c>
      <c r="F298" s="379">
        <f t="shared" si="582"/>
        <v>-20.736000000000004</v>
      </c>
      <c r="G298" s="379">
        <f t="shared" si="582"/>
        <v>-20.736000000000004</v>
      </c>
      <c r="H298" s="379">
        <f t="shared" si="582"/>
        <v>-20.736000000000004</v>
      </c>
      <c r="I298" s="379">
        <f t="shared" si="582"/>
        <v>-20.736000000000004</v>
      </c>
      <c r="J298" s="379">
        <f t="shared" si="582"/>
        <v>-22.380000000000003</v>
      </c>
      <c r="K298" s="379">
        <f t="shared" si="582"/>
        <v>-22.975000000000001</v>
      </c>
      <c r="L298" s="379">
        <f t="shared" si="582"/>
        <v>-22.967000000000002</v>
      </c>
      <c r="M298" s="379">
        <f t="shared" si="582"/>
        <v>-22.967000000000002</v>
      </c>
      <c r="N298" s="379">
        <f t="shared" si="582"/>
        <v>-23.496000000000002</v>
      </c>
      <c r="O298" s="379">
        <f t="shared" si="582"/>
        <v>-23.496000000000002</v>
      </c>
      <c r="P298" s="379">
        <f t="shared" si="582"/>
        <v>-23.496000000000002</v>
      </c>
      <c r="Q298" s="379">
        <f t="shared" si="582"/>
        <v>-23.496000000000002</v>
      </c>
      <c r="R298" s="768">
        <f>SUM(R293:R297)</f>
        <v>-28.021000000000001</v>
      </c>
      <c r="S298" s="379">
        <f>SUM(S293:S297)</f>
        <v>-28.021000000000001</v>
      </c>
      <c r="T298" s="379">
        <f t="shared" ref="T298" si="583">SUM(T293:T297)</f>
        <v>-28.021000000000001</v>
      </c>
      <c r="U298" s="379">
        <f>SUM(U293:U297)</f>
        <v>-29.942</v>
      </c>
      <c r="V298" s="379">
        <f t="shared" ref="V298:X298" si="584">SUM(V293:V297)</f>
        <v>-29.942</v>
      </c>
      <c r="W298" s="379">
        <f t="shared" si="584"/>
        <v>-29.942</v>
      </c>
      <c r="X298" s="379">
        <f t="shared" si="584"/>
        <v>-29.942</v>
      </c>
      <c r="Y298" s="283"/>
      <c r="Z298" s="379">
        <f t="shared" ref="Z298:AD298" si="585">SUM(Z293:Z297)</f>
        <v>-15.173999999999999</v>
      </c>
      <c r="AA298" s="379">
        <f t="shared" si="585"/>
        <v>-18.041999999999998</v>
      </c>
      <c r="AB298" s="379">
        <f t="shared" si="585"/>
        <v>-20.735999999999997</v>
      </c>
      <c r="AC298" s="379">
        <f t="shared" si="585"/>
        <v>-22.966999999999995</v>
      </c>
      <c r="AD298" s="379">
        <f t="shared" si="585"/>
        <v>-23.495999999999995</v>
      </c>
      <c r="AE298" s="379">
        <f t="shared" ref="AE298" si="586">SUM(AE293:AE297)</f>
        <v>-28.020999999999994</v>
      </c>
      <c r="AF298" s="379">
        <f>SUM(AF293:AF297)</f>
        <v>-29.941999999999993</v>
      </c>
      <c r="AG298" s="379">
        <f>SUM(AG293:AG297)</f>
        <v>-29.941999999999993</v>
      </c>
      <c r="AH298" s="379">
        <f>SUM(AH293:AH297)</f>
        <v>-29.941999999999993</v>
      </c>
    </row>
    <row r="299" spans="2:34" s="283" customFormat="1" ht="10.5" customHeight="1">
      <c r="B299" s="283" t="s">
        <v>137</v>
      </c>
      <c r="C299" s="316"/>
    </row>
    <row r="300" spans="2:34" ht="10.5" customHeight="1">
      <c r="E300" s="420"/>
      <c r="F300" s="420"/>
      <c r="G300" s="420"/>
      <c r="H300" s="420"/>
      <c r="I300" s="420"/>
      <c r="J300" s="420"/>
      <c r="K300" s="420"/>
      <c r="L300" s="420"/>
      <c r="M300" s="420"/>
      <c r="N300" s="420"/>
      <c r="O300" s="420"/>
      <c r="P300" s="420"/>
      <c r="Q300" s="420"/>
      <c r="R300" s="420"/>
      <c r="S300" s="420"/>
      <c r="T300" s="420"/>
      <c r="U300" s="420"/>
      <c r="V300" s="420"/>
      <c r="W300" s="420"/>
      <c r="X300" s="420"/>
      <c r="Y300" s="283"/>
      <c r="Z300" s="420"/>
      <c r="AA300" s="420"/>
      <c r="AB300" s="420"/>
      <c r="AC300" s="420"/>
      <c r="AD300" s="420"/>
      <c r="AF300" s="420"/>
      <c r="AG300" s="420"/>
      <c r="AH300" s="420"/>
    </row>
    <row r="301" spans="2:34" ht="10.5" customHeight="1">
      <c r="E301" s="380"/>
      <c r="F301" s="380"/>
      <c r="G301" s="380"/>
      <c r="H301" s="380"/>
      <c r="I301" s="380"/>
      <c r="J301" s="380"/>
      <c r="K301" s="380"/>
      <c r="L301" s="380"/>
      <c r="M301" s="380"/>
      <c r="N301" s="380"/>
      <c r="O301" s="380"/>
      <c r="P301" s="380"/>
      <c r="Q301" s="380"/>
      <c r="R301" s="380"/>
      <c r="S301" s="380"/>
      <c r="T301" s="380"/>
      <c r="U301" s="380"/>
      <c r="V301" s="380"/>
      <c r="W301" s="380"/>
      <c r="X301" s="380"/>
      <c r="Y301" s="283"/>
      <c r="Z301" s="380"/>
      <c r="AA301" s="380"/>
      <c r="AB301" s="380"/>
      <c r="AC301" s="380"/>
      <c r="AD301" s="380"/>
      <c r="AE301" s="380"/>
      <c r="AF301" s="380"/>
      <c r="AG301" s="380"/>
      <c r="AH301" s="380"/>
    </row>
    <row r="302" spans="2:34" ht="10.5" customHeight="1">
      <c r="Y302" s="283"/>
    </row>
    <row r="303" spans="2:34" ht="10.5" customHeight="1">
      <c r="Y303" s="283"/>
    </row>
    <row r="304" spans="2:34" ht="10.5" customHeight="1">
      <c r="Y304" s="283"/>
    </row>
    <row r="305" spans="25:25" ht="10.5" customHeight="1">
      <c r="Y305" s="283"/>
    </row>
    <row r="306" spans="25:25" ht="10.5" customHeight="1">
      <c r="Y306" s="283"/>
    </row>
    <row r="307" spans="25:25" ht="10.5" customHeight="1">
      <c r="Y307" s="283"/>
    </row>
    <row r="308" spans="25:25" ht="10.5" customHeight="1">
      <c r="Y308" s="283"/>
    </row>
    <row r="309" spans="25:25" ht="10.5" customHeight="1">
      <c r="Y309" s="283"/>
    </row>
    <row r="310" spans="25:25" ht="10.5" customHeight="1">
      <c r="Y310" s="283"/>
    </row>
    <row r="311" spans="25:25" ht="10.5" customHeight="1">
      <c r="Y311" s="283"/>
    </row>
    <row r="312" spans="25:25" ht="10.5" customHeight="1">
      <c r="Y312" s="283"/>
    </row>
    <row r="313" spans="25:25" ht="10.5" customHeight="1">
      <c r="Y313" s="283"/>
    </row>
    <row r="314" spans="25:25" ht="10.5" customHeight="1">
      <c r="Y314" s="283"/>
    </row>
    <row r="315" spans="25:25" ht="10.5" customHeight="1">
      <c r="Y315" s="283"/>
    </row>
    <row r="316" spans="25:25" ht="10.5" customHeight="1">
      <c r="Y316" s="283"/>
    </row>
    <row r="317" spans="25:25" ht="10.5" customHeight="1">
      <c r="Y317" s="283"/>
    </row>
    <row r="318" spans="25:25" ht="10.5" customHeight="1">
      <c r="Y318" s="283"/>
    </row>
    <row r="319" spans="25:25" ht="10.5" customHeight="1">
      <c r="Y319" s="283"/>
    </row>
    <row r="320" spans="25:25" ht="10.5" customHeight="1">
      <c r="Y320" s="283"/>
    </row>
    <row r="321" spans="25:25" ht="10.5" customHeight="1">
      <c r="Y321" s="283"/>
    </row>
    <row r="322" spans="25:25" ht="10.5" customHeight="1">
      <c r="Y322" s="283"/>
    </row>
    <row r="323" spans="25:25" ht="10.5" customHeight="1">
      <c r="Y323" s="283"/>
    </row>
    <row r="324" spans="25:25" ht="10.5" customHeight="1">
      <c r="Y324" s="283"/>
    </row>
    <row r="325" spans="25:25" ht="10.5" customHeight="1">
      <c r="Y325" s="283"/>
    </row>
    <row r="326" spans="25:25" ht="10.5" customHeight="1">
      <c r="Y326" s="283"/>
    </row>
    <row r="327" spans="25:25" ht="10.5" customHeight="1">
      <c r="Y327" s="283"/>
    </row>
    <row r="328" spans="25:25" ht="10.5" customHeight="1">
      <c r="Y328" s="283"/>
    </row>
    <row r="329" spans="25:25" ht="10.5" customHeight="1">
      <c r="Y329" s="283"/>
    </row>
    <row r="330" spans="25:25" ht="10.5" customHeight="1">
      <c r="Y330" s="283"/>
    </row>
    <row r="331" spans="25:25" ht="10.5" customHeight="1">
      <c r="Y331" s="283"/>
    </row>
    <row r="332" spans="25:25" ht="10.5" customHeight="1">
      <c r="Y332" s="283"/>
    </row>
    <row r="333" spans="25:25" ht="10.5" customHeight="1">
      <c r="Y333" s="283"/>
    </row>
    <row r="334" spans="25:25" ht="10.5" customHeight="1">
      <c r="Y334" s="283"/>
    </row>
    <row r="335" spans="25:25" ht="10.5" customHeight="1">
      <c r="Y335" s="283"/>
    </row>
    <row r="336" spans="25:25" ht="10.5" customHeight="1">
      <c r="Y336" s="283"/>
    </row>
    <row r="337" spans="25:25" ht="10.5" customHeight="1">
      <c r="Y337" s="283"/>
    </row>
    <row r="338" spans="25:25" ht="10.5" customHeight="1">
      <c r="Y338" s="283"/>
    </row>
    <row r="339" spans="25:25" ht="10.5" customHeight="1">
      <c r="Y339" s="283"/>
    </row>
    <row r="340" spans="25:25" ht="10.5" customHeight="1">
      <c r="Y340" s="283"/>
    </row>
    <row r="341" spans="25:25" ht="10.5" customHeight="1">
      <c r="Y341" s="283"/>
    </row>
    <row r="342" spans="25:25" ht="10.5" customHeight="1">
      <c r="Y342" s="283"/>
    </row>
    <row r="343" spans="25:25" ht="10.5" customHeight="1">
      <c r="Y343" s="283"/>
    </row>
    <row r="344" spans="25:25" ht="10.5" customHeight="1">
      <c r="Y344" s="283"/>
    </row>
    <row r="345" spans="25:25" ht="10.5" customHeight="1">
      <c r="Y345" s="283"/>
    </row>
    <row r="346" spans="25:25" ht="10.5" customHeight="1">
      <c r="Y346" s="283"/>
    </row>
    <row r="347" spans="25:25" ht="10.5" customHeight="1">
      <c r="Y347" s="283"/>
    </row>
    <row r="348" spans="25:25" ht="10.5" customHeight="1">
      <c r="Y348" s="283"/>
    </row>
    <row r="349" spans="25:25" ht="10.5" customHeight="1">
      <c r="Y349" s="283"/>
    </row>
    <row r="350" spans="25:25" ht="10.5" customHeight="1">
      <c r="Y350" s="283"/>
    </row>
    <row r="351" spans="25:25" ht="10.5" customHeight="1">
      <c r="Y351" s="283"/>
    </row>
    <row r="352" spans="25:25" ht="10.5" customHeight="1">
      <c r="Y352" s="283"/>
    </row>
    <row r="353" spans="25:25" ht="10.5" customHeight="1">
      <c r="Y353" s="283"/>
    </row>
    <row r="354" spans="25:25" ht="10.5" customHeight="1">
      <c r="Y354" s="283"/>
    </row>
    <row r="355" spans="25:25" ht="10.5" customHeight="1">
      <c r="Y355" s="283"/>
    </row>
    <row r="356" spans="25:25" ht="10.5" customHeight="1">
      <c r="Y356" s="283"/>
    </row>
    <row r="357" spans="25:25" ht="10.5" customHeight="1">
      <c r="Y357" s="283"/>
    </row>
    <row r="358" spans="25:25" ht="10.5" customHeight="1">
      <c r="Y358" s="283"/>
    </row>
    <row r="359" spans="25:25" ht="10.5" customHeight="1">
      <c r="Y359" s="283"/>
    </row>
    <row r="360" spans="25:25" ht="10.5" customHeight="1">
      <c r="Y360" s="283"/>
    </row>
    <row r="361" spans="25:25" ht="10.5" customHeight="1">
      <c r="Y361" s="283"/>
    </row>
    <row r="362" spans="25:25" ht="10.5" customHeight="1">
      <c r="Y362" s="283"/>
    </row>
    <row r="363" spans="25:25" ht="10.5" customHeight="1">
      <c r="Y363" s="283"/>
    </row>
    <row r="364" spans="25:25" ht="10.5" customHeight="1">
      <c r="Y364" s="283"/>
    </row>
    <row r="365" spans="25:25" ht="10.5" customHeight="1">
      <c r="Y365" s="283"/>
    </row>
    <row r="366" spans="25:25" ht="10.5" customHeight="1">
      <c r="Y366" s="283"/>
    </row>
    <row r="367" spans="25:25" ht="10.5" customHeight="1">
      <c r="Y367" s="283"/>
    </row>
    <row r="368" spans="25:25" ht="10.5" customHeight="1">
      <c r="Y368" s="283"/>
    </row>
    <row r="369" spans="25:25" ht="10.5" customHeight="1">
      <c r="Y369" s="283"/>
    </row>
    <row r="370" spans="25:25" ht="10.5" customHeight="1">
      <c r="Y370" s="283"/>
    </row>
    <row r="371" spans="25:25" ht="10.5" customHeight="1">
      <c r="Y371" s="283"/>
    </row>
    <row r="372" spans="25:25" ht="10.5" customHeight="1">
      <c r="Y372" s="283"/>
    </row>
    <row r="373" spans="25:25" ht="10.5" customHeight="1">
      <c r="Y373" s="283"/>
    </row>
    <row r="374" spans="25:25" ht="10.5" customHeight="1">
      <c r="Y374" s="283"/>
    </row>
    <row r="375" spans="25:25" ht="10.5" customHeight="1">
      <c r="Y375" s="283"/>
    </row>
    <row r="376" spans="25:25" ht="10.5" customHeight="1">
      <c r="Y376" s="283"/>
    </row>
    <row r="377" spans="25:25" ht="10.5" customHeight="1">
      <c r="Y377" s="283"/>
    </row>
    <row r="378" spans="25:25" ht="10.5" customHeight="1">
      <c r="Y378" s="283"/>
    </row>
    <row r="379" spans="25:25" ht="10.5" customHeight="1">
      <c r="Y379" s="283"/>
    </row>
    <row r="380" spans="25:25" ht="10.5" customHeight="1">
      <c r="Y380" s="283"/>
    </row>
    <row r="381" spans="25:25" ht="10.5" customHeight="1">
      <c r="Y381" s="283"/>
    </row>
    <row r="382" spans="25:25" ht="10.5" customHeight="1">
      <c r="Y382" s="283"/>
    </row>
    <row r="383" spans="25:25" ht="10.5" customHeight="1">
      <c r="Y383" s="283"/>
    </row>
    <row r="384" spans="25:25" ht="10.5" customHeight="1">
      <c r="Y384" s="283"/>
    </row>
    <row r="385" spans="25:25" ht="10.5" customHeight="1">
      <c r="Y385" s="283"/>
    </row>
    <row r="386" spans="25:25" ht="10.5" customHeight="1">
      <c r="Y386" s="283"/>
    </row>
    <row r="387" spans="25:25" ht="10.5" customHeight="1">
      <c r="Y387" s="283"/>
    </row>
    <row r="388" spans="25:25" ht="10.5" customHeight="1">
      <c r="Y388" s="283"/>
    </row>
    <row r="389" spans="25:25" ht="10.5" customHeight="1">
      <c r="Y389" s="283"/>
    </row>
    <row r="390" spans="25:25" ht="10.5" customHeight="1">
      <c r="Y390" s="283"/>
    </row>
    <row r="391" spans="25:25" ht="10.5" customHeight="1">
      <c r="Y391" s="283"/>
    </row>
    <row r="392" spans="25:25" ht="10.5" customHeight="1">
      <c r="Y392" s="283"/>
    </row>
    <row r="393" spans="25:25" ht="10.5" customHeight="1">
      <c r="Y393" s="283"/>
    </row>
    <row r="394" spans="25:25" ht="10.5" customHeight="1">
      <c r="Y394" s="283"/>
    </row>
    <row r="395" spans="25:25" ht="10.5" customHeight="1">
      <c r="Y395" s="283"/>
    </row>
    <row r="396" spans="25:25" ht="10.5" customHeight="1">
      <c r="Y396" s="283"/>
    </row>
    <row r="397" spans="25:25" ht="10.5" customHeight="1">
      <c r="Y397" s="283"/>
    </row>
    <row r="398" spans="25:25" ht="10.5" customHeight="1">
      <c r="Y398" s="283"/>
    </row>
    <row r="399" spans="25:25" ht="10.5" customHeight="1">
      <c r="Y399" s="283"/>
    </row>
    <row r="400" spans="25:25" ht="10.5" customHeight="1">
      <c r="Y400" s="283"/>
    </row>
    <row r="401" spans="25:25" ht="10.5" customHeight="1">
      <c r="Y401" s="283"/>
    </row>
    <row r="402" spans="25:25" ht="10.5" customHeight="1">
      <c r="Y402" s="283"/>
    </row>
    <row r="403" spans="25:25" ht="10.5" customHeight="1">
      <c r="Y403" s="283"/>
    </row>
    <row r="404" spans="25:25" ht="10.5" customHeight="1">
      <c r="Y404" s="283"/>
    </row>
    <row r="405" spans="25:25" ht="10.5" customHeight="1">
      <c r="Y405" s="283"/>
    </row>
    <row r="406" spans="25:25" ht="10.5" customHeight="1">
      <c r="Y406" s="283"/>
    </row>
    <row r="407" spans="25:25" ht="10.5" customHeight="1">
      <c r="Y407" s="283"/>
    </row>
    <row r="408" spans="25:25" ht="10.5" customHeight="1">
      <c r="Y408" s="283"/>
    </row>
    <row r="409" spans="25:25" ht="10.5" customHeight="1">
      <c r="Y409" s="283"/>
    </row>
    <row r="410" spans="25:25" ht="10.5" customHeight="1">
      <c r="Y410" s="283"/>
    </row>
    <row r="411" spans="25:25" ht="10.5" customHeight="1">
      <c r="Y411" s="283"/>
    </row>
    <row r="412" spans="25:25" ht="10.5" customHeight="1">
      <c r="Y412" s="283"/>
    </row>
    <row r="413" spans="25:25" ht="10.5" customHeight="1">
      <c r="Y413" s="283"/>
    </row>
    <row r="414" spans="25:25" ht="10.5" customHeight="1">
      <c r="Y414" s="283"/>
    </row>
    <row r="415" spans="25:25" ht="10.5" customHeight="1">
      <c r="Y415" s="283"/>
    </row>
    <row r="416" spans="25:25" ht="10.5" customHeight="1">
      <c r="Y416" s="283"/>
    </row>
    <row r="417" spans="25:25" ht="10.5" customHeight="1">
      <c r="Y417" s="283"/>
    </row>
    <row r="418" spans="25:25" ht="10.5" customHeight="1">
      <c r="Y418" s="283"/>
    </row>
    <row r="419" spans="25:25" ht="10.5" customHeight="1">
      <c r="Y419" s="283"/>
    </row>
    <row r="420" spans="25:25" ht="10.5" customHeight="1">
      <c r="Y420" s="283"/>
    </row>
    <row r="421" spans="25:25" ht="10.5" customHeight="1">
      <c r="Y421" s="283"/>
    </row>
    <row r="422" spans="25:25" ht="10.5" customHeight="1">
      <c r="Y422" s="283"/>
    </row>
    <row r="423" spans="25:25" ht="10.5" customHeight="1">
      <c r="Y423" s="283"/>
    </row>
    <row r="424" spans="25:25" ht="10.5" customHeight="1">
      <c r="Y424" s="283"/>
    </row>
    <row r="425" spans="25:25" ht="10.5" customHeight="1">
      <c r="Y425" s="283"/>
    </row>
    <row r="426" spans="25:25" ht="10.5" customHeight="1">
      <c r="Y426" s="283"/>
    </row>
    <row r="427" spans="25:25" ht="10.5" customHeight="1">
      <c r="Y427" s="283"/>
    </row>
    <row r="428" spans="25:25" ht="10.5" customHeight="1">
      <c r="Y428" s="283"/>
    </row>
    <row r="429" spans="25:25" ht="10.5" customHeight="1">
      <c r="Y429" s="283"/>
    </row>
    <row r="430" spans="25:25" ht="10.5" customHeight="1">
      <c r="Y430" s="283"/>
    </row>
    <row r="431" spans="25:25" ht="10.5" customHeight="1">
      <c r="Y431" s="283"/>
    </row>
    <row r="432" spans="25:25" ht="10.5" customHeight="1">
      <c r="Y432" s="283"/>
    </row>
    <row r="433" spans="25:25" ht="10.5" customHeight="1">
      <c r="Y433" s="283"/>
    </row>
    <row r="434" spans="25:25" ht="10.5" customHeight="1">
      <c r="Y434" s="283"/>
    </row>
    <row r="435" spans="25:25" ht="10.5" customHeight="1">
      <c r="Y435" s="283"/>
    </row>
    <row r="436" spans="25:25" ht="10.5" customHeight="1">
      <c r="Y436" s="283"/>
    </row>
    <row r="437" spans="25:25" ht="10.5" customHeight="1">
      <c r="Y437" s="283"/>
    </row>
    <row r="438" spans="25:25" ht="10.5" customHeight="1">
      <c r="Y438" s="283"/>
    </row>
    <row r="439" spans="25:25" ht="10.5" customHeight="1">
      <c r="Y439" s="283"/>
    </row>
    <row r="440" spans="25:25" ht="10.5" customHeight="1">
      <c r="Y440" s="283"/>
    </row>
    <row r="441" spans="25:25" ht="10.5" customHeight="1">
      <c r="Y441" s="283"/>
    </row>
    <row r="442" spans="25:25" ht="10.5" customHeight="1">
      <c r="Y442" s="283"/>
    </row>
    <row r="443" spans="25:25" ht="10.5" customHeight="1">
      <c r="Y443" s="283"/>
    </row>
    <row r="444" spans="25:25" ht="10.5" customHeight="1">
      <c r="Y444" s="283"/>
    </row>
    <row r="445" spans="25:25" ht="10.5" customHeight="1">
      <c r="Y445" s="283"/>
    </row>
    <row r="446" spans="25:25" ht="10.5" customHeight="1">
      <c r="Y446" s="283"/>
    </row>
    <row r="447" spans="25:25" ht="10.5" customHeight="1">
      <c r="Y447" s="283"/>
    </row>
    <row r="448" spans="25:25" ht="10.5" customHeight="1">
      <c r="Y448" s="283"/>
    </row>
    <row r="449" spans="25:25" ht="10.5" customHeight="1">
      <c r="Y449" s="283"/>
    </row>
    <row r="450" spans="25:25" ht="10.5" customHeight="1">
      <c r="Y450" s="283"/>
    </row>
    <row r="451" spans="25:25" ht="10.5" customHeight="1">
      <c r="Y451" s="283"/>
    </row>
    <row r="452" spans="25:25" ht="10.5" customHeight="1">
      <c r="Y452" s="283"/>
    </row>
    <row r="453" spans="25:25" ht="10.5" customHeight="1">
      <c r="Y453" s="283"/>
    </row>
    <row r="454" spans="25:25" ht="10.5" customHeight="1">
      <c r="Y454" s="283"/>
    </row>
    <row r="455" spans="25:25" ht="10.5" customHeight="1">
      <c r="Y455" s="283"/>
    </row>
    <row r="456" spans="25:25" ht="10.5" customHeight="1">
      <c r="Y456" s="283"/>
    </row>
    <row r="457" spans="25:25" ht="10.5" customHeight="1">
      <c r="Y457" s="283"/>
    </row>
    <row r="458" spans="25:25" ht="10.5" customHeight="1">
      <c r="Y458" s="283"/>
    </row>
    <row r="459" spans="25:25" ht="10.5" customHeight="1">
      <c r="Y459" s="283"/>
    </row>
    <row r="460" spans="25:25" ht="10.5" customHeight="1">
      <c r="Y460" s="283"/>
    </row>
    <row r="461" spans="25:25" ht="10.5" customHeight="1">
      <c r="Y461" s="283"/>
    </row>
    <row r="462" spans="25:25" ht="10.5" customHeight="1">
      <c r="Y462" s="283"/>
    </row>
    <row r="463" spans="25:25" ht="10.5" customHeight="1">
      <c r="Y463" s="283"/>
    </row>
    <row r="464" spans="25:25" ht="10.5" customHeight="1">
      <c r="Y464" s="283"/>
    </row>
    <row r="465" spans="25:25" ht="10.5" customHeight="1">
      <c r="Y465" s="283"/>
    </row>
    <row r="466" spans="25:25" ht="10.5" customHeight="1">
      <c r="Y466" s="283"/>
    </row>
    <row r="467" spans="25:25" ht="10.5" customHeight="1">
      <c r="Y467" s="283"/>
    </row>
    <row r="468" spans="25:25" ht="10.5" customHeight="1">
      <c r="Y468" s="283"/>
    </row>
    <row r="469" spans="25:25" ht="10.5" customHeight="1">
      <c r="Y469" s="283"/>
    </row>
    <row r="470" spans="25:25" ht="10.5" customHeight="1">
      <c r="Y470" s="283"/>
    </row>
    <row r="471" spans="25:25" ht="10.5" customHeight="1">
      <c r="Y471" s="283"/>
    </row>
    <row r="472" spans="25:25" ht="10.5" customHeight="1">
      <c r="Y472" s="283"/>
    </row>
    <row r="473" spans="25:25" ht="10.5" customHeight="1">
      <c r="Y473" s="283"/>
    </row>
    <row r="474" spans="25:25" ht="10.5" customHeight="1">
      <c r="Y474" s="283"/>
    </row>
    <row r="475" spans="25:25" ht="10.5" customHeight="1">
      <c r="Y475" s="283"/>
    </row>
    <row r="476" spans="25:25" ht="10.5" customHeight="1">
      <c r="Y476" s="283"/>
    </row>
    <row r="477" spans="25:25" ht="10.5" customHeight="1">
      <c r="Y477" s="283"/>
    </row>
    <row r="478" spans="25:25" ht="10.5" customHeight="1">
      <c r="Y478" s="283"/>
    </row>
    <row r="479" spans="25:25" ht="10.5" customHeight="1">
      <c r="Y479" s="283"/>
    </row>
    <row r="480" spans="25:25" ht="10.5" customHeight="1">
      <c r="Y480" s="283"/>
    </row>
    <row r="481" spans="25:25" ht="10.5" customHeight="1">
      <c r="Y481" s="283"/>
    </row>
    <row r="482" spans="25:25" ht="10.5" customHeight="1">
      <c r="Y482" s="283"/>
    </row>
    <row r="483" spans="25:25" ht="10.5" customHeight="1">
      <c r="Y483" s="283"/>
    </row>
    <row r="484" spans="25:25" ht="10.5" customHeight="1">
      <c r="Y484" s="283"/>
    </row>
    <row r="485" spans="25:25" ht="10.5" customHeight="1">
      <c r="Y485" s="283"/>
    </row>
    <row r="486" spans="25:25" ht="10.5" customHeight="1">
      <c r="Y486" s="283"/>
    </row>
    <row r="487" spans="25:25" ht="10.5" customHeight="1">
      <c r="Y487" s="283"/>
    </row>
    <row r="488" spans="25:25" ht="10.5" customHeight="1">
      <c r="Y488" s="283"/>
    </row>
    <row r="489" spans="25:25" ht="10.5" customHeight="1">
      <c r="Y489" s="283"/>
    </row>
    <row r="490" spans="25:25" ht="10.5" customHeight="1">
      <c r="Y490" s="283"/>
    </row>
    <row r="491" spans="25:25" ht="10.5" customHeight="1">
      <c r="Y491" s="283"/>
    </row>
    <row r="492" spans="25:25" ht="10.5" customHeight="1">
      <c r="Y492" s="283"/>
    </row>
    <row r="493" spans="25:25" ht="10.5" customHeight="1">
      <c r="Y493" s="283"/>
    </row>
    <row r="494" spans="25:25" ht="10.5" customHeight="1">
      <c r="Y494" s="283"/>
    </row>
    <row r="495" spans="25:25" ht="10.5" customHeight="1">
      <c r="Y495" s="283"/>
    </row>
    <row r="496" spans="25:25" ht="10.5" customHeight="1">
      <c r="Y496" s="283"/>
    </row>
    <row r="497" spans="25:25" ht="10.5" customHeight="1">
      <c r="Y497" s="283"/>
    </row>
    <row r="498" spans="25:25" ht="10.5" customHeight="1">
      <c r="Y498" s="283"/>
    </row>
    <row r="499" spans="25:25" ht="10.5" customHeight="1">
      <c r="Y499" s="283"/>
    </row>
    <row r="500" spans="25:25" ht="10.5" customHeight="1">
      <c r="Y500" s="283"/>
    </row>
    <row r="501" spans="25:25" ht="10.5" customHeight="1">
      <c r="Y501" s="283"/>
    </row>
    <row r="502" spans="25:25" ht="10.5" customHeight="1">
      <c r="Y502" s="283"/>
    </row>
    <row r="503" spans="25:25" ht="10.5" customHeight="1">
      <c r="Y503" s="283"/>
    </row>
    <row r="504" spans="25:25" ht="10.5" customHeight="1">
      <c r="Y504" s="283"/>
    </row>
    <row r="505" spans="25:25" ht="10.5" customHeight="1">
      <c r="Y505" s="283"/>
    </row>
    <row r="506" spans="25:25" ht="10.5" customHeight="1">
      <c r="Y506" s="283"/>
    </row>
    <row r="507" spans="25:25" ht="10.5" customHeight="1">
      <c r="Y507" s="283"/>
    </row>
    <row r="508" spans="25:25" ht="10.5" customHeight="1">
      <c r="Y508" s="283"/>
    </row>
    <row r="509" spans="25:25" ht="10.5" customHeight="1">
      <c r="Y509" s="283"/>
    </row>
    <row r="510" spans="25:25" ht="10.5" customHeight="1">
      <c r="Y510" s="283"/>
    </row>
    <row r="511" spans="25:25" ht="10.5" customHeight="1">
      <c r="Y511" s="283"/>
    </row>
    <row r="512" spans="25:25" ht="10.5" customHeight="1">
      <c r="Y512" s="283"/>
    </row>
    <row r="513" spans="25:25" ht="10.5" customHeight="1">
      <c r="Y513" s="283"/>
    </row>
    <row r="514" spans="25:25" ht="10.5" customHeight="1">
      <c r="Y514" s="283"/>
    </row>
    <row r="515" spans="25:25" ht="10.5" customHeight="1">
      <c r="Y515" s="283"/>
    </row>
    <row r="516" spans="25:25" ht="10.5" customHeight="1">
      <c r="Y516" s="283"/>
    </row>
    <row r="517" spans="25:25" ht="10.5" customHeight="1">
      <c r="Y517" s="283"/>
    </row>
    <row r="518" spans="25:25" ht="10.5" customHeight="1">
      <c r="Y518" s="283"/>
    </row>
    <row r="519" spans="25:25" ht="10.5" customHeight="1">
      <c r="Y519" s="283"/>
    </row>
    <row r="520" spans="25:25" ht="10.5" customHeight="1">
      <c r="Y520" s="283"/>
    </row>
    <row r="521" spans="25:25" ht="10.5" customHeight="1">
      <c r="Y521" s="283"/>
    </row>
    <row r="522" spans="25:25" ht="10.5" customHeight="1">
      <c r="Y522" s="283"/>
    </row>
    <row r="523" spans="25:25" ht="10.5" customHeight="1">
      <c r="Y523" s="283"/>
    </row>
    <row r="524" spans="25:25" ht="10.5" customHeight="1">
      <c r="Y524" s="283"/>
    </row>
    <row r="525" spans="25:25" ht="10.5" customHeight="1">
      <c r="Y525" s="283"/>
    </row>
    <row r="526" spans="25:25" ht="10.5" customHeight="1">
      <c r="Y526" s="283"/>
    </row>
    <row r="527" spans="25:25" ht="10.5" customHeight="1">
      <c r="Y527" s="283"/>
    </row>
    <row r="528" spans="25:25" ht="10.5" customHeight="1">
      <c r="Y528" s="283"/>
    </row>
    <row r="529" spans="25:25" ht="10.5" customHeight="1">
      <c r="Y529" s="283"/>
    </row>
    <row r="530" spans="25:25" ht="10.5" customHeight="1">
      <c r="Y530" s="283"/>
    </row>
    <row r="531" spans="25:25" ht="10.5" customHeight="1">
      <c r="Y531" s="283"/>
    </row>
    <row r="532" spans="25:25" ht="10.5" customHeight="1">
      <c r="Y532" s="283"/>
    </row>
    <row r="533" spans="25:25" ht="10.5" customHeight="1">
      <c r="Y533" s="283"/>
    </row>
    <row r="534" spans="25:25" ht="10.5" customHeight="1">
      <c r="Y534" s="283"/>
    </row>
    <row r="535" spans="25:25" ht="10.5" customHeight="1">
      <c r="Y535" s="283"/>
    </row>
    <row r="536" spans="25:25" ht="10.5" customHeight="1">
      <c r="Y536" s="283"/>
    </row>
    <row r="537" spans="25:25" ht="10.5" customHeight="1">
      <c r="Y537" s="283"/>
    </row>
    <row r="538" spans="25:25" ht="10.5" customHeight="1">
      <c r="Y538" s="283"/>
    </row>
    <row r="539" spans="25:25" ht="10.5" customHeight="1">
      <c r="Y539" s="283"/>
    </row>
    <row r="540" spans="25:25" ht="10.5" customHeight="1">
      <c r="Y540" s="283"/>
    </row>
    <row r="541" spans="25:25" ht="10.5" customHeight="1">
      <c r="Y541" s="283"/>
    </row>
    <row r="542" spans="25:25" ht="10.5" customHeight="1">
      <c r="Y542" s="283"/>
    </row>
    <row r="543" spans="25:25" ht="10.5" customHeight="1">
      <c r="Y543" s="283"/>
    </row>
    <row r="544" spans="25:25" ht="10.5" customHeight="1">
      <c r="Y544" s="283"/>
    </row>
    <row r="545" spans="25:25" ht="10.5" customHeight="1">
      <c r="Y545" s="283"/>
    </row>
    <row r="546" spans="25:25" ht="10.5" customHeight="1">
      <c r="Y546" s="283"/>
    </row>
    <row r="547" spans="25:25" ht="10.5" customHeight="1">
      <c r="Y547" s="283"/>
    </row>
    <row r="548" spans="25:25" ht="10.5" customHeight="1">
      <c r="Y548" s="283"/>
    </row>
    <row r="549" spans="25:25" ht="10.5" customHeight="1">
      <c r="Y549" s="283"/>
    </row>
    <row r="550" spans="25:25" ht="10.5" customHeight="1">
      <c r="Y550" s="283"/>
    </row>
    <row r="551" spans="25:25" ht="10.5" customHeight="1">
      <c r="Y551" s="283"/>
    </row>
    <row r="552" spans="25:25" ht="10.5" customHeight="1">
      <c r="Y552" s="283"/>
    </row>
    <row r="553" spans="25:25" ht="10.5" customHeight="1">
      <c r="Y553" s="283"/>
    </row>
    <row r="554" spans="25:25" ht="10.5" customHeight="1">
      <c r="Y554" s="283"/>
    </row>
    <row r="555" spans="25:25" ht="10.5" customHeight="1">
      <c r="Y555" s="283"/>
    </row>
    <row r="556" spans="25:25" ht="10.5" customHeight="1">
      <c r="Y556" s="283"/>
    </row>
    <row r="557" spans="25:25" ht="10.5" customHeight="1">
      <c r="Y557" s="283"/>
    </row>
    <row r="558" spans="25:25" ht="10.5" customHeight="1">
      <c r="Y558" s="283"/>
    </row>
    <row r="559" spans="25:25" ht="10.5" customHeight="1">
      <c r="Y559" s="283"/>
    </row>
    <row r="560" spans="25:25" ht="10.5" customHeight="1">
      <c r="Y560" s="283"/>
    </row>
    <row r="561" spans="25:25" ht="10.5" customHeight="1">
      <c r="Y561" s="283"/>
    </row>
    <row r="562" spans="25:25" ht="10.5" customHeight="1">
      <c r="Y562" s="283"/>
    </row>
    <row r="563" spans="25:25" ht="10.5" customHeight="1">
      <c r="Y563" s="283"/>
    </row>
    <row r="564" spans="25:25" ht="10.5" customHeight="1">
      <c r="Y564" s="283"/>
    </row>
    <row r="565" spans="25:25" ht="10.5" customHeight="1">
      <c r="Y565" s="283"/>
    </row>
    <row r="566" spans="25:25" ht="10.5" customHeight="1">
      <c r="Y566" s="283"/>
    </row>
    <row r="567" spans="25:25" ht="10.5" customHeight="1">
      <c r="Y567" s="283"/>
    </row>
    <row r="568" spans="25:25" ht="10.5" customHeight="1">
      <c r="Y568" s="283"/>
    </row>
    <row r="569" spans="25:25" ht="10.5" customHeight="1">
      <c r="Y569" s="283"/>
    </row>
    <row r="570" spans="25:25" ht="10.5" customHeight="1">
      <c r="Y570" s="283"/>
    </row>
    <row r="571" spans="25:25" ht="10.5" customHeight="1">
      <c r="Y571" s="283"/>
    </row>
    <row r="572" spans="25:25" ht="10.5" customHeight="1">
      <c r="Y572" s="283"/>
    </row>
    <row r="573" spans="25:25" ht="10.5" customHeight="1">
      <c r="Y573" s="283"/>
    </row>
    <row r="574" spans="25:25" ht="10.5" customHeight="1">
      <c r="Y574" s="283"/>
    </row>
    <row r="575" spans="25:25" ht="10.5" customHeight="1">
      <c r="Y575" s="283"/>
    </row>
    <row r="576" spans="25:25" ht="10.5" customHeight="1">
      <c r="Y576" s="283"/>
    </row>
    <row r="577" spans="25:25" ht="10.5" customHeight="1">
      <c r="Y577" s="283"/>
    </row>
    <row r="578" spans="25:25" ht="10.5" customHeight="1">
      <c r="Y578" s="283"/>
    </row>
    <row r="579" spans="25:25" ht="10.5" customHeight="1">
      <c r="Y579" s="283"/>
    </row>
    <row r="580" spans="25:25" ht="10.5" customHeight="1">
      <c r="Y580" s="283"/>
    </row>
    <row r="581" spans="25:25" ht="10.5" customHeight="1">
      <c r="Y581" s="283"/>
    </row>
    <row r="582" spans="25:25" ht="10.5" customHeight="1">
      <c r="Y582" s="283"/>
    </row>
    <row r="583" spans="25:25" ht="10.5" customHeight="1">
      <c r="Y583" s="283"/>
    </row>
    <row r="584" spans="25:25" ht="10.5" customHeight="1">
      <c r="Y584" s="283"/>
    </row>
    <row r="585" spans="25:25" ht="10.5" customHeight="1">
      <c r="Y585" s="283"/>
    </row>
    <row r="586" spans="25:25" ht="10.5" customHeight="1">
      <c r="Y586" s="283"/>
    </row>
    <row r="587" spans="25:25" ht="10.5" customHeight="1">
      <c r="Y587" s="283"/>
    </row>
    <row r="588" spans="25:25" ht="10.5" customHeight="1">
      <c r="Y588" s="283"/>
    </row>
    <row r="589" spans="25:25" ht="10.5" customHeight="1">
      <c r="Y589" s="283"/>
    </row>
    <row r="590" spans="25:25" ht="10.5" customHeight="1">
      <c r="Y590" s="283"/>
    </row>
    <row r="591" spans="25:25" ht="10.5" customHeight="1">
      <c r="Y591" s="283"/>
    </row>
    <row r="592" spans="25:25" ht="10.5" customHeight="1">
      <c r="Y592" s="283"/>
    </row>
    <row r="593" spans="25:25" ht="10.5" customHeight="1">
      <c r="Y593" s="283"/>
    </row>
    <row r="594" spans="25:25" ht="10.5" customHeight="1">
      <c r="Y594" s="283"/>
    </row>
    <row r="595" spans="25:25" ht="10.5" customHeight="1">
      <c r="Y595" s="283"/>
    </row>
    <row r="596" spans="25:25" ht="10.5" customHeight="1">
      <c r="Y596" s="283"/>
    </row>
    <row r="597" spans="25:25" ht="10.5" customHeight="1">
      <c r="Y597" s="283"/>
    </row>
    <row r="598" spans="25:25" ht="10.5" customHeight="1">
      <c r="Y598" s="283"/>
    </row>
    <row r="599" spans="25:25" ht="10.5" customHeight="1">
      <c r="Y599" s="283"/>
    </row>
    <row r="600" spans="25:25" ht="10.5" customHeight="1">
      <c r="Y600" s="283"/>
    </row>
    <row r="601" spans="25:25" ht="10.5" customHeight="1">
      <c r="Y601" s="283"/>
    </row>
    <row r="602" spans="25:25" ht="10.5" customHeight="1">
      <c r="Y602" s="283"/>
    </row>
    <row r="603" spans="25:25" ht="10.5" customHeight="1">
      <c r="Y603" s="283"/>
    </row>
    <row r="604" spans="25:25" ht="10.5" customHeight="1">
      <c r="Y604" s="283"/>
    </row>
    <row r="605" spans="25:25" ht="10.5" customHeight="1">
      <c r="Y605" s="283"/>
    </row>
    <row r="606" spans="25:25" ht="10.5" customHeight="1">
      <c r="Y606" s="283"/>
    </row>
    <row r="607" spans="25:25" ht="10.5" customHeight="1">
      <c r="Y607" s="283"/>
    </row>
    <row r="608" spans="25:25" ht="10.5" customHeight="1">
      <c r="Y608" s="283"/>
    </row>
    <row r="609" spans="25:25" ht="10.5" customHeight="1">
      <c r="Y609" s="283"/>
    </row>
    <row r="610" spans="25:25" ht="10.5" customHeight="1">
      <c r="Y610" s="283"/>
    </row>
    <row r="611" spans="25:25" ht="10.5" customHeight="1">
      <c r="Y611" s="283"/>
    </row>
    <row r="612" spans="25:25" ht="10.5" customHeight="1">
      <c r="Y612" s="283"/>
    </row>
    <row r="613" spans="25:25" ht="10.5" customHeight="1">
      <c r="Y613" s="283"/>
    </row>
    <row r="614" spans="25:25" ht="10.5" customHeight="1">
      <c r="Y614" s="283"/>
    </row>
    <row r="615" spans="25:25" ht="10.5" customHeight="1">
      <c r="Y615" s="283"/>
    </row>
    <row r="616" spans="25:25" ht="10.5" customHeight="1">
      <c r="Y616" s="283"/>
    </row>
    <row r="617" spans="25:25" ht="10.5" customHeight="1">
      <c r="Y617" s="283"/>
    </row>
    <row r="618" spans="25:25" ht="10.5" customHeight="1">
      <c r="Y618" s="283"/>
    </row>
    <row r="619" spans="25:25" ht="10.5" customHeight="1">
      <c r="Y619" s="283"/>
    </row>
    <row r="620" spans="25:25" ht="10.5" customHeight="1">
      <c r="Y620" s="283"/>
    </row>
    <row r="621" spans="25:25" ht="10.5" customHeight="1">
      <c r="Y621" s="283"/>
    </row>
    <row r="622" spans="25:25" ht="10.5" customHeight="1">
      <c r="Y622" s="283"/>
    </row>
    <row r="623" spans="25:25" ht="10.5" customHeight="1">
      <c r="Y623" s="283"/>
    </row>
    <row r="624" spans="25:25" ht="10.5" customHeight="1">
      <c r="Y624" s="283"/>
    </row>
    <row r="625" spans="25:25" ht="10.5" customHeight="1">
      <c r="Y625" s="283"/>
    </row>
    <row r="626" spans="25:25" ht="10.5" customHeight="1">
      <c r="Y626" s="283"/>
    </row>
    <row r="627" spans="25:25" ht="10.5" customHeight="1">
      <c r="Y627" s="283"/>
    </row>
    <row r="628" spans="25:25" ht="10.5" customHeight="1">
      <c r="Y628" s="283"/>
    </row>
    <row r="629" spans="25:25" ht="10.5" customHeight="1">
      <c r="Y629" s="283"/>
    </row>
    <row r="630" spans="25:25" ht="10.5" customHeight="1">
      <c r="Y630" s="283"/>
    </row>
    <row r="631" spans="25:25" ht="10.5" customHeight="1">
      <c r="Y631" s="283"/>
    </row>
    <row r="632" spans="25:25" ht="10.5" customHeight="1">
      <c r="Y632" s="283"/>
    </row>
    <row r="633" spans="25:25" ht="10.5" customHeight="1">
      <c r="Y633" s="283"/>
    </row>
    <row r="634" spans="25:25" ht="10.5" customHeight="1">
      <c r="Y634" s="283"/>
    </row>
    <row r="635" spans="25:25" ht="10.5" customHeight="1">
      <c r="Y635" s="283"/>
    </row>
    <row r="636" spans="25:25" ht="10.5" customHeight="1">
      <c r="Y636" s="283"/>
    </row>
    <row r="637" spans="25:25" ht="10.5" customHeight="1">
      <c r="Y637" s="283"/>
    </row>
    <row r="638" spans="25:25" ht="10.5" customHeight="1">
      <c r="Y638" s="283"/>
    </row>
    <row r="639" spans="25:25" ht="10.5" customHeight="1">
      <c r="Y639" s="283"/>
    </row>
    <row r="640" spans="25:25" ht="10.5" customHeight="1">
      <c r="Y640" s="283"/>
    </row>
    <row r="641" spans="25:25" ht="10.5" customHeight="1">
      <c r="Y641" s="283"/>
    </row>
    <row r="642" spans="25:25" ht="10.5" customHeight="1">
      <c r="Y642" s="283"/>
    </row>
    <row r="643" spans="25:25" ht="10.5" customHeight="1">
      <c r="Y643" s="283"/>
    </row>
    <row r="644" spans="25:25" ht="10.5" customHeight="1">
      <c r="Y644" s="283"/>
    </row>
    <row r="645" spans="25:25" ht="10.5" customHeight="1">
      <c r="Y645" s="283"/>
    </row>
    <row r="646" spans="25:25" ht="10.5" customHeight="1">
      <c r="Y646" s="283"/>
    </row>
    <row r="647" spans="25:25" ht="10.5" customHeight="1">
      <c r="Y647" s="283"/>
    </row>
    <row r="648" spans="25:25" ht="10.5" customHeight="1">
      <c r="Y648" s="283"/>
    </row>
    <row r="649" spans="25:25" ht="10.5" customHeight="1">
      <c r="Y649" s="283"/>
    </row>
    <row r="650" spans="25:25" ht="10.5" customHeight="1">
      <c r="Y650" s="283"/>
    </row>
    <row r="651" spans="25:25" ht="10.5" customHeight="1">
      <c r="Y651" s="283"/>
    </row>
    <row r="652" spans="25:25" ht="10.5" customHeight="1">
      <c r="Y652" s="283"/>
    </row>
    <row r="653" spans="25:25" ht="10.5" customHeight="1">
      <c r="Y653" s="283"/>
    </row>
    <row r="654" spans="25:25" ht="10.5" customHeight="1">
      <c r="Y654" s="283"/>
    </row>
    <row r="655" spans="25:25" ht="10.5" customHeight="1">
      <c r="Y655" s="283"/>
    </row>
    <row r="656" spans="25:25" ht="10.5" customHeight="1">
      <c r="Y656" s="283"/>
    </row>
    <row r="657" spans="25:25" ht="10.5" customHeight="1">
      <c r="Y657" s="283"/>
    </row>
    <row r="658" spans="25:25" ht="10.5" customHeight="1">
      <c r="Y658" s="283"/>
    </row>
    <row r="659" spans="25:25" ht="10.5" customHeight="1">
      <c r="Y659" s="283"/>
    </row>
    <row r="660" spans="25:25" ht="10.5" customHeight="1">
      <c r="Y660" s="283"/>
    </row>
    <row r="661" spans="25:25" ht="10.5" customHeight="1">
      <c r="Y661" s="283"/>
    </row>
    <row r="662" spans="25:25" ht="10.5" customHeight="1">
      <c r="Y662" s="283"/>
    </row>
    <row r="663" spans="25:25" ht="10.5" customHeight="1">
      <c r="Y663" s="283"/>
    </row>
    <row r="664" spans="25:25" ht="10.5" customHeight="1">
      <c r="Y664" s="283"/>
    </row>
    <row r="665" spans="25:25" ht="10.5" customHeight="1">
      <c r="Y665" s="283"/>
    </row>
    <row r="666" spans="25:25" ht="10.5" customHeight="1">
      <c r="Y666" s="283"/>
    </row>
    <row r="667" spans="25:25" ht="10.5" customHeight="1">
      <c r="Y667" s="283"/>
    </row>
    <row r="668" spans="25:25" ht="10.5" customHeight="1">
      <c r="Y668" s="283"/>
    </row>
    <row r="669" spans="25:25" ht="10.5" customHeight="1">
      <c r="Y669" s="283"/>
    </row>
    <row r="670" spans="25:25" ht="10.5" customHeight="1">
      <c r="Y670" s="283"/>
    </row>
    <row r="671" spans="25:25" ht="10.5" customHeight="1">
      <c r="Y671" s="283"/>
    </row>
    <row r="672" spans="25:25" ht="10.5" customHeight="1">
      <c r="Y672" s="283"/>
    </row>
    <row r="673" spans="25:25" ht="10.5" customHeight="1">
      <c r="Y673" s="283"/>
    </row>
    <row r="674" spans="25:25" ht="10.5" customHeight="1">
      <c r="Y674" s="283"/>
    </row>
    <row r="675" spans="25:25" ht="10.5" customHeight="1">
      <c r="Y675" s="283"/>
    </row>
    <row r="676" spans="25:25" ht="10.5" customHeight="1">
      <c r="Y676" s="283"/>
    </row>
    <row r="677" spans="25:25" ht="10.5" customHeight="1">
      <c r="Y677" s="283"/>
    </row>
    <row r="678" spans="25:25" ht="10.5" customHeight="1">
      <c r="Y678" s="283"/>
    </row>
    <row r="679" spans="25:25" ht="10.5" customHeight="1">
      <c r="Y679" s="283"/>
    </row>
    <row r="680" spans="25:25" ht="10.5" customHeight="1">
      <c r="Y680" s="283"/>
    </row>
    <row r="681" spans="25:25" ht="10.5" customHeight="1">
      <c r="Y681" s="283"/>
    </row>
    <row r="682" spans="25:25" ht="10.5" customHeight="1">
      <c r="Y682" s="283"/>
    </row>
    <row r="683" spans="25:25" ht="10.5" customHeight="1">
      <c r="Y683" s="283"/>
    </row>
    <row r="684" spans="25:25" ht="10.5" customHeight="1">
      <c r="Y684" s="283"/>
    </row>
    <row r="685" spans="25:25" ht="10.5" customHeight="1">
      <c r="Y685" s="283"/>
    </row>
    <row r="686" spans="25:25" ht="10.5" customHeight="1">
      <c r="Y686" s="283"/>
    </row>
    <row r="687" spans="25:25" ht="10.5" customHeight="1">
      <c r="Y687" s="283"/>
    </row>
    <row r="688" spans="25:25" ht="10.5" customHeight="1">
      <c r="Y688" s="283"/>
    </row>
    <row r="689" spans="25:25" ht="10.5" customHeight="1">
      <c r="Y689" s="283"/>
    </row>
    <row r="690" spans="25:25" ht="10.5" customHeight="1">
      <c r="Y690" s="283"/>
    </row>
    <row r="691" spans="25:25" ht="10.5" customHeight="1">
      <c r="Y691" s="283"/>
    </row>
    <row r="692" spans="25:25" ht="10.5" customHeight="1">
      <c r="Y692" s="283"/>
    </row>
    <row r="693" spans="25:25" ht="10.5" customHeight="1">
      <c r="Y693" s="283"/>
    </row>
    <row r="694" spans="25:25" ht="10.5" customHeight="1">
      <c r="Y694" s="283"/>
    </row>
    <row r="695" spans="25:25" ht="10.5" customHeight="1">
      <c r="Y695" s="283"/>
    </row>
    <row r="696" spans="25:25" ht="10.5" customHeight="1">
      <c r="Y696" s="283"/>
    </row>
    <row r="697" spans="25:25" ht="10.5" customHeight="1">
      <c r="Y697" s="283"/>
    </row>
    <row r="698" spans="25:25" ht="10.5" customHeight="1">
      <c r="Y698" s="283"/>
    </row>
    <row r="699" spans="25:25" ht="10.5" customHeight="1">
      <c r="Y699" s="283"/>
    </row>
    <row r="700" spans="25:25" ht="10.5" customHeight="1">
      <c r="Y700" s="283"/>
    </row>
    <row r="701" spans="25:25" ht="10.5" customHeight="1">
      <c r="Y701" s="283"/>
    </row>
    <row r="702" spans="25:25" ht="10.5" customHeight="1">
      <c r="Y702" s="283"/>
    </row>
    <row r="703" spans="25:25" ht="10.5" customHeight="1">
      <c r="Y703" s="283"/>
    </row>
    <row r="704" spans="25:25" ht="10.5" customHeight="1">
      <c r="Y704" s="283"/>
    </row>
    <row r="705" spans="25:25" ht="10.5" customHeight="1">
      <c r="Y705" s="283"/>
    </row>
  </sheetData>
  <pageMargins left="0.7" right="0.7" top="0.75" bottom="0.75" header="0.3" footer="0.3"/>
  <pageSetup orientation="portrait" horizontalDpi="300" verticalDpi="300" r:id="rId1"/>
  <ignoredErrors>
    <ignoredError sqref="E146:Q146 AA146 H181:P182 H183:P184 E108:Q108 Z108:AF108 R146 Q183:Q184 Q181:Q182 Q186:R187 R181:R182 R183:R184 S146:T146 S181:T183 S215:T222 S184 U146 U181:U184 S186:S187" formulaRange="1"/>
    <ignoredError sqref="E203 I189 M189 AN236:AR236 AB133:AD133 AB98:AD98 Z109:AE109 AB123:AE123 AE71:AE79 I213 M213 M229:M230 I229:I230 M232:M233 I232:I233 E215:M225 E227:M227 F193:M199 F200:M211 O193:P199 E190:M192 AB227:AE227 AB192:AE192 O192:P192 E214:M214 R189:R191 R214 R213 R200:R211 R193:R199 R192 R226:S226 R228:S237 R227:S227 T277:T281 AB102:AD102 Z114:AE114 Z111:AA112 Z110:AD110 Z113:AA113 AB136:AD136 AB139:AD139 AB203:AE203 AB211:AE211 AB214:AE214 AB220:AE221 O215:P225 O227:P227 O200:P211 O214:P214" formula="1"/>
    <ignoredError sqref="R188:S188 S192 S193:S199 S200:S211 S213 S214 S189:S191 T193:T199 T200:T211 T213 T214 T189:T191 T192 T184 T186:T188" formula="1" formulaRange="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286F-25C8-4AC3-8B01-39AB383753CE}">
  <sheetPr codeName="Sheet7"/>
  <dimension ref="A1:AX716"/>
  <sheetViews>
    <sheetView showGridLines="0" zoomScaleNormal="100" workbookViewId="0">
      <pane xSplit="4" ySplit="6" topLeftCell="S7" activePane="bottomRight" state="frozen"/>
      <selection activeCell="M22" sqref="M22"/>
      <selection pane="topRight" activeCell="M22" sqref="M22"/>
      <selection pane="bottomLeft" activeCell="M22" sqref="M22"/>
      <selection pane="bottomRight" activeCell="Y564" sqref="Y564"/>
    </sheetView>
  </sheetViews>
  <sheetFormatPr defaultColWidth="9.19921875" defaultRowHeight="10.5" outlineLevelRow="1" outlineLevelCol="1"/>
  <cols>
    <col min="1" max="1" width="1.73046875" style="283" customWidth="1"/>
    <col min="2" max="2" width="1.73046875" style="281" customWidth="1"/>
    <col min="3" max="3" width="35.73046875" style="281" customWidth="1"/>
    <col min="4" max="4" width="9.19921875" style="293" customWidth="1" collapsed="1"/>
    <col min="5" max="12" width="9.19921875" style="305" hidden="1" customWidth="1" outlineLevel="1"/>
    <col min="13" max="13" width="9.19921875" style="305" customWidth="1" collapsed="1"/>
    <col min="14" max="21" width="9.19921875" style="305" customWidth="1"/>
    <col min="22" max="24" width="9.19921875" style="305" customWidth="1" outlineLevel="1"/>
    <col min="25" max="25" width="9.19921875" style="305"/>
    <col min="26" max="27" width="9.19921875" style="305" customWidth="1" outlineLevel="1"/>
    <col min="28" max="48" width="9.19921875" style="305" customWidth="1"/>
    <col min="49" max="16384" width="9.19921875" style="305"/>
  </cols>
  <sheetData>
    <row r="1" spans="1:48" s="281" customFormat="1">
      <c r="A1" s="194" t="str">
        <f ca="1">+'One Pager - 1'!$D$2</f>
        <v>Hecla Mining Co</v>
      </c>
      <c r="D1" s="503" t="s">
        <v>518</v>
      </c>
      <c r="E1" s="427">
        <f t="shared" ref="E1:Q1" si="0">+E144/(E133/10^3)</f>
        <v>16.84083493667594</v>
      </c>
      <c r="F1" s="427">
        <f t="shared" si="0"/>
        <v>16.607210619625075</v>
      </c>
      <c r="G1" s="427">
        <f t="shared" si="0"/>
        <v>14.683918503460339</v>
      </c>
      <c r="H1" s="427">
        <f t="shared" si="0"/>
        <v>14.576529544753841</v>
      </c>
      <c r="I1" s="427">
        <f t="shared" si="0"/>
        <v>15.70210376997484</v>
      </c>
      <c r="J1" s="427">
        <f t="shared" si="0"/>
        <v>15.007942657403953</v>
      </c>
      <c r="K1" s="427">
        <f t="shared" si="0"/>
        <v>18.178959829192664</v>
      </c>
      <c r="L1" s="427">
        <f t="shared" si="0"/>
        <v>17.465059503432478</v>
      </c>
      <c r="M1" s="427">
        <f t="shared" si="0"/>
        <v>14.5499326176867</v>
      </c>
      <c r="N1" s="427">
        <f t="shared" si="0"/>
        <v>18.442119320715076</v>
      </c>
      <c r="O1" s="427">
        <f t="shared" si="0"/>
        <v>25.32023661539322</v>
      </c>
      <c r="P1" s="427">
        <f t="shared" si="0"/>
        <v>25.159931225700507</v>
      </c>
      <c r="Q1" s="427">
        <f t="shared" si="0"/>
        <v>25.663154594434047</v>
      </c>
      <c r="R1" s="427">
        <f t="shared" ref="R1" si="1">+R144/(R133/10^3)</f>
        <v>27.160292130146882</v>
      </c>
      <c r="S1" s="427">
        <f t="shared" ref="S1:T1" si="2">+S144/(S133/10^3)</f>
        <v>23.97266906561206</v>
      </c>
      <c r="T1" s="427">
        <f t="shared" si="2"/>
        <v>23.490546964405677</v>
      </c>
      <c r="U1" s="427">
        <f>+U144/(U133/10^3)</f>
        <v>24.68386037535603</v>
      </c>
      <c r="V1" s="578">
        <f>SUMIF(Price!$J$6:$O$6,Segment!V$6,Price!$J7:$O7)</f>
        <v>21.715</v>
      </c>
      <c r="W1" s="578">
        <f>SUMIF(Price!$J$6:$O$6,Segment!W$6,Price!$J7:$O7)</f>
        <v>21.855</v>
      </c>
      <c r="X1" s="578">
        <f>SUMIF(Price!$J$6:$O$6,Segment!X$6,Price!$J7:$O7)</f>
        <v>22.094999999999999</v>
      </c>
      <c r="Y1" s="283"/>
      <c r="Z1" s="427">
        <f t="shared" ref="Z1:AE2" si="3">+Z144/(Z133/10^3)</f>
        <v>17.155499445336481</v>
      </c>
      <c r="AA1" s="427">
        <f t="shared" si="3"/>
        <v>17.226432355659998</v>
      </c>
      <c r="AB1" s="427">
        <f t="shared" si="3"/>
        <v>15.625997837781764</v>
      </c>
      <c r="AC1" s="427">
        <f t="shared" si="3"/>
        <v>16.646067805395617</v>
      </c>
      <c r="AD1" s="427">
        <f t="shared" si="3"/>
        <v>21.146493999593854</v>
      </c>
      <c r="AE1" s="427">
        <f t="shared" si="3"/>
        <v>25.240759641602981</v>
      </c>
      <c r="AF1" s="427">
        <f>+AF144/(AF133/10^3)</f>
        <v>22.484386577809754</v>
      </c>
      <c r="AG1" s="578">
        <f>SUMIF(Price!$J$6:$O$6,Segment!AG$6,Price!$J7:$O7)</f>
        <v>22.312666666666669</v>
      </c>
      <c r="AH1" s="578">
        <f>SUMIF(Price!$J$6:$O$6,Segment!AH$6,Price!$J7:$O7)</f>
        <v>22.83775</v>
      </c>
    </row>
    <row r="2" spans="1:48" s="281" customFormat="1">
      <c r="A2" s="534" t="str">
        <f>+Financials!A2</f>
        <v>(All Values in US$ millions)</v>
      </c>
      <c r="D2" s="503" t="s">
        <v>519</v>
      </c>
      <c r="E2" s="427">
        <f t="shared" ref="E2:Q2" si="4">+E145/(E134/10^3)</f>
        <v>1331.9717719141486</v>
      </c>
      <c r="F2" s="427">
        <f t="shared" si="4"/>
        <v>1301.6615529064602</v>
      </c>
      <c r="G2" s="427">
        <f t="shared" si="4"/>
        <v>1205.0519192626298</v>
      </c>
      <c r="H2" s="427">
        <f t="shared" si="4"/>
        <v>1237.1506560377186</v>
      </c>
      <c r="I2" s="427">
        <f t="shared" si="4"/>
        <v>1307.5850072206906</v>
      </c>
      <c r="J2" s="427">
        <f t="shared" si="4"/>
        <v>1322.0017927511967</v>
      </c>
      <c r="K2" s="427">
        <f t="shared" si="4"/>
        <v>1489.2345183486241</v>
      </c>
      <c r="L2" s="427">
        <f t="shared" si="4"/>
        <v>1488.4321178844618</v>
      </c>
      <c r="M2" s="427">
        <f t="shared" si="4"/>
        <v>1588.2528063324169</v>
      </c>
      <c r="N2" s="427">
        <f t="shared" si="4"/>
        <v>1735.74333132284</v>
      </c>
      <c r="O2" s="427">
        <f t="shared" si="4"/>
        <v>1928.6385896180216</v>
      </c>
      <c r="P2" s="427">
        <f t="shared" si="4"/>
        <v>1803.3330242907468</v>
      </c>
      <c r="Q2" s="427">
        <f t="shared" si="4"/>
        <v>1770.2056348846143</v>
      </c>
      <c r="R2" s="427">
        <f t="shared" ref="R2" si="5">+R145/(R134/10^3)</f>
        <v>1824.9623677571183</v>
      </c>
      <c r="S2" s="427">
        <f t="shared" ref="S2" si="6">+S145/(S134/10^3)</f>
        <v>1792.117129865474</v>
      </c>
      <c r="T2" s="427">
        <f>+T145/(T134/10^3)</f>
        <v>1801.9929792775445</v>
      </c>
      <c r="U2" s="427">
        <f>+U145/(U134/10^3)</f>
        <v>1879.7164640830149</v>
      </c>
      <c r="V2" s="578">
        <f>SUMIF(Price!$J$6:$O$6,Segment!V$6,Price!$J8:$O8)</f>
        <v>1825.5</v>
      </c>
      <c r="W2" s="578">
        <f>SUMIF(Price!$J$6:$O$6,Segment!W$6,Price!$J8:$O8)</f>
        <v>1833.3999999999999</v>
      </c>
      <c r="X2" s="578">
        <f>SUMIF(Price!$J$6:$O$6,Segment!X$6,Price!$J8:$O8)</f>
        <v>1844.65</v>
      </c>
      <c r="Y2" s="283"/>
      <c r="Z2" s="427">
        <f t="shared" si="3"/>
        <v>1245.4919970284325</v>
      </c>
      <c r="AA2" s="427">
        <f t="shared" si="3"/>
        <v>1261.4116373920674</v>
      </c>
      <c r="AB2" s="427">
        <f t="shared" si="3"/>
        <v>1264.8104456869526</v>
      </c>
      <c r="AC2" s="427">
        <f t="shared" si="3"/>
        <v>1412.7950730570535</v>
      </c>
      <c r="AD2" s="427">
        <f t="shared" si="3"/>
        <v>1757.1610407806841</v>
      </c>
      <c r="AE2" s="427">
        <f t="shared" si="3"/>
        <v>1795.7382854932073</v>
      </c>
      <c r="AF2" s="427">
        <f t="shared" ref="AF2" si="7">+AF145/(AF134/10^3)</f>
        <v>1845.7097415607777</v>
      </c>
      <c r="AG2" s="578">
        <f>SUMIF(Price!$J$6:$O$6,Segment!AG$6,Price!$J8:$O8)</f>
        <v>1873.8500000000001</v>
      </c>
      <c r="AH2" s="578">
        <f>SUMIF(Price!$J$6:$O$6,Segment!AH$6,Price!$J8:$O8)</f>
        <v>1920.2</v>
      </c>
    </row>
    <row r="3" spans="1:48" s="281" customFormat="1">
      <c r="D3" s="503" t="s">
        <v>521</v>
      </c>
      <c r="E3" s="427">
        <f t="shared" ref="E3:Q3" si="8">E146/(E135*2)</f>
        <v>1.4899544734758514</v>
      </c>
      <c r="F3" s="427">
        <f t="shared" si="8"/>
        <v>1.2921853065044457</v>
      </c>
      <c r="G3" s="427">
        <f t="shared" si="8"/>
        <v>1.1306830424477483</v>
      </c>
      <c r="H3" s="427">
        <f t="shared" si="8"/>
        <v>1.1457835253205824</v>
      </c>
      <c r="I3" s="427">
        <f t="shared" si="8"/>
        <v>1.2983845589006608</v>
      </c>
      <c r="J3" s="427">
        <f t="shared" si="8"/>
        <v>1.1680749261936272</v>
      </c>
      <c r="K3" s="427">
        <f t="shared" si="8"/>
        <v>0.97055090124397048</v>
      </c>
      <c r="L3" s="427">
        <f t="shared" si="8"/>
        <v>1.0975218178824304</v>
      </c>
      <c r="M3" s="427">
        <f t="shared" si="8"/>
        <v>0.87982919886132582</v>
      </c>
      <c r="N3" s="427">
        <f t="shared" si="8"/>
        <v>0.89477854700141779</v>
      </c>
      <c r="O3" s="427">
        <f t="shared" si="8"/>
        <v>1.0385898231461372</v>
      </c>
      <c r="P3" s="427">
        <f t="shared" si="8"/>
        <v>1.2690422971114164</v>
      </c>
      <c r="Q3" s="427">
        <f t="shared" si="8"/>
        <v>1.323614763761676</v>
      </c>
      <c r="R3" s="427">
        <f t="shared" ref="R3" si="9">R146/(R135*2)</f>
        <v>1.347675879396985</v>
      </c>
      <c r="S3" s="427">
        <f t="shared" ref="S3:T3" si="10">S146/(S135*2)</f>
        <v>1.3546178628960086</v>
      </c>
      <c r="T3" s="427">
        <f t="shared" si="10"/>
        <v>1.7404687803929195</v>
      </c>
      <c r="U3" s="427">
        <f t="shared" ref="U3" si="11">U146/(U135*2)</f>
        <v>1.7913943902684224</v>
      </c>
      <c r="V3" s="479">
        <f t="shared" ref="V3:V4" si="12">+U3</f>
        <v>1.7913943902684224</v>
      </c>
      <c r="W3" s="479">
        <f t="shared" ref="W3:W4" si="13">+V3</f>
        <v>1.7913943902684224</v>
      </c>
      <c r="X3" s="479">
        <f t="shared" ref="X3:X4" si="14">+W3</f>
        <v>1.7913943902684224</v>
      </c>
      <c r="Y3" s="283"/>
      <c r="Z3" s="427">
        <f t="shared" ref="Z3:AE4" si="15">Z146/(Z135*2)</f>
        <v>0.95435926268021376</v>
      </c>
      <c r="AA3" s="427">
        <f t="shared" si="15"/>
        <v>1.3222366280252185</v>
      </c>
      <c r="AB3" s="427">
        <f t="shared" si="15"/>
        <v>1.2705930282891555</v>
      </c>
      <c r="AC3" s="427">
        <f t="shared" si="15"/>
        <v>1.1383443372270188</v>
      </c>
      <c r="AD3" s="427">
        <f t="shared" si="15"/>
        <v>1.0255345314893525</v>
      </c>
      <c r="AE3" s="427">
        <f t="shared" si="15"/>
        <v>1.4359456299997708</v>
      </c>
      <c r="AF3" s="427">
        <f t="shared" ref="AF3" ca="1" si="16">AF146/(AF135*2)</f>
        <v>1.7913943902684224</v>
      </c>
      <c r="AG3" s="479">
        <f t="shared" ref="AG3:AH4" ca="1" si="17">+AF3</f>
        <v>1.7913943902684224</v>
      </c>
      <c r="AH3" s="479">
        <f t="shared" ca="1" si="17"/>
        <v>1.7913943902684224</v>
      </c>
      <c r="AJ3" s="283"/>
      <c r="AK3" s="283"/>
      <c r="AL3" s="283"/>
      <c r="AM3" s="283"/>
      <c r="AN3" s="283"/>
      <c r="AO3" s="283"/>
      <c r="AP3" s="283"/>
      <c r="AQ3" s="283"/>
      <c r="AR3" s="283"/>
      <c r="AS3" s="283"/>
      <c r="AT3" s="283"/>
      <c r="AU3" s="283"/>
      <c r="AV3" s="283"/>
    </row>
    <row r="4" spans="1:48" s="281" customFormat="1">
      <c r="D4" s="503" t="s">
        <v>520</v>
      </c>
      <c r="E4" s="427">
        <f t="shared" ref="E4:Q4" si="18">E147/(E136*2)</f>
        <v>1.1927352637021718</v>
      </c>
      <c r="F4" s="427">
        <f t="shared" si="18"/>
        <v>1.1262115465655289</v>
      </c>
      <c r="G4" s="427">
        <f t="shared" si="18"/>
        <v>0.94731560461615649</v>
      </c>
      <c r="H4" s="427">
        <f t="shared" si="18"/>
        <v>0.87991145545102378</v>
      </c>
      <c r="I4" s="427">
        <f t="shared" si="18"/>
        <v>0.93079620462046198</v>
      </c>
      <c r="J4" s="427">
        <f t="shared" si="18"/>
        <v>0.84153419126924045</v>
      </c>
      <c r="K4" s="427">
        <f t="shared" si="18"/>
        <v>0.93212788259958068</v>
      </c>
      <c r="L4" s="427">
        <f t="shared" si="18"/>
        <v>0.91080207894367171</v>
      </c>
      <c r="M4" s="427">
        <f t="shared" si="18"/>
        <v>0.77723970944309928</v>
      </c>
      <c r="N4" s="427">
        <f t="shared" si="18"/>
        <v>0.77585347620234246</v>
      </c>
      <c r="O4" s="427">
        <f t="shared" si="18"/>
        <v>0.857821121519312</v>
      </c>
      <c r="P4" s="427">
        <f t="shared" si="18"/>
        <v>0.90259882070321051</v>
      </c>
      <c r="Q4" s="427">
        <f t="shared" si="18"/>
        <v>0.91676280572219671</v>
      </c>
      <c r="R4" s="427">
        <f t="shared" ref="R4" si="19">R147/(R136*2)</f>
        <v>1.041963615903976</v>
      </c>
      <c r="S4" s="427">
        <f t="shared" ref="S4:T4" si="20">S147/(S136*2)</f>
        <v>1.0233163554046405</v>
      </c>
      <c r="T4" s="427">
        <f t="shared" si="20"/>
        <v>1.1260538641686177</v>
      </c>
      <c r="U4" s="427">
        <f t="shared" ref="U4" si="21">U147/(U136*2)</f>
        <v>1.0804064501877624</v>
      </c>
      <c r="V4" s="479">
        <f t="shared" si="12"/>
        <v>1.0804064501877624</v>
      </c>
      <c r="W4" s="479">
        <f t="shared" si="13"/>
        <v>1.0804064501877624</v>
      </c>
      <c r="X4" s="479">
        <f t="shared" si="14"/>
        <v>1.0804064501877624</v>
      </c>
      <c r="Y4" s="283"/>
      <c r="Z4" s="427">
        <f t="shared" si="15"/>
        <v>0.8521282550174577</v>
      </c>
      <c r="AA4" s="427">
        <f t="shared" si="15"/>
        <v>1.0577083681309505</v>
      </c>
      <c r="AB4" s="427">
        <f t="shared" si="15"/>
        <v>1.0432034044652769</v>
      </c>
      <c r="AC4" s="427">
        <f t="shared" si="15"/>
        <v>0.90593031500050636</v>
      </c>
      <c r="AD4" s="427">
        <f t="shared" si="15"/>
        <v>0.83787405091558742</v>
      </c>
      <c r="AE4" s="427">
        <f t="shared" si="15"/>
        <v>1.0274743236984769</v>
      </c>
      <c r="AF4" s="427">
        <f t="shared" ref="AF4" ca="1" si="22">AF147/(AF136*2)</f>
        <v>1.0804064501877624</v>
      </c>
      <c r="AG4" s="479">
        <f t="shared" ca="1" si="17"/>
        <v>1.0804064501877624</v>
      </c>
      <c r="AH4" s="479">
        <f t="shared" ca="1" si="17"/>
        <v>1.0804064501877624</v>
      </c>
      <c r="AJ4" s="283"/>
      <c r="AK4" s="283"/>
      <c r="AL4" s="283"/>
      <c r="AM4" s="283"/>
      <c r="AN4" s="283"/>
      <c r="AO4" s="283"/>
      <c r="AP4" s="283"/>
      <c r="AQ4" s="283"/>
      <c r="AR4" s="283"/>
      <c r="AS4" s="283"/>
      <c r="AT4" s="283"/>
      <c r="AU4" s="283"/>
      <c r="AV4" s="283"/>
    </row>
    <row r="5" spans="1:48" s="281" customFormat="1" ht="12.75" customHeight="1">
      <c r="B5" s="304"/>
      <c r="C5" s="304" t="s">
        <v>57</v>
      </c>
      <c r="D5" s="484" t="s">
        <v>595</v>
      </c>
      <c r="E5" s="303">
        <f t="shared" ref="E5:X5" si="23">YEAR(E6)</f>
        <v>2018</v>
      </c>
      <c r="F5" s="302">
        <f t="shared" si="23"/>
        <v>2018</v>
      </c>
      <c r="G5" s="301">
        <f t="shared" si="23"/>
        <v>2018</v>
      </c>
      <c r="H5" s="300">
        <f t="shared" si="23"/>
        <v>2018</v>
      </c>
      <c r="I5" s="303">
        <f t="shared" si="23"/>
        <v>2019</v>
      </c>
      <c r="J5" s="302">
        <f t="shared" si="23"/>
        <v>2019</v>
      </c>
      <c r="K5" s="301">
        <f t="shared" si="23"/>
        <v>2019</v>
      </c>
      <c r="L5" s="300">
        <f t="shared" si="23"/>
        <v>2019</v>
      </c>
      <c r="M5" s="303">
        <f t="shared" si="23"/>
        <v>2020</v>
      </c>
      <c r="N5" s="302">
        <f t="shared" si="23"/>
        <v>2020</v>
      </c>
      <c r="O5" s="301">
        <f t="shared" si="23"/>
        <v>2020</v>
      </c>
      <c r="P5" s="300">
        <f t="shared" si="23"/>
        <v>2020</v>
      </c>
      <c r="Q5" s="303">
        <f t="shared" si="23"/>
        <v>2021</v>
      </c>
      <c r="R5" s="302">
        <f t="shared" si="23"/>
        <v>2021</v>
      </c>
      <c r="S5" s="301">
        <f t="shared" si="23"/>
        <v>2021</v>
      </c>
      <c r="T5" s="300">
        <f t="shared" si="23"/>
        <v>2021</v>
      </c>
      <c r="U5" s="303">
        <f t="shared" si="23"/>
        <v>2022</v>
      </c>
      <c r="V5" s="302">
        <f t="shared" si="23"/>
        <v>2022</v>
      </c>
      <c r="W5" s="301">
        <f t="shared" si="23"/>
        <v>2022</v>
      </c>
      <c r="X5" s="300">
        <f t="shared" si="23"/>
        <v>2022</v>
      </c>
      <c r="Y5" s="486"/>
      <c r="Z5" s="299">
        <f t="shared" ref="Z5:AH5" si="24">YEAR(Z6)</f>
        <v>2016</v>
      </c>
      <c r="AA5" s="299">
        <f t="shared" si="24"/>
        <v>2017</v>
      </c>
      <c r="AB5" s="299">
        <f t="shared" si="24"/>
        <v>2018</v>
      </c>
      <c r="AC5" s="299">
        <f t="shared" si="24"/>
        <v>2019</v>
      </c>
      <c r="AD5" s="299">
        <f t="shared" si="24"/>
        <v>2020</v>
      </c>
      <c r="AE5" s="299">
        <f t="shared" si="24"/>
        <v>2021</v>
      </c>
      <c r="AF5" s="298">
        <f t="shared" si="24"/>
        <v>2022</v>
      </c>
      <c r="AG5" s="298">
        <f t="shared" si="24"/>
        <v>2023</v>
      </c>
      <c r="AH5" s="298">
        <f t="shared" si="24"/>
        <v>2024</v>
      </c>
      <c r="AI5" s="297"/>
      <c r="AJ5" s="296" t="s">
        <v>240</v>
      </c>
      <c r="AK5" s="295"/>
      <c r="AL5" s="295"/>
      <c r="AM5" s="295"/>
      <c r="AN5" s="295"/>
      <c r="AO5" s="295"/>
      <c r="AP5" s="295"/>
      <c r="AQ5" s="295"/>
      <c r="AR5" s="295"/>
      <c r="AS5" s="295"/>
      <c r="AT5" s="295"/>
      <c r="AU5" s="295"/>
      <c r="AV5" s="295"/>
    </row>
    <row r="6" spans="1:48" s="288" customFormat="1" ht="12.75" customHeight="1">
      <c r="A6" s="281"/>
      <c r="B6" s="290"/>
      <c r="C6" s="290" t="s">
        <v>239</v>
      </c>
      <c r="D6" s="290"/>
      <c r="E6" s="290">
        <v>43190</v>
      </c>
      <c r="F6" s="290">
        <f t="shared" ref="F6:T6" si="25">+EOMONTH(E6,3)</f>
        <v>43281</v>
      </c>
      <c r="G6" s="290">
        <f t="shared" si="25"/>
        <v>43373</v>
      </c>
      <c r="H6" s="289">
        <f t="shared" si="25"/>
        <v>43465</v>
      </c>
      <c r="I6" s="290">
        <f t="shared" si="25"/>
        <v>43555</v>
      </c>
      <c r="J6" s="290">
        <f t="shared" si="25"/>
        <v>43646</v>
      </c>
      <c r="K6" s="290">
        <f t="shared" si="25"/>
        <v>43738</v>
      </c>
      <c r="L6" s="290">
        <f t="shared" si="25"/>
        <v>43830</v>
      </c>
      <c r="M6" s="290">
        <f t="shared" si="25"/>
        <v>43921</v>
      </c>
      <c r="N6" s="290">
        <f t="shared" si="25"/>
        <v>44012</v>
      </c>
      <c r="O6" s="290">
        <f t="shared" si="25"/>
        <v>44104</v>
      </c>
      <c r="P6" s="290">
        <f t="shared" si="25"/>
        <v>44196</v>
      </c>
      <c r="Q6" s="294">
        <f t="shared" si="25"/>
        <v>44286</v>
      </c>
      <c r="R6" s="294">
        <f t="shared" si="25"/>
        <v>44377</v>
      </c>
      <c r="S6" s="294">
        <f t="shared" si="25"/>
        <v>44469</v>
      </c>
      <c r="T6" s="294">
        <f t="shared" si="25"/>
        <v>44561</v>
      </c>
      <c r="U6" s="294">
        <f t="shared" ref="U6" si="26">+EOMONTH(T6,3)</f>
        <v>44651</v>
      </c>
      <c r="V6" s="294">
        <f t="shared" ref="V6" si="27">+EOMONTH(U6,3)</f>
        <v>44742</v>
      </c>
      <c r="W6" s="294">
        <f t="shared" ref="W6" si="28">+EOMONTH(V6,3)</f>
        <v>44834</v>
      </c>
      <c r="X6" s="294">
        <f t="shared" ref="X6" si="29">+EOMONTH(W6,3)</f>
        <v>44926</v>
      </c>
      <c r="Y6" s="486"/>
      <c r="Z6" s="289">
        <v>42735</v>
      </c>
      <c r="AA6" s="289">
        <f t="shared" ref="AA6:AH6" si="30">EOMONTH(Z6,12)</f>
        <v>43100</v>
      </c>
      <c r="AB6" s="289">
        <f t="shared" si="30"/>
        <v>43465</v>
      </c>
      <c r="AC6" s="289">
        <f t="shared" si="30"/>
        <v>43830</v>
      </c>
      <c r="AD6" s="289">
        <f t="shared" si="30"/>
        <v>44196</v>
      </c>
      <c r="AE6" s="289">
        <f t="shared" si="30"/>
        <v>44561</v>
      </c>
      <c r="AF6" s="289">
        <f t="shared" si="30"/>
        <v>44926</v>
      </c>
      <c r="AG6" s="292">
        <f t="shared" si="30"/>
        <v>45291</v>
      </c>
      <c r="AH6" s="292">
        <f t="shared" si="30"/>
        <v>45657</v>
      </c>
      <c r="AI6" s="291"/>
      <c r="AJ6" s="290">
        <v>43190</v>
      </c>
      <c r="AK6" s="289">
        <f t="shared" ref="AK6:AV6" si="31">+EOMONTH(AJ6,3)</f>
        <v>43281</v>
      </c>
      <c r="AL6" s="289">
        <f t="shared" si="31"/>
        <v>43373</v>
      </c>
      <c r="AM6" s="289">
        <f t="shared" si="31"/>
        <v>43465</v>
      </c>
      <c r="AN6" s="289">
        <f t="shared" si="31"/>
        <v>43555</v>
      </c>
      <c r="AO6" s="289">
        <f t="shared" si="31"/>
        <v>43646</v>
      </c>
      <c r="AP6" s="289">
        <f t="shared" si="31"/>
        <v>43738</v>
      </c>
      <c r="AQ6" s="289">
        <f t="shared" si="31"/>
        <v>43830</v>
      </c>
      <c r="AR6" s="290">
        <f t="shared" si="31"/>
        <v>43921</v>
      </c>
      <c r="AS6" s="290">
        <f t="shared" si="31"/>
        <v>44012</v>
      </c>
      <c r="AT6" s="290">
        <f t="shared" si="31"/>
        <v>44104</v>
      </c>
      <c r="AU6" s="289">
        <f t="shared" si="31"/>
        <v>44196</v>
      </c>
      <c r="AV6" s="289">
        <f t="shared" si="31"/>
        <v>44286</v>
      </c>
    </row>
    <row r="7" spans="1:48" s="281" customFormat="1">
      <c r="D7" s="293" t="s">
        <v>447</v>
      </c>
      <c r="M7" s="793"/>
      <c r="Y7" s="283"/>
    </row>
    <row r="8" spans="1:48" s="283" customFormat="1">
      <c r="A8" s="286" t="s">
        <v>137</v>
      </c>
      <c r="B8" s="286" t="s">
        <v>137</v>
      </c>
      <c r="C8" s="287" t="s">
        <v>567</v>
      </c>
      <c r="D8" s="485"/>
      <c r="E8" s="286"/>
      <c r="F8" s="286"/>
      <c r="G8" s="286"/>
      <c r="H8" s="286"/>
      <c r="I8" s="286"/>
      <c r="J8" s="286"/>
      <c r="K8" s="286"/>
      <c r="L8" s="286"/>
      <c r="M8" s="286"/>
      <c r="N8" s="286"/>
      <c r="O8" s="286"/>
      <c r="P8" s="286"/>
      <c r="Q8" s="286"/>
      <c r="R8" s="286"/>
      <c r="S8" s="286"/>
      <c r="T8" s="286"/>
      <c r="U8" s="286"/>
      <c r="V8" s="286"/>
      <c r="W8" s="286"/>
      <c r="X8" s="286"/>
      <c r="Z8" s="286"/>
      <c r="AA8" s="286"/>
      <c r="AB8" s="286"/>
      <c r="AC8" s="286"/>
      <c r="AD8" s="286"/>
      <c r="AE8" s="286"/>
      <c r="AF8" s="286"/>
      <c r="AG8" s="286"/>
      <c r="AH8" s="286"/>
    </row>
    <row r="9" spans="1:48" s="281" customFormat="1">
      <c r="A9" s="283"/>
      <c r="D9" s="293"/>
      <c r="Y9" s="283"/>
      <c r="AF9" s="285"/>
      <c r="AG9" s="285"/>
      <c r="AH9" s="285"/>
    </row>
    <row r="10" spans="1:48" s="281" customFormat="1">
      <c r="A10" s="283"/>
      <c r="C10" s="281" t="s">
        <v>455</v>
      </c>
      <c r="D10" s="293"/>
      <c r="E10" s="283">
        <f t="shared" ref="E10:X10" si="32">E197+E285+E373+E509+E597</f>
        <v>139.709</v>
      </c>
      <c r="F10" s="283">
        <f t="shared" si="32"/>
        <v>147.25900000000001</v>
      </c>
      <c r="G10" s="283">
        <f t="shared" si="32"/>
        <v>143.649</v>
      </c>
      <c r="H10" s="283">
        <f t="shared" si="32"/>
        <v>136.51999999999998</v>
      </c>
      <c r="I10" s="283">
        <f t="shared" si="32"/>
        <v>152.61700000000002</v>
      </c>
      <c r="J10" s="283">
        <f t="shared" si="32"/>
        <v>134.172</v>
      </c>
      <c r="K10" s="283">
        <f t="shared" si="32"/>
        <v>161.53200000000001</v>
      </c>
      <c r="L10" s="283">
        <f t="shared" si="32"/>
        <v>224.94499999999994</v>
      </c>
      <c r="M10" s="283">
        <f t="shared" si="32"/>
        <v>136.92500000000001</v>
      </c>
      <c r="N10" s="283">
        <f t="shared" si="32"/>
        <v>166.35499999999999</v>
      </c>
      <c r="O10" s="283">
        <f t="shared" si="32"/>
        <v>199.70299999999997</v>
      </c>
      <c r="P10" s="283">
        <f t="shared" si="32"/>
        <v>188.89</v>
      </c>
      <c r="Q10" s="283">
        <f t="shared" si="32"/>
        <v>210.852</v>
      </c>
      <c r="R10" s="283">
        <f t="shared" si="32"/>
        <v>217.983</v>
      </c>
      <c r="S10" s="283">
        <f t="shared" si="32"/>
        <v>193.56</v>
      </c>
      <c r="T10" s="283">
        <f t="shared" si="32"/>
        <v>185.07800000000003</v>
      </c>
      <c r="U10" s="283">
        <f t="shared" ref="U10" si="33">U197+U285+U373+U509+U597</f>
        <v>186.499</v>
      </c>
      <c r="V10" s="283">
        <f t="shared" ca="1" si="32"/>
        <v>223.35683536261519</v>
      </c>
      <c r="W10" s="283">
        <f t="shared" ca="1" si="32"/>
        <v>192.83120312647674</v>
      </c>
      <c r="X10" s="283">
        <f t="shared" ca="1" si="32"/>
        <v>221.74582238359636</v>
      </c>
      <c r="Y10" s="283"/>
      <c r="Z10" s="283">
        <f>Z197+Z285+Z373+Z509+Z597</f>
        <v>645.95699999999999</v>
      </c>
      <c r="AA10" s="283">
        <f>AA197+AA285+AA373+AA509+AA597</f>
        <v>577.77499999999998</v>
      </c>
      <c r="AB10" s="282">
        <f>SUMIF($E$5:$X$5,AB$5,$E10:$X10)</f>
        <v>567.13699999999994</v>
      </c>
      <c r="AC10" s="282">
        <f t="shared" ref="AC10:AF11" si="34">SUMIF($E$5:$X$5,AC$5,$E10:$X10)</f>
        <v>673.26599999999996</v>
      </c>
      <c r="AD10" s="282">
        <f t="shared" si="34"/>
        <v>691.87299999999993</v>
      </c>
      <c r="AE10" s="282">
        <f t="shared" si="34"/>
        <v>807.47299999999996</v>
      </c>
      <c r="AF10" s="282">
        <f t="shared" ca="1" si="34"/>
        <v>824.43286087268825</v>
      </c>
      <c r="AG10" s="283">
        <f ca="1">AG197+AG285+AG373+AG509+AG597</f>
        <v>864.99732002093822</v>
      </c>
      <c r="AH10" s="283">
        <f ca="1">AH197+AH285+AH373+AH509+AH597</f>
        <v>929.45453083934945</v>
      </c>
    </row>
    <row r="11" spans="1:48" s="281" customFormat="1">
      <c r="A11" s="283"/>
      <c r="C11" s="281" t="s">
        <v>530</v>
      </c>
      <c r="D11" s="293"/>
      <c r="E11" s="283">
        <f t="shared" ref="E11:Q11" si="35">E100</f>
        <v>75.516000000000005</v>
      </c>
      <c r="F11" s="283">
        <f t="shared" si="35"/>
        <v>80.44</v>
      </c>
      <c r="G11" s="283">
        <f t="shared" si="35"/>
        <v>55.896000000000008</v>
      </c>
      <c r="H11" s="283">
        <f t="shared" si="35"/>
        <v>102.19200000000001</v>
      </c>
      <c r="I11" s="283">
        <f t="shared" si="35"/>
        <v>110.38600000000001</v>
      </c>
      <c r="J11" s="283">
        <f t="shared" si="35"/>
        <v>105.34100000000001</v>
      </c>
      <c r="K11" s="283">
        <f t="shared" si="35"/>
        <v>77.758999999999986</v>
      </c>
      <c r="L11" s="283">
        <f t="shared" si="35"/>
        <v>151.52200000000002</v>
      </c>
      <c r="M11" s="283">
        <f t="shared" si="35"/>
        <v>88.263999999999996</v>
      </c>
      <c r="N11" s="283">
        <f t="shared" si="35"/>
        <v>92.965999999999994</v>
      </c>
      <c r="O11" s="283">
        <f t="shared" si="35"/>
        <v>109.09700000000001</v>
      </c>
      <c r="P11" s="283">
        <f t="shared" si="35"/>
        <v>110.56399999999996</v>
      </c>
      <c r="Q11" s="283">
        <f t="shared" si="35"/>
        <v>107.19800000000001</v>
      </c>
      <c r="R11" s="283">
        <f t="shared" ref="R11:S11" si="36">R100</f>
        <v>114.55500000000001</v>
      </c>
      <c r="S11" s="283">
        <f t="shared" si="36"/>
        <v>116.44699999999999</v>
      </c>
      <c r="T11" s="283">
        <f t="shared" ref="T11:U11" ca="1" si="37">T100</f>
        <v>101.08499999999998</v>
      </c>
      <c r="U11" s="283">
        <f t="shared" ca="1" si="37"/>
        <v>105.57100000000001</v>
      </c>
      <c r="V11" s="283">
        <f t="shared" ref="V11:X11" si="38">V100</f>
        <v>101.7010419640813</v>
      </c>
      <c r="W11" s="283">
        <f t="shared" si="38"/>
        <v>101.0947013502539</v>
      </c>
      <c r="X11" s="283">
        <f t="shared" si="38"/>
        <v>101.1322566856648</v>
      </c>
      <c r="Y11" s="283"/>
      <c r="Z11" s="283">
        <f>Z100</f>
        <v>338.32499999999999</v>
      </c>
      <c r="AA11" s="283">
        <f>AA100</f>
        <v>307.91399999999999</v>
      </c>
      <c r="AB11" s="282">
        <f>SUMIF($E$5:$X$5,AB$5,$E11:$X11)</f>
        <v>314.04400000000004</v>
      </c>
      <c r="AC11" s="282">
        <f t="shared" si="34"/>
        <v>445.00800000000004</v>
      </c>
      <c r="AD11" s="282">
        <f t="shared" si="34"/>
        <v>400.89099999999996</v>
      </c>
      <c r="AE11" s="282">
        <f t="shared" ca="1" si="34"/>
        <v>439.28499999999997</v>
      </c>
      <c r="AF11" s="282">
        <f t="shared" ca="1" si="34"/>
        <v>409.49900000000002</v>
      </c>
      <c r="AG11" s="283">
        <f>AG100</f>
        <v>432.2</v>
      </c>
      <c r="AH11" s="283">
        <f>AH100</f>
        <v>466.2</v>
      </c>
    </row>
    <row r="12" spans="1:48" s="281" customFormat="1">
      <c r="A12" s="283"/>
      <c r="C12" s="320" t="s">
        <v>533</v>
      </c>
      <c r="D12" s="293"/>
      <c r="E12" s="379">
        <f>E10-E11</f>
        <v>64.192999999999998</v>
      </c>
      <c r="F12" s="379">
        <f t="shared" ref="F12:Q12" si="39">F10-F11</f>
        <v>66.819000000000017</v>
      </c>
      <c r="G12" s="379">
        <f t="shared" si="39"/>
        <v>87.752999999999986</v>
      </c>
      <c r="H12" s="379">
        <f t="shared" si="39"/>
        <v>34.327999999999975</v>
      </c>
      <c r="I12" s="379">
        <f t="shared" si="39"/>
        <v>42.231000000000009</v>
      </c>
      <c r="J12" s="379">
        <f t="shared" si="39"/>
        <v>28.830999999999989</v>
      </c>
      <c r="K12" s="379">
        <f t="shared" si="39"/>
        <v>83.773000000000025</v>
      </c>
      <c r="L12" s="379">
        <f t="shared" si="39"/>
        <v>73.422999999999917</v>
      </c>
      <c r="M12" s="379">
        <f t="shared" si="39"/>
        <v>48.661000000000016</v>
      </c>
      <c r="N12" s="379">
        <f t="shared" si="39"/>
        <v>73.388999999999996</v>
      </c>
      <c r="O12" s="379">
        <f t="shared" si="39"/>
        <v>90.605999999999966</v>
      </c>
      <c r="P12" s="379">
        <f t="shared" si="39"/>
        <v>78.326000000000022</v>
      </c>
      <c r="Q12" s="379">
        <f t="shared" si="39"/>
        <v>103.654</v>
      </c>
      <c r="R12" s="379">
        <f t="shared" ref="R12:S12" si="40">R10-R11</f>
        <v>103.428</v>
      </c>
      <c r="S12" s="379">
        <f t="shared" si="40"/>
        <v>77.113000000000014</v>
      </c>
      <c r="T12" s="379">
        <f t="shared" ref="T12:U12" ca="1" si="41">T10-T11</f>
        <v>83.993000000000052</v>
      </c>
      <c r="U12" s="379">
        <f t="shared" ca="1" si="41"/>
        <v>80.927999999999983</v>
      </c>
      <c r="V12" s="379">
        <f t="shared" ref="V12:X12" ca="1" si="42">V10-V11</f>
        <v>121.65579339853389</v>
      </c>
      <c r="W12" s="379">
        <f t="shared" ca="1" si="42"/>
        <v>91.736501776222838</v>
      </c>
      <c r="X12" s="379">
        <f t="shared" ca="1" si="42"/>
        <v>120.61356569793156</v>
      </c>
      <c r="Y12" s="283"/>
      <c r="Z12" s="379">
        <f t="shared" ref="Z12:AG12" si="43">Z10-Z11</f>
        <v>307.63200000000001</v>
      </c>
      <c r="AA12" s="379">
        <f t="shared" si="43"/>
        <v>269.86099999999999</v>
      </c>
      <c r="AB12" s="379">
        <f t="shared" si="43"/>
        <v>253.0929999999999</v>
      </c>
      <c r="AC12" s="379">
        <f t="shared" si="43"/>
        <v>228.25799999999992</v>
      </c>
      <c r="AD12" s="379">
        <f t="shared" si="43"/>
        <v>290.98199999999997</v>
      </c>
      <c r="AE12" s="379">
        <f t="shared" ca="1" si="43"/>
        <v>368.18799999999999</v>
      </c>
      <c r="AF12" s="379">
        <f t="shared" ca="1" si="43"/>
        <v>414.93386087268823</v>
      </c>
      <c r="AG12" s="379">
        <f t="shared" ca="1" si="43"/>
        <v>432.79732002093823</v>
      </c>
      <c r="AH12" s="379">
        <f t="shared" ref="AH12" ca="1" si="44">AH10-AH11</f>
        <v>463.25453083934946</v>
      </c>
    </row>
    <row r="13" spans="1:48" s="281" customFormat="1">
      <c r="A13" s="283"/>
      <c r="C13" s="320"/>
      <c r="D13" s="293"/>
      <c r="E13" s="313"/>
      <c r="F13" s="313"/>
      <c r="G13" s="313"/>
      <c r="H13" s="313"/>
      <c r="I13" s="313"/>
      <c r="J13" s="313"/>
      <c r="K13" s="313"/>
      <c r="L13" s="313"/>
      <c r="M13" s="313"/>
      <c r="N13" s="313"/>
      <c r="O13" s="313"/>
      <c r="P13" s="313"/>
      <c r="Q13" s="313"/>
      <c r="R13" s="313"/>
      <c r="S13" s="313"/>
      <c r="T13" s="313"/>
      <c r="U13" s="313"/>
      <c r="V13" s="313"/>
      <c r="W13" s="313"/>
      <c r="X13" s="313"/>
      <c r="Y13" s="283"/>
      <c r="Z13" s="313"/>
      <c r="AA13" s="313"/>
      <c r="AB13" s="313"/>
      <c r="AC13" s="313"/>
      <c r="AD13" s="313"/>
      <c r="AE13" s="313"/>
      <c r="AF13" s="313"/>
      <c r="AG13" s="313"/>
      <c r="AH13" s="313"/>
    </row>
    <row r="14" spans="1:48" s="281" customFormat="1">
      <c r="A14" s="283"/>
      <c r="C14" s="693" t="s">
        <v>528</v>
      </c>
      <c r="D14" s="293"/>
      <c r="E14" s="282">
        <f t="shared" ref="E14:Q14" si="45">E104</f>
        <v>6.6080000000000005</v>
      </c>
      <c r="F14" s="282">
        <f t="shared" si="45"/>
        <v>8.4730000000000008</v>
      </c>
      <c r="G14" s="282">
        <f t="shared" si="45"/>
        <v>8.0960000000000001</v>
      </c>
      <c r="H14" s="282">
        <f t="shared" si="45"/>
        <v>7.0869999999999997</v>
      </c>
      <c r="I14" s="282">
        <f t="shared" si="45"/>
        <v>8.3789999999999996</v>
      </c>
      <c r="J14" s="282">
        <f t="shared" si="45"/>
        <v>6.9459999999999997</v>
      </c>
      <c r="K14" s="282">
        <f t="shared" si="45"/>
        <v>6.7720000000000002</v>
      </c>
      <c r="L14" s="282">
        <f t="shared" si="45"/>
        <v>8.0670000000000002</v>
      </c>
      <c r="M14" s="282">
        <f t="shared" si="45"/>
        <v>7.72</v>
      </c>
      <c r="N14" s="282">
        <f t="shared" si="45"/>
        <v>5.7700000000000005</v>
      </c>
      <c r="O14" s="282">
        <f t="shared" si="45"/>
        <v>8.911999999999999</v>
      </c>
      <c r="P14" s="282">
        <f t="shared" si="45"/>
        <v>6.7009999999999996</v>
      </c>
      <c r="Q14" s="282">
        <f t="shared" si="45"/>
        <v>7.5069999999999997</v>
      </c>
      <c r="R14" s="282">
        <f t="shared" ref="R14:S14" si="46">R104</f>
        <v>8.3019999999999996</v>
      </c>
      <c r="S14" s="282">
        <f t="shared" si="46"/>
        <v>7.402000000000001</v>
      </c>
      <c r="T14" s="282">
        <f t="shared" ref="T14:U14" si="47">T104</f>
        <v>5.2770000000000001</v>
      </c>
      <c r="U14" s="282">
        <f t="shared" si="47"/>
        <v>7.0230000000000006</v>
      </c>
      <c r="V14" s="282">
        <f t="shared" ref="V14:X14" ca="1" si="48">V104</f>
        <v>11.301068625957694</v>
      </c>
      <c r="W14" s="282">
        <f t="shared" ca="1" si="48"/>
        <v>8.9598376597807849</v>
      </c>
      <c r="X14" s="282">
        <f t="shared" ca="1" si="48"/>
        <v>6.2554244098980778</v>
      </c>
      <c r="Y14" s="283"/>
      <c r="Z14" s="282">
        <f>Z104</f>
        <v>39.107999999999997</v>
      </c>
      <c r="AA14" s="282">
        <f>AA104</f>
        <v>29.279999999999998</v>
      </c>
      <c r="AB14" s="282">
        <f t="shared" ref="AB14:AF19" si="49">SUMIF($E$5:$X$5,AB$5,$E14:$X14)</f>
        <v>30.263999999999999</v>
      </c>
      <c r="AC14" s="282">
        <f t="shared" si="49"/>
        <v>30.164000000000001</v>
      </c>
      <c r="AD14" s="282">
        <f t="shared" si="49"/>
        <v>29.103000000000002</v>
      </c>
      <c r="AE14" s="282">
        <f t="shared" si="49"/>
        <v>28.488</v>
      </c>
      <c r="AF14" s="282">
        <f t="shared" ca="1" si="49"/>
        <v>33.539330695636558</v>
      </c>
      <c r="AG14" s="282">
        <f ca="1">AG104</f>
        <v>33.675013399895306</v>
      </c>
      <c r="AH14" s="282">
        <f ca="1">AH104</f>
        <v>33.352727345803252</v>
      </c>
    </row>
    <row r="15" spans="1:48" s="281" customFormat="1">
      <c r="A15" s="283"/>
      <c r="C15" s="283" t="s">
        <v>314</v>
      </c>
      <c r="D15" s="293"/>
      <c r="E15" s="317">
        <f>Financials!E16-E16</f>
        <v>3.4980000000000007</v>
      </c>
      <c r="F15" s="317">
        <f>Financials!F16-F16</f>
        <v>3.3959999999999999</v>
      </c>
      <c r="G15" s="317">
        <f>Financials!G16-G16</f>
        <v>4.4819999999999993</v>
      </c>
      <c r="H15" s="317">
        <f>Financials!H16-H16</f>
        <v>1.6760000000000002</v>
      </c>
      <c r="I15" s="317">
        <f>Financials!I16-I16</f>
        <v>1.1400000000000001</v>
      </c>
      <c r="J15" s="317">
        <f>Financials!J16-J16</f>
        <v>1.145</v>
      </c>
      <c r="K15" s="317">
        <f>Financials!K16-K16</f>
        <v>1.2559999999999993</v>
      </c>
      <c r="L15" s="317">
        <f>Financials!L16-L16</f>
        <v>0.94599999999999995</v>
      </c>
      <c r="M15" s="317">
        <f>Financials!M16-M16</f>
        <v>0.98299999999999987</v>
      </c>
      <c r="N15" s="317">
        <f>Financials!N16-N16</f>
        <v>1.4949999999999999</v>
      </c>
      <c r="O15" s="317">
        <f>Financials!O16-O16</f>
        <v>2.702</v>
      </c>
      <c r="P15" s="317">
        <f>Financials!P16-P16</f>
        <v>7.2359999999999998</v>
      </c>
      <c r="Q15" s="317">
        <f>Financials!Q16-Q16</f>
        <v>4.9209999999999994</v>
      </c>
      <c r="R15" s="317">
        <f>Financials!R16-R16</f>
        <v>5.9640000000000004</v>
      </c>
      <c r="S15" s="317">
        <f>Financials!S16-S16</f>
        <v>9.6620000000000008</v>
      </c>
      <c r="T15" s="317">
        <f>Financials!T16-T16</f>
        <v>10.391</v>
      </c>
      <c r="U15" s="317">
        <f>Financials!U16-U16</f>
        <v>8.3580000000000005</v>
      </c>
      <c r="V15" s="282">
        <f t="shared" ref="V15:X15" ca="1" si="50">V72*V$10</f>
        <v>6.7007050608784553</v>
      </c>
      <c r="W15" s="282">
        <f t="shared" ca="1" si="50"/>
        <v>5.7849360937943022</v>
      </c>
      <c r="X15" s="282">
        <f t="shared" ca="1" si="50"/>
        <v>6.6523746715078902</v>
      </c>
      <c r="Y15" s="283"/>
      <c r="Z15" s="317">
        <f>Financials!Z16-Z16</f>
        <v>5.3780000000000001</v>
      </c>
      <c r="AA15" s="317">
        <f>Financials!AA16-AA16</f>
        <v>8.0160000000000018</v>
      </c>
      <c r="AB15" s="282">
        <f t="shared" si="49"/>
        <v>13.052</v>
      </c>
      <c r="AC15" s="282">
        <f t="shared" si="49"/>
        <v>4.4869999999999992</v>
      </c>
      <c r="AD15" s="282">
        <f t="shared" si="49"/>
        <v>12.416</v>
      </c>
      <c r="AE15" s="282">
        <f t="shared" si="49"/>
        <v>30.938000000000002</v>
      </c>
      <c r="AF15" s="282">
        <f t="shared" ca="1" si="49"/>
        <v>27.496015826180649</v>
      </c>
      <c r="AG15" s="282">
        <f ca="1">AG72*AG$10</f>
        <v>25.949919600628146</v>
      </c>
      <c r="AH15" s="282">
        <f ca="1">AH72*AH$10</f>
        <v>27.883635925180482</v>
      </c>
    </row>
    <row r="16" spans="1:48" s="281" customFormat="1">
      <c r="A16" s="283"/>
      <c r="C16" s="283" t="s">
        <v>638</v>
      </c>
      <c r="D16" s="293"/>
      <c r="E16" s="282">
        <f t="shared" ref="E16:X16" si="51">+(E219+E307+E395+E531+E619)</f>
        <v>3.8619999999999997</v>
      </c>
      <c r="F16" s="282">
        <f t="shared" si="51"/>
        <v>4.4420000000000002</v>
      </c>
      <c r="G16" s="282">
        <f t="shared" si="51"/>
        <v>7.9290000000000003</v>
      </c>
      <c r="H16" s="282">
        <f t="shared" si="51"/>
        <v>6.41</v>
      </c>
      <c r="I16" s="282">
        <f t="shared" si="51"/>
        <v>3.262</v>
      </c>
      <c r="J16" s="282">
        <f t="shared" si="51"/>
        <v>3.2010000000000001</v>
      </c>
      <c r="K16" s="282">
        <f t="shared" si="51"/>
        <v>3.5520000000000005</v>
      </c>
      <c r="L16" s="282">
        <f t="shared" si="51"/>
        <v>1.417</v>
      </c>
      <c r="M16" s="282">
        <f t="shared" si="51"/>
        <v>1.5469999999999999</v>
      </c>
      <c r="N16" s="282">
        <f t="shared" si="51"/>
        <v>0.46700000000000003</v>
      </c>
      <c r="O16" s="282">
        <f t="shared" si="51"/>
        <v>0.70500000000000007</v>
      </c>
      <c r="P16" s="282">
        <f t="shared" si="51"/>
        <v>0.71799999999999997</v>
      </c>
      <c r="Q16" s="282">
        <f t="shared" si="51"/>
        <v>1.03</v>
      </c>
      <c r="R16" s="282">
        <f t="shared" si="51"/>
        <v>2.403</v>
      </c>
      <c r="S16" s="282">
        <f t="shared" si="51"/>
        <v>4.0129999999999999</v>
      </c>
      <c r="T16" s="282">
        <f t="shared" si="51"/>
        <v>2.4710000000000001</v>
      </c>
      <c r="U16" s="282">
        <f t="shared" ref="U16" si="52">+(U219+U307+U395+U531+U619)</f>
        <v>1.5589999999999999</v>
      </c>
      <c r="V16" s="282">
        <f t="shared" si="51"/>
        <v>2.3526389222659621</v>
      </c>
      <c r="W16" s="282">
        <f t="shared" si="51"/>
        <v>3.9818283772178535</v>
      </c>
      <c r="X16" s="282">
        <f t="shared" si="51"/>
        <v>2.3065327005161844</v>
      </c>
      <c r="Y16" s="283"/>
      <c r="Z16" s="282">
        <f>+(Z219+Z307+Z395+Z531+Z619)</f>
        <v>9.3420000000000005</v>
      </c>
      <c r="AA16" s="282">
        <f>+(AA219+AA307+AA395+AA531+AA619)</f>
        <v>15.494</v>
      </c>
      <c r="AB16" s="282">
        <f t="shared" si="49"/>
        <v>22.643000000000001</v>
      </c>
      <c r="AC16" s="282">
        <f t="shared" si="49"/>
        <v>11.432</v>
      </c>
      <c r="AD16" s="282">
        <f t="shared" si="49"/>
        <v>3.4369999999999998</v>
      </c>
      <c r="AE16" s="282">
        <f t="shared" si="49"/>
        <v>9.9169999999999998</v>
      </c>
      <c r="AF16" s="282">
        <f t="shared" si="49"/>
        <v>10.199999999999999</v>
      </c>
      <c r="AG16" s="282">
        <f>+(AG219+AG307+AG395+AG531+AG619)</f>
        <v>10.199999999999999</v>
      </c>
      <c r="AH16" s="282">
        <f>+(AH219+AH307+AH395+AH531+AH619)</f>
        <v>10.199999999999999</v>
      </c>
    </row>
    <row r="17" spans="1:34" s="281" customFormat="1">
      <c r="A17" s="283"/>
      <c r="C17" s="283" t="s">
        <v>315</v>
      </c>
      <c r="D17" s="293"/>
      <c r="E17" s="317">
        <f>Financials!E17</f>
        <v>1.0049999999999999</v>
      </c>
      <c r="F17" s="317">
        <f>Financials!F17</f>
        <v>1.415</v>
      </c>
      <c r="G17" s="317">
        <f>Financials!G17</f>
        <v>1.1950000000000001</v>
      </c>
      <c r="H17" s="317">
        <f>Financials!H17</f>
        <v>1.272</v>
      </c>
      <c r="I17" s="317">
        <f>Financials!I17</f>
        <v>0.85599999999999998</v>
      </c>
      <c r="J17" s="317">
        <f>Financials!J17</f>
        <v>0.79800000000000004</v>
      </c>
      <c r="K17" s="317">
        <f>Financials!K17</f>
        <v>0.88100000000000001</v>
      </c>
      <c r="L17" s="317">
        <f>Financials!L17</f>
        <v>0.61499999999999999</v>
      </c>
      <c r="M17" s="317">
        <f>Financials!M17</f>
        <v>0.53500000000000003</v>
      </c>
      <c r="N17" s="317">
        <f>Financials!N17</f>
        <v>0.56299999999999994</v>
      </c>
      <c r="O17" s="317">
        <f>Financials!O17</f>
        <v>0.75900000000000001</v>
      </c>
      <c r="P17" s="317">
        <f>Financials!P17</f>
        <v>0.58499999999999996</v>
      </c>
      <c r="Q17" s="317">
        <f>Financials!Q17</f>
        <v>0.73899999999999999</v>
      </c>
      <c r="R17" s="317">
        <f>Financials!R17</f>
        <v>2.8740000000000001</v>
      </c>
      <c r="S17" s="317">
        <f>Financials!S17</f>
        <v>3.4329999999999998</v>
      </c>
      <c r="T17" s="317">
        <f>Financials!T17</f>
        <v>0</v>
      </c>
      <c r="U17" s="317">
        <f>Financials!U17</f>
        <v>3.1</v>
      </c>
      <c r="V17" s="282">
        <f t="shared" ref="V17:X17" ca="1" si="53">V74*V$10</f>
        <v>1.5634978475383063</v>
      </c>
      <c r="W17" s="282">
        <f t="shared" ca="1" si="53"/>
        <v>1.3498184218853373</v>
      </c>
      <c r="X17" s="282">
        <f t="shared" ca="1" si="53"/>
        <v>1.5522207566851747</v>
      </c>
      <c r="Y17" s="283"/>
      <c r="Z17" s="317">
        <f>Financials!Z17</f>
        <v>3.137</v>
      </c>
      <c r="AA17" s="317">
        <f>Financials!AA17</f>
        <v>5.4480000000000004</v>
      </c>
      <c r="AB17" s="282">
        <f t="shared" si="49"/>
        <v>4.8870000000000005</v>
      </c>
      <c r="AC17" s="282">
        <f t="shared" si="49"/>
        <v>3.1500000000000004</v>
      </c>
      <c r="AD17" s="282">
        <f t="shared" si="49"/>
        <v>2.4419999999999997</v>
      </c>
      <c r="AE17" s="282">
        <f t="shared" si="49"/>
        <v>7.0459999999999994</v>
      </c>
      <c r="AF17" s="282">
        <f t="shared" ca="1" si="49"/>
        <v>7.5655370261088191</v>
      </c>
      <c r="AG17" s="282">
        <f t="shared" ref="AG17:AG19" ca="1" si="54">AG74*AG$10</f>
        <v>7.9377831266649146</v>
      </c>
      <c r="AH17" s="282">
        <f t="shared" ref="AH17" ca="1" si="55">AH74*AH$10</f>
        <v>8.5292847979231361</v>
      </c>
    </row>
    <row r="18" spans="1:34" s="281" customFormat="1">
      <c r="A18" s="283"/>
      <c r="C18" s="283" t="s">
        <v>362</v>
      </c>
      <c r="D18" s="293"/>
      <c r="E18" s="317">
        <f>Financials!E18</f>
        <v>1.4359999999999999</v>
      </c>
      <c r="F18" s="317">
        <f>Financials!F18</f>
        <v>2.3370000000000002</v>
      </c>
      <c r="G18" s="317">
        <f>Financials!G18</f>
        <v>1.2689999999999999</v>
      </c>
      <c r="H18" s="317">
        <f>Financials!H18</f>
        <v>0.39900000000000002</v>
      </c>
      <c r="I18" s="317">
        <f>Financials!I18</f>
        <v>0.40300000000000002</v>
      </c>
      <c r="J18" s="317">
        <f>Financials!J18</f>
        <v>0.158</v>
      </c>
      <c r="K18" s="317">
        <f>Financials!K18</f>
        <v>5.2999999999999999E-2</v>
      </c>
      <c r="L18" s="317">
        <f>Financials!L18</f>
        <v>-7.9000000000000001E-2</v>
      </c>
      <c r="M18" s="317">
        <f>Financials!M18</f>
        <v>0</v>
      </c>
      <c r="N18" s="317">
        <f>Financials!N18</f>
        <v>0</v>
      </c>
      <c r="O18" s="317">
        <f>Financials!O18</f>
        <v>0</v>
      </c>
      <c r="P18" s="317">
        <f>Financials!P18</f>
        <v>0</v>
      </c>
      <c r="Q18" s="317">
        <f>Financials!Q18</f>
        <v>0</v>
      </c>
      <c r="R18" s="317">
        <f>Financials!R18</f>
        <v>0</v>
      </c>
      <c r="S18" s="317">
        <f>Financials!S18</f>
        <v>0</v>
      </c>
      <c r="T18" s="317">
        <f>Financials!T18</f>
        <v>0</v>
      </c>
      <c r="U18" s="317">
        <f>Financials!U18</f>
        <v>0</v>
      </c>
      <c r="V18" s="282">
        <f t="shared" ref="V18:X18" ca="1" si="56">V75*V$10</f>
        <v>0</v>
      </c>
      <c r="W18" s="282">
        <f t="shared" ca="1" si="56"/>
        <v>0</v>
      </c>
      <c r="X18" s="282">
        <f t="shared" ca="1" si="56"/>
        <v>0</v>
      </c>
      <c r="Y18" s="283"/>
      <c r="Z18" s="317">
        <f>Financials!Z18</f>
        <v>0.24299999999999999</v>
      </c>
      <c r="AA18" s="317">
        <f>Financials!AA18</f>
        <v>3.2759999999999998</v>
      </c>
      <c r="AB18" s="282">
        <f t="shared" si="49"/>
        <v>5.4409999999999998</v>
      </c>
      <c r="AC18" s="282">
        <f t="shared" si="49"/>
        <v>0.53500000000000014</v>
      </c>
      <c r="AD18" s="282">
        <f t="shared" si="49"/>
        <v>0</v>
      </c>
      <c r="AE18" s="282">
        <f t="shared" si="49"/>
        <v>0</v>
      </c>
      <c r="AF18" s="282">
        <f t="shared" ca="1" si="49"/>
        <v>0</v>
      </c>
      <c r="AG18" s="282">
        <f t="shared" ca="1" si="54"/>
        <v>0</v>
      </c>
      <c r="AH18" s="282">
        <f t="shared" ref="AH18" ca="1" si="57">AH75*AH$10</f>
        <v>0</v>
      </c>
    </row>
    <row r="19" spans="1:34" s="281" customFormat="1">
      <c r="A19" s="283"/>
      <c r="C19" s="283" t="s">
        <v>531</v>
      </c>
      <c r="D19" s="293"/>
      <c r="E19" s="283">
        <f>E109</f>
        <v>0.38900000000000007</v>
      </c>
      <c r="F19" s="283">
        <f t="shared" ref="F19:Q19" si="58">F109</f>
        <v>-1.7399999999999998</v>
      </c>
      <c r="G19" s="283">
        <f t="shared" si="58"/>
        <v>0.34300000000000014</v>
      </c>
      <c r="H19" s="283">
        <f t="shared" si="58"/>
        <v>-1.2500000000000002</v>
      </c>
      <c r="I19" s="283">
        <f t="shared" si="58"/>
        <v>8.6999999999999966E-2</v>
      </c>
      <c r="J19" s="283">
        <f t="shared" si="58"/>
        <v>-1.131</v>
      </c>
      <c r="K19" s="283">
        <f t="shared" si="58"/>
        <v>0.87400000000000011</v>
      </c>
      <c r="L19" s="283">
        <f t="shared" si="58"/>
        <v>1.762</v>
      </c>
      <c r="M19" s="283">
        <f t="shared" si="58"/>
        <v>2.6019999999999999</v>
      </c>
      <c r="N19" s="283">
        <f t="shared" si="58"/>
        <v>2.5099999999999998</v>
      </c>
      <c r="O19" s="283">
        <f t="shared" si="58"/>
        <v>-1.1259999999999994</v>
      </c>
      <c r="P19" s="283">
        <f t="shared" si="58"/>
        <v>5.202</v>
      </c>
      <c r="Q19" s="283">
        <f t="shared" si="58"/>
        <v>3.3620000000000001</v>
      </c>
      <c r="R19" s="283">
        <f t="shared" ref="R19:S19" si="59">R109</f>
        <v>6.09</v>
      </c>
      <c r="S19" s="283">
        <f t="shared" si="59"/>
        <v>2.8920000000000008</v>
      </c>
      <c r="T19" s="283">
        <f t="shared" ref="T19:U19" si="60">T109</f>
        <v>7.6049999999999995</v>
      </c>
      <c r="U19" s="283">
        <f t="shared" si="60"/>
        <v>2.6890000000000001</v>
      </c>
      <c r="V19" s="282">
        <f t="shared" ref="V19:X19" ca="1" si="61">V76*V$10</f>
        <v>4.4671367072523038</v>
      </c>
      <c r="W19" s="282">
        <f t="shared" ca="1" si="61"/>
        <v>3.8566240625295349</v>
      </c>
      <c r="X19" s="282">
        <f t="shared" ca="1" si="61"/>
        <v>4.4349164476719274</v>
      </c>
      <c r="Y19" s="283"/>
      <c r="Z19" s="283">
        <f>Z109</f>
        <v>3.1430000000000002</v>
      </c>
      <c r="AA19" s="283">
        <f>AA109</f>
        <v>5.4479999999999995</v>
      </c>
      <c r="AB19" s="282">
        <f t="shared" si="49"/>
        <v>-2.258</v>
      </c>
      <c r="AC19" s="282">
        <f t="shared" si="49"/>
        <v>1.5920000000000001</v>
      </c>
      <c r="AD19" s="282">
        <f t="shared" si="49"/>
        <v>9.1880000000000006</v>
      </c>
      <c r="AE19" s="282">
        <f t="shared" si="49"/>
        <v>19.949000000000002</v>
      </c>
      <c r="AF19" s="282">
        <f t="shared" ca="1" si="49"/>
        <v>15.447677217453766</v>
      </c>
      <c r="AG19" s="282">
        <f t="shared" ca="1" si="54"/>
        <v>17.299946400418765</v>
      </c>
      <c r="AH19" s="282">
        <f t="shared" ref="AH19" ca="1" si="62">AH76*AH$10</f>
        <v>18.58909061678699</v>
      </c>
    </row>
    <row r="20" spans="1:34" s="281" customFormat="1">
      <c r="A20" s="283"/>
      <c r="C20" s="316" t="s">
        <v>532</v>
      </c>
      <c r="D20" s="293"/>
      <c r="E20" s="379">
        <f t="shared" ref="E20:Q20" si="63">E12-SUM(E14:E19)</f>
        <v>47.394999999999996</v>
      </c>
      <c r="F20" s="379">
        <f t="shared" si="63"/>
        <v>48.496000000000016</v>
      </c>
      <c r="G20" s="379">
        <f t="shared" si="63"/>
        <v>64.438999999999993</v>
      </c>
      <c r="H20" s="379">
        <f t="shared" si="63"/>
        <v>18.733999999999973</v>
      </c>
      <c r="I20" s="379">
        <f t="shared" si="63"/>
        <v>28.104000000000006</v>
      </c>
      <c r="J20" s="379">
        <f t="shared" si="63"/>
        <v>17.713999999999992</v>
      </c>
      <c r="K20" s="379">
        <f t="shared" si="63"/>
        <v>70.385000000000019</v>
      </c>
      <c r="L20" s="379">
        <f t="shared" si="63"/>
        <v>60.694999999999915</v>
      </c>
      <c r="M20" s="379">
        <f t="shared" si="63"/>
        <v>35.274000000000015</v>
      </c>
      <c r="N20" s="379">
        <f t="shared" si="63"/>
        <v>62.583999999999996</v>
      </c>
      <c r="O20" s="379">
        <f t="shared" si="63"/>
        <v>78.653999999999968</v>
      </c>
      <c r="P20" s="379">
        <f t="shared" si="63"/>
        <v>57.884000000000022</v>
      </c>
      <c r="Q20" s="379">
        <f t="shared" si="63"/>
        <v>86.094999999999999</v>
      </c>
      <c r="R20" s="379">
        <f t="shared" ref="R20:S20" si="64">R12-SUM(R14:R19)</f>
        <v>77.795000000000002</v>
      </c>
      <c r="S20" s="379">
        <f t="shared" si="64"/>
        <v>49.711000000000013</v>
      </c>
      <c r="T20" s="379">
        <f t="shared" ref="T20:U20" ca="1" si="65">T12-SUM(T14:T19)</f>
        <v>58.249000000000052</v>
      </c>
      <c r="U20" s="379">
        <f t="shared" ca="1" si="65"/>
        <v>58.198999999999984</v>
      </c>
      <c r="V20" s="379">
        <f t="shared" ref="V20:X20" ca="1" si="66">V12-SUM(V14:V19)</f>
        <v>95.270746234641166</v>
      </c>
      <c r="W20" s="379">
        <f t="shared" ca="1" si="66"/>
        <v>67.803457161015018</v>
      </c>
      <c r="X20" s="379">
        <f t="shared" ca="1" si="66"/>
        <v>99.41209671165231</v>
      </c>
      <c r="Y20" s="283"/>
      <c r="Z20" s="379">
        <f t="shared" ref="Z20:AE20" si="67">Z12-SUM(Z14:Z19)</f>
        <v>247.28100000000001</v>
      </c>
      <c r="AA20" s="379">
        <f t="shared" si="67"/>
        <v>202.899</v>
      </c>
      <c r="AB20" s="379">
        <f t="shared" si="67"/>
        <v>179.06399999999991</v>
      </c>
      <c r="AC20" s="379">
        <f t="shared" si="67"/>
        <v>176.89799999999991</v>
      </c>
      <c r="AD20" s="379">
        <f t="shared" si="67"/>
        <v>234.39599999999996</v>
      </c>
      <c r="AE20" s="379">
        <f t="shared" ca="1" si="67"/>
        <v>271.84999999999997</v>
      </c>
      <c r="AF20" s="379">
        <f ca="1">AF12-SUM(AF14:AF19)</f>
        <v>320.68530010730842</v>
      </c>
      <c r="AG20" s="379">
        <f ca="1">AG12-SUM(AG14:AG19)</f>
        <v>337.7346574933311</v>
      </c>
      <c r="AH20" s="379">
        <f ca="1">AH12-SUM(AH14:AH19)</f>
        <v>364.69979215365561</v>
      </c>
    </row>
    <row r="21" spans="1:34" s="281" customFormat="1">
      <c r="A21" s="283"/>
      <c r="C21" s="283"/>
      <c r="D21" s="293"/>
      <c r="E21" s="313"/>
      <c r="F21" s="313"/>
      <c r="G21" s="313"/>
      <c r="H21" s="313"/>
      <c r="I21" s="313"/>
      <c r="J21" s="313"/>
      <c r="K21" s="313"/>
      <c r="L21" s="313"/>
      <c r="M21" s="313"/>
      <c r="N21" s="313"/>
      <c r="O21" s="313"/>
      <c r="P21" s="313"/>
      <c r="Q21" s="313"/>
      <c r="R21" s="313"/>
      <c r="S21" s="313"/>
      <c r="T21" s="313"/>
      <c r="U21" s="313"/>
      <c r="V21" s="313"/>
      <c r="W21" s="313"/>
      <c r="X21" s="313"/>
      <c r="Y21" s="283"/>
      <c r="Z21" s="313"/>
      <c r="AA21" s="313"/>
      <c r="AB21" s="313"/>
      <c r="AC21" s="313"/>
      <c r="AD21" s="313"/>
      <c r="AE21" s="313"/>
      <c r="AF21" s="313"/>
      <c r="AG21" s="313"/>
      <c r="AH21" s="313"/>
    </row>
    <row r="22" spans="1:34" s="283" customFormat="1">
      <c r="C22" s="283" t="s">
        <v>312</v>
      </c>
      <c r="D22" s="486"/>
      <c r="E22" s="282">
        <f t="shared" ref="E22:X22" si="68">E200+E288+E376+E512+E600</f>
        <v>28.053999999999998</v>
      </c>
      <c r="F22" s="282">
        <f t="shared" si="68"/>
        <v>31.817</v>
      </c>
      <c r="G22" s="282">
        <f t="shared" si="68"/>
        <v>43.463999999999999</v>
      </c>
      <c r="H22" s="282">
        <f t="shared" si="68"/>
        <v>35.593000000000011</v>
      </c>
      <c r="I22" s="282">
        <f t="shared" si="68"/>
        <v>38.786999999999999</v>
      </c>
      <c r="J22" s="282">
        <f t="shared" si="68"/>
        <v>49.477000000000004</v>
      </c>
      <c r="K22" s="282">
        <f t="shared" si="68"/>
        <v>50.774000000000001</v>
      </c>
      <c r="L22" s="282">
        <f t="shared" si="68"/>
        <v>60.480000000000004</v>
      </c>
      <c r="M22" s="282">
        <f t="shared" si="68"/>
        <v>37.814999999999998</v>
      </c>
      <c r="N22" s="282">
        <f t="shared" si="68"/>
        <v>36.686999999999998</v>
      </c>
      <c r="O22" s="282">
        <f t="shared" si="68"/>
        <v>37.99</v>
      </c>
      <c r="P22" s="282">
        <f t="shared" si="68"/>
        <v>35.618000000000002</v>
      </c>
      <c r="Q22" s="282">
        <f t="shared" si="68"/>
        <v>46.742000000000004</v>
      </c>
      <c r="R22" s="282">
        <f t="shared" si="68"/>
        <v>45.731999999999999</v>
      </c>
      <c r="S22" s="282">
        <f t="shared" si="68"/>
        <v>45.79</v>
      </c>
      <c r="T22" s="282">
        <f t="shared" si="68"/>
        <v>32.875</v>
      </c>
      <c r="U22" s="282">
        <f t="shared" ref="U22" si="69">U200+U288+U376+U512+U600</f>
        <v>35.298000000000002</v>
      </c>
      <c r="V22" s="282">
        <f t="shared" si="68"/>
        <v>41.561631624288779</v>
      </c>
      <c r="W22" s="282">
        <f t="shared" si="68"/>
        <v>38.245554163244876</v>
      </c>
      <c r="X22" s="282">
        <f t="shared" si="68"/>
        <v>30.19481421246633</v>
      </c>
      <c r="Z22" s="282">
        <f>Z200+Z288+Z376+Z512+Z600</f>
        <v>123.631</v>
      </c>
      <c r="AA22" s="282">
        <f>AA200+AA288+AA376+AA512+AA600</f>
        <v>120.599</v>
      </c>
      <c r="AB22" s="282">
        <f t="shared" ref="AB22:AF27" si="70">SUMIF($E$5:$X$5,AB$5,$E22:$X22)</f>
        <v>138.928</v>
      </c>
      <c r="AC22" s="282">
        <f t="shared" si="70"/>
        <v>199.51800000000003</v>
      </c>
      <c r="AD22" s="282">
        <f t="shared" si="70"/>
        <v>148.10999999999999</v>
      </c>
      <c r="AE22" s="282">
        <f t="shared" si="70"/>
        <v>171.13900000000001</v>
      </c>
      <c r="AF22" s="282">
        <f t="shared" si="70"/>
        <v>145.29999999999998</v>
      </c>
      <c r="AG22" s="282">
        <f>AG200+AG288+AG376+AG512+AG600</f>
        <v>150.30000000000001</v>
      </c>
      <c r="AH22" s="282">
        <f>AH200+AH288+AH376+AH512+AH600</f>
        <v>162.30000000000001</v>
      </c>
    </row>
    <row r="23" spans="1:34" s="283" customFormat="1">
      <c r="C23" s="283" t="s">
        <v>619</v>
      </c>
      <c r="D23" s="486"/>
      <c r="E23" s="317">
        <f>+Financials!E190</f>
        <v>1.127</v>
      </c>
      <c r="F23" s="317">
        <f>+Financials!F190</f>
        <v>1.3139999999999998</v>
      </c>
      <c r="G23" s="317">
        <f>+Financials!G190</f>
        <v>2.2309999999999999</v>
      </c>
      <c r="H23" s="317">
        <f>+Financials!H190</f>
        <v>1.6059999999999999</v>
      </c>
      <c r="I23" s="317">
        <f>+Financials!I190</f>
        <v>1.58</v>
      </c>
      <c r="J23" s="317">
        <f>+Financials!J190</f>
        <v>1.972</v>
      </c>
      <c r="K23" s="317">
        <f>+Financials!K190</f>
        <v>1.206</v>
      </c>
      <c r="L23" s="317">
        <f>+Financials!L190</f>
        <v>0.91000000000000014</v>
      </c>
      <c r="M23" s="317">
        <f>+Financials!M190</f>
        <v>1.2190000000000001</v>
      </c>
      <c r="N23" s="317">
        <f>+Financials!N190</f>
        <v>1.2089999999999999</v>
      </c>
      <c r="O23" s="317">
        <f>+Financials!O190</f>
        <v>2.8010000000000002</v>
      </c>
      <c r="P23" s="317">
        <f>+Financials!P190</f>
        <v>1.2290000000000001</v>
      </c>
      <c r="Q23" s="317">
        <f>+Financials!Q190</f>
        <v>0.5</v>
      </c>
      <c r="R23" s="317">
        <f>+Financials!R190</f>
        <v>2.802</v>
      </c>
      <c r="S23" s="317">
        <f>+Financials!S190</f>
        <v>1.472</v>
      </c>
      <c r="T23" s="317">
        <f>+Financials!T190</f>
        <v>1.3079999999999998</v>
      </c>
      <c r="U23" s="317">
        <f>+Financials!U190</f>
        <v>1.2709999999999999</v>
      </c>
      <c r="V23" s="282">
        <f t="shared" ref="V23:X23" ca="1" si="71">V80*V$10</f>
        <v>1.116784176813076</v>
      </c>
      <c r="W23" s="282">
        <f t="shared" ca="1" si="71"/>
        <v>0.96415601563238373</v>
      </c>
      <c r="X23" s="282">
        <f t="shared" ca="1" si="71"/>
        <v>1.1087291119179818</v>
      </c>
      <c r="Z23" s="317">
        <f>+Financials!Z64</f>
        <v>5.9320000000000004</v>
      </c>
      <c r="AA23" s="317">
        <f>+Financials!AA64</f>
        <v>6.3310000000000004</v>
      </c>
      <c r="AB23" s="282">
        <f t="shared" si="70"/>
        <v>6.2779999999999996</v>
      </c>
      <c r="AC23" s="282">
        <f t="shared" si="70"/>
        <v>5.6680000000000001</v>
      </c>
      <c r="AD23" s="282">
        <f t="shared" si="70"/>
        <v>6.4580000000000002</v>
      </c>
      <c r="AE23" s="282">
        <f t="shared" si="70"/>
        <v>6.0819999999999999</v>
      </c>
      <c r="AF23" s="282">
        <f t="shared" ca="1" si="70"/>
        <v>4.4606693043634422</v>
      </c>
      <c r="AG23" s="282">
        <f t="shared" ref="AG23:AG27" ca="1" si="72">AG80*AG$10</f>
        <v>4.3249866001046913</v>
      </c>
      <c r="AH23" s="282">
        <f t="shared" ref="AH23" ca="1" si="73">AH80*AH$10</f>
        <v>4.6472726541967475</v>
      </c>
    </row>
    <row r="24" spans="1:34" s="283" customFormat="1">
      <c r="C24" s="283" t="s">
        <v>318</v>
      </c>
      <c r="D24" s="486"/>
      <c r="E24" s="317">
        <f>+Financials!E20</f>
        <v>1.262</v>
      </c>
      <c r="F24" s="317">
        <f>+Financials!F20</f>
        <v>1.42</v>
      </c>
      <c r="G24" s="317">
        <f>+Financials!G20</f>
        <v>1.8520000000000001</v>
      </c>
      <c r="H24" s="317">
        <f>+Financials!H20</f>
        <v>1.585</v>
      </c>
      <c r="I24" s="317">
        <f>+Financials!I20</f>
        <v>0.56999999999999995</v>
      </c>
      <c r="J24" s="317">
        <f>+Financials!J20</f>
        <v>1.052</v>
      </c>
      <c r="K24" s="317">
        <f>+Financials!K20</f>
        <v>1.907</v>
      </c>
      <c r="L24" s="317">
        <f>+Financials!L20</f>
        <v>1.161</v>
      </c>
      <c r="M24" s="317">
        <f>+Financials!M20</f>
        <v>0.51600000000000001</v>
      </c>
      <c r="N24" s="317">
        <f>+Financials!N20</f>
        <v>1.0369999999999999</v>
      </c>
      <c r="O24" s="317">
        <f>+Financials!O20</f>
        <v>1.254</v>
      </c>
      <c r="P24" s="317">
        <f>+Financials!P20</f>
        <v>1.018</v>
      </c>
      <c r="Q24" s="317">
        <f>+Financials!Q20</f>
        <v>3.7090000000000001</v>
      </c>
      <c r="R24" s="317">
        <f>+Financials!R20</f>
        <v>1.024</v>
      </c>
      <c r="S24" s="317">
        <f>+Financials!S20</f>
        <v>7.5640000000000001</v>
      </c>
      <c r="T24" s="317">
        <f>+Financials!T20</f>
        <v>2.274</v>
      </c>
      <c r="U24" s="317">
        <f>+Financials!U20</f>
        <v>0.90100000000000002</v>
      </c>
      <c r="V24" s="282">
        <f t="shared" ref="V24:X24" ca="1" si="74">V81*V$10</f>
        <v>1.0790648135470771</v>
      </c>
      <c r="W24" s="282">
        <f t="shared" ca="1" si="74"/>
        <v>0.93159166546177496</v>
      </c>
      <c r="X24" s="282">
        <f t="shared" ca="1" si="74"/>
        <v>1.0712818083079285</v>
      </c>
      <c r="Z24" s="317">
        <f>+Financials!Z20</f>
        <v>5.7210000000000001</v>
      </c>
      <c r="AA24" s="317">
        <f>+Financials!AA20</f>
        <v>6.7009999999999996</v>
      </c>
      <c r="AB24" s="282">
        <f t="shared" si="70"/>
        <v>6.1189999999999998</v>
      </c>
      <c r="AC24" s="282">
        <f t="shared" si="70"/>
        <v>4.6899999999999995</v>
      </c>
      <c r="AD24" s="282">
        <f t="shared" si="70"/>
        <v>3.8250000000000002</v>
      </c>
      <c r="AE24" s="282">
        <f t="shared" si="70"/>
        <v>14.571000000000002</v>
      </c>
      <c r="AF24" s="282">
        <f t="shared" ca="1" si="70"/>
        <v>3.9829382873167805</v>
      </c>
      <c r="AG24" s="282">
        <f t="shared" ca="1" si="72"/>
        <v>4.1789102640703994</v>
      </c>
      <c r="AH24" s="282">
        <f t="shared" ref="AH24" ca="1" si="75">AH81*AH$10</f>
        <v>4.4903111131226119</v>
      </c>
    </row>
    <row r="25" spans="1:34" s="283" customFormat="1">
      <c r="C25" s="283" t="s">
        <v>639</v>
      </c>
      <c r="D25" s="486"/>
      <c r="E25" s="317">
        <f>+Financials!E65</f>
        <v>6.0999999999999943E-2</v>
      </c>
      <c r="F25" s="317">
        <f>+Financials!F65</f>
        <v>-0.10299999999999998</v>
      </c>
      <c r="G25" s="317">
        <f>+Financials!G65</f>
        <v>-0.53500000000000014</v>
      </c>
      <c r="H25" s="317">
        <f>+Financials!H65</f>
        <v>0.54800000000000004</v>
      </c>
      <c r="I25" s="317">
        <f>+Financials!I65</f>
        <v>1.024</v>
      </c>
      <c r="J25" s="317">
        <f>+Financials!J65</f>
        <v>0.56299999999999994</v>
      </c>
      <c r="K25" s="317">
        <f>+Financials!K65</f>
        <v>0.18199999999999994</v>
      </c>
      <c r="L25" s="317">
        <f>+Financials!L65</f>
        <v>0.45500000000000007</v>
      </c>
      <c r="M25" s="317">
        <f>+Financials!M65</f>
        <v>1.032</v>
      </c>
      <c r="N25" s="317">
        <f>+Financials!N65</f>
        <v>0.50800000000000001</v>
      </c>
      <c r="O25" s="317">
        <f>+Financials!O65</f>
        <v>0.29099999999999993</v>
      </c>
      <c r="P25" s="317">
        <f>+Financials!P65</f>
        <v>0.53299999999999992</v>
      </c>
      <c r="Q25" s="317">
        <f>+Financials!Q65</f>
        <v>0.81999999999999984</v>
      </c>
      <c r="R25" s="317">
        <f>+Financials!R65</f>
        <v>0.62999999999999989</v>
      </c>
      <c r="S25" s="317">
        <f>+Financials!S65</f>
        <v>0.52399999999999913</v>
      </c>
      <c r="T25" s="317">
        <f>+Financials!T65</f>
        <v>1.4180000000000001</v>
      </c>
      <c r="U25" s="317">
        <f>+Financials!U65</f>
        <v>0.74199999999999999</v>
      </c>
      <c r="V25" s="282">
        <f t="shared" ref="V25:X25" ca="1" si="76">V82*V$10</f>
        <v>0.88864161115641627</v>
      </c>
      <c r="W25" s="282">
        <f t="shared" ca="1" si="76"/>
        <v>0.76719313626263819</v>
      </c>
      <c r="X25" s="282">
        <f t="shared" ca="1" si="76"/>
        <v>0.88223207743005871</v>
      </c>
      <c r="Z25" s="317">
        <f>+Financials!Z65</f>
        <v>-0.90800000000000036</v>
      </c>
      <c r="AA25" s="317">
        <f>+Financials!AA65</f>
        <v>-2.1929999999999996</v>
      </c>
      <c r="AB25" s="282">
        <f t="shared" si="70"/>
        <v>-2.9000000000000137E-2</v>
      </c>
      <c r="AC25" s="282">
        <f t="shared" si="70"/>
        <v>2.2240000000000002</v>
      </c>
      <c r="AD25" s="282">
        <f t="shared" si="70"/>
        <v>2.3639999999999999</v>
      </c>
      <c r="AE25" s="282">
        <f t="shared" si="70"/>
        <v>3.391999999999999</v>
      </c>
      <c r="AF25" s="282">
        <f t="shared" ca="1" si="70"/>
        <v>3.2800668248491132</v>
      </c>
      <c r="AG25" s="282">
        <f t="shared" ca="1" si="72"/>
        <v>3.4414555115873879</v>
      </c>
      <c r="AH25" s="282">
        <f t="shared" ref="AH25" ca="1" si="77">AH82*AH$10</f>
        <v>3.6979032696303862</v>
      </c>
    </row>
    <row r="26" spans="1:34" s="283" customFormat="1">
      <c r="C26" s="283" t="s">
        <v>602</v>
      </c>
      <c r="D26" s="486" t="s">
        <v>636</v>
      </c>
      <c r="E26" s="317">
        <f>+Financials!E66</f>
        <v>-2.6470000000000002</v>
      </c>
      <c r="F26" s="317">
        <f>+Financials!F66</f>
        <v>0</v>
      </c>
      <c r="G26" s="317">
        <f>+Financials!G66</f>
        <v>37.713000000000001</v>
      </c>
      <c r="H26" s="317">
        <f>+Financials!H66</f>
        <v>0</v>
      </c>
      <c r="I26" s="317">
        <f>+Financials!I66</f>
        <v>0</v>
      </c>
      <c r="J26" s="317">
        <f>+Financials!J66</f>
        <v>-0.40299999999999958</v>
      </c>
      <c r="K26" s="317">
        <f>+Financials!K66</f>
        <v>7.2070000000000007</v>
      </c>
      <c r="L26" s="317">
        <f>+Financials!L66</f>
        <v>-1.4630000000000001</v>
      </c>
      <c r="M26" s="317">
        <f>+Financials!M66</f>
        <v>-2.5439999999999996</v>
      </c>
      <c r="N26" s="317">
        <f>+Financials!N66</f>
        <v>-1.4080000000000013</v>
      </c>
      <c r="O26" s="317">
        <f>+Financials!O66</f>
        <v>-6.0720000000000001</v>
      </c>
      <c r="P26" s="317">
        <f>+Financials!P66</f>
        <v>-8.2039999999999988</v>
      </c>
      <c r="Q26" s="317">
        <f>+Financials!Q66</f>
        <v>-10.488999999999999</v>
      </c>
      <c r="R26" s="317">
        <f>+Financials!R66</f>
        <v>-4.2349999999999994</v>
      </c>
      <c r="S26" s="317">
        <f>+Financials!S66</f>
        <v>-3.9050000000000011</v>
      </c>
      <c r="T26" s="317">
        <f>+Financials!T66</f>
        <v>-2.1229999999999976</v>
      </c>
      <c r="U26" s="317">
        <f>+Financials!U66</f>
        <v>0.20100000000000001</v>
      </c>
      <c r="V26" s="282">
        <f t="shared" ref="V26:X26" ca="1" si="78">V83*V$10</f>
        <v>0</v>
      </c>
      <c r="W26" s="282">
        <f t="shared" ca="1" si="78"/>
        <v>0</v>
      </c>
      <c r="X26" s="282">
        <f t="shared" ca="1" si="78"/>
        <v>0</v>
      </c>
      <c r="Z26" s="317">
        <f>+Financials!Z66</f>
        <v>0</v>
      </c>
      <c r="AA26" s="317">
        <f>+Financials!AA66</f>
        <v>-3.1870000000000012</v>
      </c>
      <c r="AB26" s="282">
        <f t="shared" si="70"/>
        <v>35.066000000000003</v>
      </c>
      <c r="AC26" s="282">
        <f t="shared" si="70"/>
        <v>5.3410000000000011</v>
      </c>
      <c r="AD26" s="282">
        <f t="shared" si="70"/>
        <v>-18.228000000000002</v>
      </c>
      <c r="AE26" s="282">
        <f t="shared" si="70"/>
        <v>-20.751999999999995</v>
      </c>
      <c r="AF26" s="282">
        <f t="shared" ca="1" si="70"/>
        <v>0.20100000000000001</v>
      </c>
      <c r="AG26" s="282">
        <f t="shared" ca="1" si="72"/>
        <v>0</v>
      </c>
      <c r="AH26" s="282">
        <f t="shared" ref="AH26" ca="1" si="79">AH83*AH$10</f>
        <v>0</v>
      </c>
    </row>
    <row r="27" spans="1:34" s="283" customFormat="1">
      <c r="C27" s="283" t="s">
        <v>620</v>
      </c>
      <c r="D27" s="486" t="s">
        <v>636</v>
      </c>
      <c r="E27" s="317">
        <f>+Financials!E67</f>
        <v>0</v>
      </c>
      <c r="F27" s="317">
        <f>+Financials!F67</f>
        <v>0</v>
      </c>
      <c r="G27" s="317">
        <f>+Financials!G67</f>
        <v>0</v>
      </c>
      <c r="H27" s="317">
        <f>+Financials!H67</f>
        <v>0</v>
      </c>
      <c r="I27" s="317">
        <f>+Financials!I67</f>
        <v>0</v>
      </c>
      <c r="J27" s="317">
        <f>+Financials!J67</f>
        <v>0</v>
      </c>
      <c r="K27" s="317">
        <f>+Financials!K67</f>
        <v>10.912000000000001</v>
      </c>
      <c r="L27" s="317">
        <f>+Financials!L67</f>
        <v>-10.912000000000001</v>
      </c>
      <c r="M27" s="317">
        <f>+Financials!M67</f>
        <v>0</v>
      </c>
      <c r="N27" s="317">
        <f>+Financials!N67</f>
        <v>0</v>
      </c>
      <c r="O27" s="317">
        <f>+Financials!O67</f>
        <v>0</v>
      </c>
      <c r="P27" s="317">
        <f>+Financials!P67</f>
        <v>0</v>
      </c>
      <c r="Q27" s="317">
        <f>+Financials!Q67</f>
        <v>0</v>
      </c>
      <c r="R27" s="317">
        <f>+Financials!R67</f>
        <v>0</v>
      </c>
      <c r="S27" s="317">
        <f>+Financials!S67</f>
        <v>0</v>
      </c>
      <c r="T27" s="317">
        <f ca="1">+Financials!T67</f>
        <v>0</v>
      </c>
      <c r="U27" s="317">
        <f ca="1">+Financials!U67</f>
        <v>0</v>
      </c>
      <c r="V27" s="282">
        <f t="shared" ref="V27:X27" ca="1" si="80">V84*V$10</f>
        <v>0</v>
      </c>
      <c r="W27" s="282">
        <f t="shared" ca="1" si="80"/>
        <v>0</v>
      </c>
      <c r="X27" s="282">
        <f t="shared" ca="1" si="80"/>
        <v>0</v>
      </c>
      <c r="Z27" s="317">
        <f>+Financials!Z67</f>
        <v>0</v>
      </c>
      <c r="AA27" s="317">
        <f>+Financials!AA67</f>
        <v>0</v>
      </c>
      <c r="AB27" s="282">
        <f t="shared" si="70"/>
        <v>0</v>
      </c>
      <c r="AC27" s="282">
        <f t="shared" si="70"/>
        <v>0</v>
      </c>
      <c r="AD27" s="282">
        <f t="shared" si="70"/>
        <v>0</v>
      </c>
      <c r="AE27" s="282">
        <f t="shared" ca="1" si="70"/>
        <v>0</v>
      </c>
      <c r="AF27" s="282">
        <f t="shared" ca="1" si="70"/>
        <v>0</v>
      </c>
      <c r="AG27" s="282">
        <f t="shared" ca="1" si="72"/>
        <v>0</v>
      </c>
      <c r="AH27" s="282">
        <f t="shared" ref="AH27" ca="1" si="81">AH84*AH$10</f>
        <v>0</v>
      </c>
    </row>
    <row r="28" spans="1:34" s="283" customFormat="1">
      <c r="C28" s="316" t="s">
        <v>534</v>
      </c>
      <c r="D28" s="486"/>
      <c r="E28" s="379">
        <f t="shared" ref="E28:Q28" si="82">E20-SUM(E22:E27)</f>
        <v>19.537999999999997</v>
      </c>
      <c r="F28" s="379">
        <f t="shared" si="82"/>
        <v>14.048000000000016</v>
      </c>
      <c r="G28" s="379">
        <f t="shared" si="82"/>
        <v>-20.286000000000001</v>
      </c>
      <c r="H28" s="379">
        <f t="shared" si="82"/>
        <v>-20.598000000000042</v>
      </c>
      <c r="I28" s="379">
        <f t="shared" si="82"/>
        <v>-13.856999999999992</v>
      </c>
      <c r="J28" s="379">
        <f t="shared" si="82"/>
        <v>-34.947000000000017</v>
      </c>
      <c r="K28" s="379">
        <f t="shared" si="82"/>
        <v>-1.8029999999999831</v>
      </c>
      <c r="L28" s="379">
        <f t="shared" si="82"/>
        <v>10.063999999999915</v>
      </c>
      <c r="M28" s="379">
        <f t="shared" si="82"/>
        <v>-2.7639999999999816</v>
      </c>
      <c r="N28" s="379">
        <f t="shared" si="82"/>
        <v>24.550999999999995</v>
      </c>
      <c r="O28" s="379">
        <f t="shared" si="82"/>
        <v>42.389999999999972</v>
      </c>
      <c r="P28" s="379">
        <f t="shared" si="82"/>
        <v>27.690000000000019</v>
      </c>
      <c r="Q28" s="379">
        <f t="shared" si="82"/>
        <v>44.812999999999988</v>
      </c>
      <c r="R28" s="379">
        <f t="shared" ref="R28:S28" si="83">R20-SUM(R22:R27)</f>
        <v>31.841999999999999</v>
      </c>
      <c r="S28" s="379">
        <f t="shared" si="83"/>
        <v>-1.7339999999999876</v>
      </c>
      <c r="T28" s="379">
        <f t="shared" ref="T28:U28" ca="1" si="84">T20-SUM(T22:T27)</f>
        <v>22.49700000000005</v>
      </c>
      <c r="U28" s="379">
        <f t="shared" ca="1" si="84"/>
        <v>19.78599999999998</v>
      </c>
      <c r="V28" s="379">
        <f t="shared" ref="V28:X28" ca="1" si="85">V20-SUM(V22:V27)</f>
        <v>50.624624008835816</v>
      </c>
      <c r="W28" s="379">
        <f t="shared" ca="1" si="85"/>
        <v>26.894962180413344</v>
      </c>
      <c r="X28" s="379">
        <f t="shared" ca="1" si="85"/>
        <v>66.155039501530013</v>
      </c>
      <c r="Z28" s="379">
        <f t="shared" ref="Z28:AG28" si="86">Z20-SUM(Z22:Z27)</f>
        <v>112.905</v>
      </c>
      <c r="AA28" s="379">
        <f t="shared" si="86"/>
        <v>74.648000000000025</v>
      </c>
      <c r="AB28" s="379">
        <f t="shared" si="86"/>
        <v>-7.2980000000000871</v>
      </c>
      <c r="AC28" s="379">
        <f t="shared" si="86"/>
        <v>-40.54300000000012</v>
      </c>
      <c r="AD28" s="379">
        <f t="shared" si="86"/>
        <v>91.86699999999999</v>
      </c>
      <c r="AE28" s="379">
        <f t="shared" ca="1" si="86"/>
        <v>97.41799999999995</v>
      </c>
      <c r="AF28" s="379">
        <f t="shared" ca="1" si="86"/>
        <v>163.4606256907791</v>
      </c>
      <c r="AG28" s="379">
        <f t="shared" ca="1" si="86"/>
        <v>175.48930511756862</v>
      </c>
      <c r="AH28" s="379">
        <f t="shared" ref="AH28" ca="1" si="87">AH20-SUM(AH22:AH27)</f>
        <v>189.56430511670587</v>
      </c>
    </row>
    <row r="29" spans="1:34" s="283" customFormat="1">
      <c r="D29" s="486"/>
      <c r="E29" s="313"/>
      <c r="F29" s="313"/>
      <c r="G29" s="313"/>
      <c r="H29" s="313"/>
      <c r="I29" s="313"/>
      <c r="J29" s="313"/>
      <c r="K29" s="313"/>
      <c r="L29" s="313"/>
      <c r="M29" s="313"/>
      <c r="N29" s="313"/>
      <c r="O29" s="313"/>
      <c r="P29" s="313"/>
      <c r="Q29" s="313"/>
      <c r="R29" s="313"/>
      <c r="S29" s="313"/>
      <c r="T29" s="313"/>
      <c r="U29" s="313"/>
      <c r="V29" s="313"/>
      <c r="W29" s="313"/>
      <c r="X29" s="313"/>
      <c r="Z29" s="313"/>
      <c r="AA29" s="313"/>
      <c r="AB29" s="313"/>
      <c r="AC29" s="313"/>
      <c r="AD29" s="313"/>
      <c r="AE29" s="313"/>
      <c r="AF29" s="313"/>
      <c r="AG29" s="313"/>
      <c r="AH29" s="313"/>
    </row>
    <row r="30" spans="1:34">
      <c r="B30" s="283"/>
      <c r="C30" s="283" t="s">
        <v>542</v>
      </c>
      <c r="D30" s="486"/>
      <c r="E30" s="283">
        <f>+E116</f>
        <v>9.7940000000000005</v>
      </c>
      <c r="F30" s="283">
        <f t="shared" ref="F30:Q30" si="88">+F116</f>
        <v>10.079000000000001</v>
      </c>
      <c r="G30" s="283">
        <f t="shared" si="88"/>
        <v>10.146000000000001</v>
      </c>
      <c r="H30" s="283">
        <f t="shared" si="88"/>
        <v>10.925000000000001</v>
      </c>
      <c r="I30" s="283">
        <f t="shared" si="88"/>
        <v>10.664999999999999</v>
      </c>
      <c r="J30" s="283">
        <f t="shared" si="88"/>
        <v>11.335000000000001</v>
      </c>
      <c r="K30" s="283">
        <f t="shared" si="88"/>
        <v>11.776999999999999</v>
      </c>
      <c r="L30" s="283">
        <f t="shared" si="88"/>
        <v>11.815</v>
      </c>
      <c r="M30" s="283">
        <f t="shared" si="88"/>
        <v>11.743</v>
      </c>
      <c r="N30" s="283">
        <f t="shared" si="88"/>
        <v>11.829000000000001</v>
      </c>
      <c r="O30" s="283">
        <f t="shared" si="88"/>
        <v>10.779</v>
      </c>
      <c r="P30" s="283">
        <f t="shared" si="88"/>
        <v>10.65</v>
      </c>
      <c r="Q30" s="283">
        <f t="shared" si="88"/>
        <v>10.744</v>
      </c>
      <c r="R30" s="283">
        <f t="shared" ref="R30:S30" si="89">+R116</f>
        <v>10.271000000000001</v>
      </c>
      <c r="S30" s="283">
        <f t="shared" si="89"/>
        <v>10.468999999999999</v>
      </c>
      <c r="T30" s="283">
        <f t="shared" ref="T30:U30" si="90">+T116</f>
        <v>10.461</v>
      </c>
      <c r="U30" s="283">
        <f t="shared" si="90"/>
        <v>10.406000000000001</v>
      </c>
      <c r="V30" s="282">
        <f t="shared" ref="V30:X30" ca="1" si="91">V116</f>
        <v>9.2381539374999999</v>
      </c>
      <c r="W30" s="282">
        <f t="shared" ca="1" si="91"/>
        <v>9.2381539374999999</v>
      </c>
      <c r="X30" s="282">
        <f t="shared" ca="1" si="91"/>
        <v>9.2381539374999999</v>
      </c>
      <c r="Y30" s="283"/>
      <c r="Z30" s="283">
        <f>+Z116</f>
        <v>21.795999999999999</v>
      </c>
      <c r="AA30" s="283">
        <f>+AA116</f>
        <v>37.125</v>
      </c>
      <c r="AB30" s="282">
        <f t="shared" ref="AB30:AF32" si="92">SUMIF($E$5:$X$5,AB$5,$E30:$X30)</f>
        <v>40.944000000000003</v>
      </c>
      <c r="AC30" s="282">
        <f t="shared" si="92"/>
        <v>45.591999999999999</v>
      </c>
      <c r="AD30" s="282">
        <f t="shared" si="92"/>
        <v>45.000999999999998</v>
      </c>
      <c r="AE30" s="282">
        <f t="shared" si="92"/>
        <v>41.945</v>
      </c>
      <c r="AF30" s="282">
        <f t="shared" ca="1" si="92"/>
        <v>38.120461812500004</v>
      </c>
      <c r="AG30" s="282">
        <f ca="1">AG116</f>
        <v>36.95261575</v>
      </c>
      <c r="AH30" s="282">
        <f ca="1">AH116</f>
        <v>36.95261575</v>
      </c>
    </row>
    <row r="31" spans="1:34">
      <c r="B31" s="283"/>
      <c r="C31" s="283" t="s">
        <v>320</v>
      </c>
      <c r="D31" s="486"/>
      <c r="E31" s="317">
        <f>+Financials!E30</f>
        <v>0</v>
      </c>
      <c r="F31" s="317">
        <f>+Financials!F30</f>
        <v>0</v>
      </c>
      <c r="G31" s="317">
        <f>+Financials!G30</f>
        <v>3.5999999999999997E-2</v>
      </c>
      <c r="H31" s="317">
        <f>+Financials!H30</f>
        <v>-2E-3</v>
      </c>
      <c r="I31" s="317">
        <f>+Financials!I30</f>
        <v>0</v>
      </c>
      <c r="J31" s="317">
        <f>+Financials!J30</f>
        <v>0</v>
      </c>
      <c r="K31" s="317">
        <f>+Financials!K30</f>
        <v>-0.92700000000000005</v>
      </c>
      <c r="L31" s="317">
        <f>+Financials!L30</f>
        <v>4.0000000000000001E-3</v>
      </c>
      <c r="M31" s="317">
        <f>+Financials!M30</f>
        <v>0</v>
      </c>
      <c r="N31" s="317">
        <f>+Financials!N30</f>
        <v>0</v>
      </c>
      <c r="O31" s="317">
        <f>+Financials!O30</f>
        <v>0</v>
      </c>
      <c r="P31" s="317">
        <f>+Financials!P30</f>
        <v>0</v>
      </c>
      <c r="Q31" s="317">
        <f>+Financials!Q30</f>
        <v>-1.1579999999999999</v>
      </c>
      <c r="R31" s="317">
        <f>+Financials!R30</f>
        <v>0</v>
      </c>
      <c r="S31" s="317">
        <f>+Financials!S30</f>
        <v>0</v>
      </c>
      <c r="T31" s="317">
        <f>+Financials!T30</f>
        <v>0</v>
      </c>
      <c r="U31" s="317">
        <f>+Financials!U30</f>
        <v>0</v>
      </c>
      <c r="V31" s="282">
        <f t="shared" ref="V31:X31" ca="1" si="93">V88*V$10</f>
        <v>0</v>
      </c>
      <c r="W31" s="282">
        <f t="shared" ca="1" si="93"/>
        <v>0</v>
      </c>
      <c r="X31" s="282">
        <f t="shared" ca="1" si="93"/>
        <v>0</v>
      </c>
      <c r="Y31" s="283"/>
      <c r="Z31" s="317">
        <f>+Financials!Z30</f>
        <v>0</v>
      </c>
      <c r="AA31" s="317">
        <f>+Financials!AA30</f>
        <v>0.16600000000000001</v>
      </c>
      <c r="AB31" s="282">
        <f t="shared" si="92"/>
        <v>3.3999999999999996E-2</v>
      </c>
      <c r="AC31" s="282">
        <f t="shared" si="92"/>
        <v>-0.92300000000000004</v>
      </c>
      <c r="AD31" s="282">
        <f t="shared" si="92"/>
        <v>0</v>
      </c>
      <c r="AE31" s="282">
        <f t="shared" si="92"/>
        <v>-1.1579999999999999</v>
      </c>
      <c r="AF31" s="282">
        <f t="shared" ca="1" si="92"/>
        <v>0</v>
      </c>
      <c r="AG31" s="282">
        <f t="shared" ref="AG31:AH32" ca="1" si="94">AG88*AG$10</f>
        <v>0</v>
      </c>
      <c r="AH31" s="282">
        <f t="shared" ca="1" si="94"/>
        <v>0</v>
      </c>
    </row>
    <row r="32" spans="1:34">
      <c r="B32" s="283"/>
      <c r="C32" s="283" t="s">
        <v>321</v>
      </c>
      <c r="D32" s="486"/>
      <c r="E32" s="317">
        <f>+Financials!E31</f>
        <v>5.6000000000000001E-2</v>
      </c>
      <c r="F32" s="317">
        <f>+Financials!F31</f>
        <v>-0.108</v>
      </c>
      <c r="G32" s="317">
        <f>+Financials!G31</f>
        <v>0.34599999999999997</v>
      </c>
      <c r="H32" s="317">
        <f>+Financials!H31</f>
        <v>0.61299999999999999</v>
      </c>
      <c r="I32" s="317">
        <f>+Financials!I31</f>
        <v>1.1240000000000001</v>
      </c>
      <c r="J32" s="317">
        <f>+Financials!J31</f>
        <v>1.1870000000000001</v>
      </c>
      <c r="K32" s="317">
        <f>+Financials!K31</f>
        <v>1.0960000000000001</v>
      </c>
      <c r="L32" s="317">
        <f>+Financials!L31</f>
        <v>1.022</v>
      </c>
      <c r="M32" s="317">
        <f>+Financials!M31</f>
        <v>0.42299999999999999</v>
      </c>
      <c r="N32" s="317">
        <f>+Financials!N31</f>
        <v>0.64900000000000002</v>
      </c>
      <c r="O32" s="317">
        <f>+Financials!O31</f>
        <v>0.40600000000000003</v>
      </c>
      <c r="P32" s="317">
        <f>+Financials!P31</f>
        <v>0.67400000000000004</v>
      </c>
      <c r="Q32" s="317">
        <f>+Financials!Q31</f>
        <v>0.161</v>
      </c>
      <c r="R32" s="317">
        <f>+Financials!R31</f>
        <v>0.27800000000000002</v>
      </c>
      <c r="S32" s="317">
        <f>+Financials!S31</f>
        <v>-0.247</v>
      </c>
      <c r="T32" s="317">
        <f>+Financials!T31</f>
        <v>0.38200000000000001</v>
      </c>
      <c r="U32" s="317">
        <f>+Financials!U31</f>
        <v>-1.571</v>
      </c>
      <c r="V32" s="282">
        <f t="shared" ref="V32:X32" ca="1" si="95">V89*V$10</f>
        <v>-1.8814770500360241</v>
      </c>
      <c r="W32" s="282">
        <f t="shared" ca="1" si="95"/>
        <v>-1.6243401847285774</v>
      </c>
      <c r="X32" s="282">
        <f t="shared" ca="1" si="95"/>
        <v>-1.8679064604348006</v>
      </c>
      <c r="Y32" s="283"/>
      <c r="Z32" s="317">
        <f>+Financials!Z31</f>
        <v>-0.50700000000000001</v>
      </c>
      <c r="AA32" s="317">
        <f>+Financials!AA31</f>
        <v>-1.6919999999999999</v>
      </c>
      <c r="AB32" s="282">
        <f t="shared" si="92"/>
        <v>0.90700000000000003</v>
      </c>
      <c r="AC32" s="282">
        <f t="shared" si="92"/>
        <v>4.4290000000000003</v>
      </c>
      <c r="AD32" s="282">
        <f t="shared" si="92"/>
        <v>2.1520000000000001</v>
      </c>
      <c r="AE32" s="282">
        <f t="shared" si="92"/>
        <v>0.57400000000000007</v>
      </c>
      <c r="AF32" s="282">
        <f t="shared" ca="1" si="92"/>
        <v>-6.9447236951994018</v>
      </c>
      <c r="AG32" s="282">
        <f t="shared" ca="1" si="94"/>
        <v>4.3249866001046913</v>
      </c>
      <c r="AH32" s="282">
        <f t="shared" ca="1" si="94"/>
        <v>4.6472726541967475</v>
      </c>
    </row>
    <row r="33" spans="1:41" s="283" customFormat="1">
      <c r="C33" s="316" t="s">
        <v>323</v>
      </c>
      <c r="D33" s="486"/>
      <c r="E33" s="379">
        <f>E28-SUM(E30:E32)</f>
        <v>9.6879999999999971</v>
      </c>
      <c r="F33" s="379">
        <f t="shared" ref="F33:Q33" si="96">F28-SUM(F30:F32)</f>
        <v>4.0770000000000159</v>
      </c>
      <c r="G33" s="379">
        <f t="shared" si="96"/>
        <v>-30.814</v>
      </c>
      <c r="H33" s="379">
        <f t="shared" si="96"/>
        <v>-32.134000000000043</v>
      </c>
      <c r="I33" s="379">
        <f t="shared" si="96"/>
        <v>-25.645999999999994</v>
      </c>
      <c r="J33" s="379">
        <f t="shared" si="96"/>
        <v>-47.469000000000015</v>
      </c>
      <c r="K33" s="379">
        <f t="shared" si="96"/>
        <v>-13.748999999999983</v>
      </c>
      <c r="L33" s="379">
        <f t="shared" si="96"/>
        <v>-2.7770000000000845</v>
      </c>
      <c r="M33" s="379">
        <f t="shared" si="96"/>
        <v>-14.929999999999982</v>
      </c>
      <c r="N33" s="379">
        <f t="shared" si="96"/>
        <v>12.072999999999993</v>
      </c>
      <c r="O33" s="379">
        <f t="shared" si="96"/>
        <v>31.20499999999997</v>
      </c>
      <c r="P33" s="379">
        <f t="shared" si="96"/>
        <v>16.366000000000021</v>
      </c>
      <c r="Q33" s="379">
        <f t="shared" si="96"/>
        <v>35.065999999999988</v>
      </c>
      <c r="R33" s="379">
        <f t="shared" ref="R33:S33" si="97">R28-SUM(R30:R32)</f>
        <v>21.292999999999999</v>
      </c>
      <c r="S33" s="379">
        <f t="shared" si="97"/>
        <v>-11.955999999999987</v>
      </c>
      <c r="T33" s="379">
        <f t="shared" ref="T33:U33" ca="1" si="98">T28-SUM(T30:T32)</f>
        <v>11.65400000000005</v>
      </c>
      <c r="U33" s="379">
        <f t="shared" ca="1" si="98"/>
        <v>10.950999999999979</v>
      </c>
      <c r="V33" s="379">
        <f t="shared" ref="V33:X33" ca="1" si="99">V28-SUM(V30:V32)</f>
        <v>43.26794712137184</v>
      </c>
      <c r="W33" s="379">
        <f t="shared" ca="1" si="99"/>
        <v>19.281148427641924</v>
      </c>
      <c r="X33" s="379">
        <f t="shared" ca="1" si="99"/>
        <v>58.784792024464814</v>
      </c>
      <c r="Z33" s="379">
        <f t="shared" ref="Z33:AG33" si="100">Z28-SUM(Z30:Z32)</f>
        <v>91.616</v>
      </c>
      <c r="AA33" s="379">
        <f t="shared" si="100"/>
        <v>39.049000000000028</v>
      </c>
      <c r="AB33" s="379">
        <f t="shared" si="100"/>
        <v>-49.183000000000092</v>
      </c>
      <c r="AC33" s="379">
        <f t="shared" si="100"/>
        <v>-89.641000000000119</v>
      </c>
      <c r="AD33" s="379">
        <f t="shared" si="100"/>
        <v>44.713999999999992</v>
      </c>
      <c r="AE33" s="379">
        <f t="shared" ca="1" si="100"/>
        <v>56.056999999999952</v>
      </c>
      <c r="AF33" s="379">
        <f t="shared" ca="1" si="100"/>
        <v>132.2848875734785</v>
      </c>
      <c r="AG33" s="379">
        <f t="shared" ca="1" si="100"/>
        <v>134.21170276746392</v>
      </c>
      <c r="AH33" s="379">
        <f t="shared" ref="AH33" ca="1" si="101">AH28-SUM(AH30:AH32)</f>
        <v>147.96441671250912</v>
      </c>
    </row>
    <row r="34" spans="1:41" s="283" customFormat="1">
      <c r="C34" s="313"/>
      <c r="D34" s="486"/>
      <c r="E34" s="313"/>
      <c r="F34" s="313"/>
      <c r="G34" s="313"/>
      <c r="H34" s="313"/>
      <c r="I34" s="313"/>
      <c r="J34" s="313"/>
      <c r="K34" s="313"/>
      <c r="L34" s="313"/>
      <c r="M34" s="313"/>
      <c r="N34" s="313"/>
      <c r="O34" s="313"/>
      <c r="P34" s="313"/>
      <c r="Q34" s="313"/>
      <c r="R34" s="313"/>
      <c r="S34" s="313"/>
      <c r="T34" s="313"/>
      <c r="U34" s="313"/>
      <c r="V34" s="313"/>
      <c r="W34" s="313"/>
      <c r="X34" s="313"/>
      <c r="Z34" s="313"/>
      <c r="AA34" s="313"/>
      <c r="AB34" s="313"/>
      <c r="AC34" s="313"/>
      <c r="AD34" s="313"/>
      <c r="AE34" s="313"/>
      <c r="AF34" s="313"/>
      <c r="AG34" s="313"/>
      <c r="AH34" s="313"/>
    </row>
    <row r="35" spans="1:41">
      <c r="B35" s="283"/>
      <c r="C35" s="283" t="s">
        <v>541</v>
      </c>
      <c r="D35" s="486"/>
      <c r="E35" s="283">
        <f>+E122</f>
        <v>0.76800000000000002</v>
      </c>
      <c r="F35" s="283">
        <f t="shared" ref="F35:Q35" si="102">+F122</f>
        <v>0.42699999999999999</v>
      </c>
      <c r="G35" s="283">
        <f t="shared" si="102"/>
        <v>-2.6789999999999998</v>
      </c>
      <c r="H35" s="283">
        <f t="shared" si="102"/>
        <v>-4.6049999999999995</v>
      </c>
      <c r="I35" s="283">
        <f t="shared" si="102"/>
        <v>-7.2160000000000002</v>
      </c>
      <c r="J35" s="283">
        <f t="shared" si="102"/>
        <v>-11.179</v>
      </c>
      <c r="K35" s="283">
        <f t="shared" si="102"/>
        <v>-2.0860000000000003</v>
      </c>
      <c r="L35" s="283">
        <f t="shared" si="102"/>
        <v>-4.0919999999999996</v>
      </c>
      <c r="M35" s="283">
        <f t="shared" si="102"/>
        <v>-0.40500000000000003</v>
      </c>
      <c r="N35" s="283">
        <f t="shared" si="102"/>
        <v>2.6459999999999999</v>
      </c>
      <c r="O35" s="283">
        <f t="shared" si="102"/>
        <v>5.181</v>
      </c>
      <c r="P35" s="283">
        <f t="shared" si="102"/>
        <v>0.77700000000000014</v>
      </c>
      <c r="Q35" s="283">
        <f t="shared" si="102"/>
        <v>1.8610000000000002</v>
      </c>
      <c r="R35" s="283">
        <f t="shared" ref="R35:S35" si="103">+R122</f>
        <v>-4.1340000000000003</v>
      </c>
      <c r="S35" s="283">
        <f t="shared" si="103"/>
        <v>-4.5330000000000004</v>
      </c>
      <c r="T35" s="283">
        <f t="shared" ref="T35:U35" si="104">+T122</f>
        <v>-25.645</v>
      </c>
      <c r="U35" s="283">
        <f t="shared" si="104"/>
        <v>5.6310000000000002</v>
      </c>
      <c r="V35" s="283">
        <f t="shared" ref="V35:X35" ca="1" si="105">V36*V33</f>
        <v>9.0862688954880859</v>
      </c>
      <c r="W35" s="283">
        <f t="shared" ca="1" si="105"/>
        <v>4.0490411698048039</v>
      </c>
      <c r="X35" s="283">
        <f t="shared" ca="1" si="105"/>
        <v>12.344806325137611</v>
      </c>
      <c r="Y35" s="283"/>
      <c r="Z35" s="283">
        <f>+Z122</f>
        <v>38.522999999999996</v>
      </c>
      <c r="AA35" s="283">
        <f>+AA122</f>
        <v>5.0280000000000005</v>
      </c>
      <c r="AB35" s="282">
        <f>SUMIF($E$5:$X$5,AB$5,$E35:$X35)</f>
        <v>-6.0889999999999995</v>
      </c>
      <c r="AC35" s="282">
        <f t="shared" ref="AC35:AF35" si="106">SUMIF($E$5:$X$5,AC$5,$E35:$X35)</f>
        <v>-24.573</v>
      </c>
      <c r="AD35" s="282">
        <f t="shared" si="106"/>
        <v>8.1989999999999998</v>
      </c>
      <c r="AE35" s="282">
        <f t="shared" si="106"/>
        <v>-32.451000000000001</v>
      </c>
      <c r="AF35" s="282">
        <f t="shared" ca="1" si="106"/>
        <v>31.111116390430503</v>
      </c>
      <c r="AG35" s="283">
        <f ca="1">AG36*AG33</f>
        <v>28.184457581167422</v>
      </c>
      <c r="AH35" s="283">
        <f ca="1">AH36*AH33</f>
        <v>31.072527509626916</v>
      </c>
    </row>
    <row r="36" spans="1:41" s="439" customFormat="1">
      <c r="A36" s="283"/>
      <c r="B36" s="464"/>
      <c r="C36" s="464" t="s">
        <v>569</v>
      </c>
      <c r="D36" s="487"/>
      <c r="E36" s="334">
        <f>E35/ABS(E33)</f>
        <v>7.9273327828241147E-2</v>
      </c>
      <c r="F36" s="334">
        <f t="shared" ref="F36:Z36" si="107">F35/ABS(F33)</f>
        <v>0.10473387294579306</v>
      </c>
      <c r="G36" s="334">
        <f t="shared" si="107"/>
        <v>-8.6941000843772306E-2</v>
      </c>
      <c r="H36" s="334">
        <f t="shared" si="107"/>
        <v>-0.14330615547395262</v>
      </c>
      <c r="I36" s="334">
        <f t="shared" si="107"/>
        <v>-0.28136941433361934</v>
      </c>
      <c r="J36" s="334">
        <f t="shared" si="107"/>
        <v>-0.23550106385219821</v>
      </c>
      <c r="K36" s="334">
        <f t="shared" si="107"/>
        <v>-0.15172012510000749</v>
      </c>
      <c r="L36" s="334">
        <f t="shared" si="107"/>
        <v>-1.47353258912491</v>
      </c>
      <c r="M36" s="334">
        <f t="shared" si="107"/>
        <v>-2.7126590756865406E-2</v>
      </c>
      <c r="N36" s="334">
        <f t="shared" si="107"/>
        <v>0.21916673569121192</v>
      </c>
      <c r="O36" s="334">
        <f t="shared" si="107"/>
        <v>0.16603108476205752</v>
      </c>
      <c r="P36" s="334">
        <f t="shared" si="107"/>
        <v>4.7476475620188141E-2</v>
      </c>
      <c r="Q36" s="334">
        <f t="shared" si="107"/>
        <v>5.3071351166372009E-2</v>
      </c>
      <c r="R36" s="334">
        <f t="shared" ref="R36:S36" si="108">R35/ABS(R33)</f>
        <v>-0.19414831165171656</v>
      </c>
      <c r="S36" s="334">
        <f t="shared" si="108"/>
        <v>-0.37914018066242933</v>
      </c>
      <c r="T36" s="334">
        <f t="shared" ref="T36:U36" ca="1" si="109">T35/ABS(T33)</f>
        <v>-2.2005320061781268</v>
      </c>
      <c r="U36" s="334">
        <f t="shared" ca="1" si="109"/>
        <v>0.51419961647338241</v>
      </c>
      <c r="V36" s="333">
        <v>0.21</v>
      </c>
      <c r="W36" s="333">
        <v>0.21</v>
      </c>
      <c r="X36" s="333">
        <v>0.21</v>
      </c>
      <c r="Y36" s="283"/>
      <c r="Z36" s="334">
        <f t="shared" si="107"/>
        <v>0.42048332169053437</v>
      </c>
      <c r="AA36" s="334">
        <f t="shared" ref="AA36:AF36" si="110">AA35/ABS(AA33)</f>
        <v>0.12876129990524718</v>
      </c>
      <c r="AB36" s="334">
        <f t="shared" si="110"/>
        <v>-0.12380294004025758</v>
      </c>
      <c r="AC36" s="334">
        <f t="shared" si="110"/>
        <v>-0.27412679465869377</v>
      </c>
      <c r="AD36" s="334">
        <f t="shared" si="110"/>
        <v>0.18336538891622314</v>
      </c>
      <c r="AE36" s="334">
        <f t="shared" ca="1" si="110"/>
        <v>-0.5788929125711334</v>
      </c>
      <c r="AF36" s="334">
        <f t="shared" ca="1" si="110"/>
        <v>0.23518269517483342</v>
      </c>
      <c r="AG36" s="333">
        <v>0.21</v>
      </c>
      <c r="AH36" s="333">
        <v>0.21</v>
      </c>
    </row>
    <row r="37" spans="1:41" s="283" customFormat="1">
      <c r="C37" s="316" t="s">
        <v>616</v>
      </c>
      <c r="D37" s="486"/>
      <c r="E37" s="379">
        <f>E33-E35</f>
        <v>8.9199999999999964</v>
      </c>
      <c r="F37" s="379">
        <f t="shared" ref="F37:Q37" si="111">F33-F35</f>
        <v>3.6500000000000159</v>
      </c>
      <c r="G37" s="379">
        <f t="shared" si="111"/>
        <v>-28.135000000000002</v>
      </c>
      <c r="H37" s="379">
        <f t="shared" si="111"/>
        <v>-27.529000000000043</v>
      </c>
      <c r="I37" s="379">
        <f t="shared" si="111"/>
        <v>-18.429999999999993</v>
      </c>
      <c r="J37" s="379">
        <f t="shared" si="111"/>
        <v>-36.290000000000013</v>
      </c>
      <c r="K37" s="379">
        <f t="shared" si="111"/>
        <v>-11.662999999999982</v>
      </c>
      <c r="L37" s="379">
        <f t="shared" si="111"/>
        <v>1.3149999999999151</v>
      </c>
      <c r="M37" s="379">
        <f t="shared" si="111"/>
        <v>-14.524999999999983</v>
      </c>
      <c r="N37" s="379">
        <f t="shared" si="111"/>
        <v>9.4269999999999925</v>
      </c>
      <c r="O37" s="379">
        <f t="shared" si="111"/>
        <v>26.023999999999969</v>
      </c>
      <c r="P37" s="379">
        <f t="shared" si="111"/>
        <v>15.58900000000002</v>
      </c>
      <c r="Q37" s="379">
        <f t="shared" si="111"/>
        <v>33.204999999999991</v>
      </c>
      <c r="R37" s="379">
        <f t="shared" ref="R37:S37" si="112">R33-R35</f>
        <v>25.427</v>
      </c>
      <c r="S37" s="379">
        <f t="shared" si="112"/>
        <v>-7.4229999999999867</v>
      </c>
      <c r="T37" s="379">
        <f t="shared" ref="T37:U37" ca="1" si="113">T33-T35</f>
        <v>37.299000000000049</v>
      </c>
      <c r="U37" s="379">
        <f t="shared" ca="1" si="113"/>
        <v>5.319999999999979</v>
      </c>
      <c r="V37" s="381">
        <f t="shared" ref="V37:X37" ca="1" si="114">V33-V35</f>
        <v>34.181678225883758</v>
      </c>
      <c r="W37" s="381">
        <f t="shared" ca="1" si="114"/>
        <v>15.23210725783712</v>
      </c>
      <c r="X37" s="381">
        <f t="shared" ca="1" si="114"/>
        <v>46.439985699327202</v>
      </c>
      <c r="Z37" s="379">
        <f t="shared" ref="Z37:AG37" si="115">Z33-Z35</f>
        <v>53.093000000000004</v>
      </c>
      <c r="AA37" s="379">
        <f t="shared" si="115"/>
        <v>34.021000000000029</v>
      </c>
      <c r="AB37" s="379">
        <f t="shared" si="115"/>
        <v>-43.094000000000094</v>
      </c>
      <c r="AC37" s="379">
        <f t="shared" si="115"/>
        <v>-65.068000000000126</v>
      </c>
      <c r="AD37" s="379">
        <f t="shared" si="115"/>
        <v>36.514999999999993</v>
      </c>
      <c r="AE37" s="379">
        <f t="shared" ca="1" si="115"/>
        <v>88.507999999999953</v>
      </c>
      <c r="AF37" s="379">
        <f t="shared" ref="AF37" ca="1" si="116">AF33-AF35</f>
        <v>101.17377118304799</v>
      </c>
      <c r="AG37" s="379">
        <f t="shared" ca="1" si="115"/>
        <v>106.0272451862965</v>
      </c>
      <c r="AH37" s="379">
        <f t="shared" ref="AH37" ca="1" si="117">AH33-AH35</f>
        <v>116.8918892028822</v>
      </c>
    </row>
    <row r="38" spans="1:41" s="283" customFormat="1">
      <c r="D38" s="486"/>
      <c r="E38" s="313"/>
      <c r="F38" s="313"/>
      <c r="G38" s="313"/>
      <c r="H38" s="313"/>
      <c r="I38" s="313"/>
      <c r="J38" s="313"/>
      <c r="K38" s="313"/>
      <c r="L38" s="313"/>
      <c r="M38" s="313"/>
      <c r="N38" s="313"/>
      <c r="O38" s="313"/>
      <c r="P38" s="313"/>
      <c r="Q38" s="313"/>
      <c r="R38" s="313"/>
      <c r="S38" s="313"/>
      <c r="T38" s="313"/>
      <c r="U38" s="313"/>
      <c r="V38" s="512"/>
      <c r="W38" s="512"/>
      <c r="X38" s="512"/>
      <c r="Z38" s="313"/>
      <c r="AA38" s="313"/>
      <c r="AB38" s="313"/>
      <c r="AC38" s="313"/>
      <c r="AD38" s="313"/>
      <c r="AE38" s="313"/>
      <c r="AF38" s="313"/>
      <c r="AG38" s="313"/>
      <c r="AH38" s="313"/>
    </row>
    <row r="39" spans="1:41" s="283" customFormat="1">
      <c r="C39" s="283" t="s">
        <v>326</v>
      </c>
      <c r="D39" s="486"/>
      <c r="E39" s="317">
        <f>Financials!E38</f>
        <v>0.13800000000000001</v>
      </c>
      <c r="F39" s="317">
        <f>Financials!F38</f>
        <v>0.13800000000000001</v>
      </c>
      <c r="G39" s="317">
        <f>Financials!G38</f>
        <v>0.13800000000000001</v>
      </c>
      <c r="H39" s="317">
        <f>Financials!H38</f>
        <v>0.13800000000000001</v>
      </c>
      <c r="I39" s="317">
        <f>Financials!I38</f>
        <v>0.13800000000000001</v>
      </c>
      <c r="J39" s="317">
        <f>Financials!J38</f>
        <v>0.13800000000000001</v>
      </c>
      <c r="K39" s="317">
        <f>Financials!K38</f>
        <v>0.13800000000000001</v>
      </c>
      <c r="L39" s="317">
        <f>Financials!L38</f>
        <v>0.13800000000000001</v>
      </c>
      <c r="M39" s="317">
        <f>Financials!M38</f>
        <v>0.13800000000000001</v>
      </c>
      <c r="N39" s="317">
        <f>Financials!N38</f>
        <v>0.13800000000000001</v>
      </c>
      <c r="O39" s="317">
        <f>Financials!O38</f>
        <v>0.13800000000000001</v>
      </c>
      <c r="P39" s="317">
        <f>Financials!P38</f>
        <v>0.13800000000000001</v>
      </c>
      <c r="Q39" s="317">
        <f>Financials!Q38</f>
        <v>0.13800000000000001</v>
      </c>
      <c r="R39" s="317">
        <f>Financials!R38</f>
        <v>0.13800000000000001</v>
      </c>
      <c r="S39" s="317">
        <f>Financials!S38</f>
        <v>0.13800000000000001</v>
      </c>
      <c r="T39" s="317">
        <f>Financials!T38</f>
        <v>0.13800000000000001</v>
      </c>
      <c r="U39" s="317">
        <f>Financials!U38</f>
        <v>0.13800000000000001</v>
      </c>
      <c r="V39" s="823">
        <f>Financials!V38</f>
        <v>0.13800000000000001</v>
      </c>
      <c r="W39" s="823">
        <f>Financials!W38</f>
        <v>0.13800000000000001</v>
      </c>
      <c r="X39" s="823">
        <f>Financials!X38</f>
        <v>0.13800000000000001</v>
      </c>
      <c r="Z39" s="317">
        <f>Financials!Z38</f>
        <v>0.55200000000000005</v>
      </c>
      <c r="AA39" s="317">
        <f>Financials!AA38</f>
        <v>0.55200000000000005</v>
      </c>
      <c r="AB39" s="282">
        <f>SUMIF($E$5:$X$5,AB$5,$E39:$X39)</f>
        <v>0.55200000000000005</v>
      </c>
      <c r="AC39" s="282">
        <f t="shared" ref="AC39:AF39" si="118">SUMIF($E$5:$X$5,AC$5,$E39:$X39)</f>
        <v>0.55200000000000005</v>
      </c>
      <c r="AD39" s="282">
        <f t="shared" si="118"/>
        <v>0.55200000000000005</v>
      </c>
      <c r="AE39" s="282">
        <f t="shared" si="118"/>
        <v>0.55200000000000005</v>
      </c>
      <c r="AF39" s="282">
        <f t="shared" si="118"/>
        <v>0.55200000000000005</v>
      </c>
      <c r="AG39" s="317">
        <f>Financials!AG38</f>
        <v>0.55200000000000005</v>
      </c>
      <c r="AH39" s="317">
        <f>Financials!AH38</f>
        <v>0.55200000000000005</v>
      </c>
    </row>
    <row r="40" spans="1:41" s="283" customFormat="1">
      <c r="C40" s="316" t="s">
        <v>327</v>
      </c>
      <c r="D40" s="486"/>
      <c r="E40" s="410">
        <f>E37-E39</f>
        <v>8.7819999999999965</v>
      </c>
      <c r="F40" s="379">
        <f t="shared" ref="F40:Q40" si="119">F37-F39</f>
        <v>3.512000000000016</v>
      </c>
      <c r="G40" s="379">
        <f t="shared" si="119"/>
        <v>-28.273000000000003</v>
      </c>
      <c r="H40" s="379">
        <f t="shared" si="119"/>
        <v>-27.667000000000044</v>
      </c>
      <c r="I40" s="379">
        <f t="shared" si="119"/>
        <v>-18.567999999999994</v>
      </c>
      <c r="J40" s="379">
        <f t="shared" si="119"/>
        <v>-36.428000000000011</v>
      </c>
      <c r="K40" s="379">
        <f t="shared" si="119"/>
        <v>-11.800999999999982</v>
      </c>
      <c r="L40" s="379">
        <f t="shared" si="119"/>
        <v>1.1769999999999152</v>
      </c>
      <c r="M40" s="379">
        <f t="shared" si="119"/>
        <v>-14.662999999999982</v>
      </c>
      <c r="N40" s="379">
        <f t="shared" si="119"/>
        <v>9.2889999999999926</v>
      </c>
      <c r="O40" s="379">
        <f t="shared" si="119"/>
        <v>25.885999999999967</v>
      </c>
      <c r="P40" s="379">
        <f t="shared" si="119"/>
        <v>15.45100000000002</v>
      </c>
      <c r="Q40" s="379">
        <f t="shared" si="119"/>
        <v>33.066999999999993</v>
      </c>
      <c r="R40" s="379">
        <f t="shared" ref="R40:S40" si="120">R37-R39</f>
        <v>25.288999999999998</v>
      </c>
      <c r="S40" s="379">
        <f t="shared" si="120"/>
        <v>-7.5609999999999866</v>
      </c>
      <c r="T40" s="379">
        <f t="shared" ref="T40:U40" ca="1" si="121">T37-T39</f>
        <v>37.161000000000051</v>
      </c>
      <c r="U40" s="379">
        <f t="shared" ca="1" si="121"/>
        <v>5.1819999999999791</v>
      </c>
      <c r="V40" s="381">
        <f t="shared" ref="V40:X40" ca="1" si="122">V37-V39</f>
        <v>34.04367822588376</v>
      </c>
      <c r="W40" s="381">
        <f t="shared" ca="1" si="122"/>
        <v>15.09410725783712</v>
      </c>
      <c r="X40" s="381">
        <f t="shared" ca="1" si="122"/>
        <v>46.301985699327204</v>
      </c>
      <c r="Z40" s="379">
        <f t="shared" ref="Z40:AG40" si="123">Z37-Z39</f>
        <v>52.541000000000004</v>
      </c>
      <c r="AA40" s="379">
        <f t="shared" si="123"/>
        <v>33.46900000000003</v>
      </c>
      <c r="AB40" s="379">
        <f t="shared" si="123"/>
        <v>-43.646000000000093</v>
      </c>
      <c r="AC40" s="379">
        <f t="shared" si="123"/>
        <v>-65.620000000000132</v>
      </c>
      <c r="AD40" s="379">
        <f t="shared" si="123"/>
        <v>35.962999999999994</v>
      </c>
      <c r="AE40" s="379">
        <f t="shared" ca="1" si="123"/>
        <v>87.955999999999946</v>
      </c>
      <c r="AF40" s="379">
        <f t="shared" ca="1" si="123"/>
        <v>100.62177118304798</v>
      </c>
      <c r="AG40" s="379">
        <f t="shared" ca="1" si="123"/>
        <v>105.47524518629649</v>
      </c>
      <c r="AH40" s="379">
        <f t="shared" ref="AH40" ca="1" si="124">AH37-AH39</f>
        <v>116.33988920288219</v>
      </c>
    </row>
    <row r="41" spans="1:41" s="283" customFormat="1" collapsed="1">
      <c r="C41" s="316"/>
      <c r="D41" s="486"/>
      <c r="E41" s="423"/>
      <c r="F41" s="313"/>
      <c r="G41" s="313"/>
      <c r="H41" s="313"/>
      <c r="I41" s="313"/>
      <c r="J41" s="313"/>
      <c r="K41" s="313"/>
      <c r="L41" s="313"/>
      <c r="M41" s="313"/>
      <c r="N41" s="313"/>
      <c r="O41" s="313"/>
      <c r="P41" s="313"/>
      <c r="Q41" s="313"/>
      <c r="R41" s="313"/>
      <c r="S41" s="313"/>
      <c r="T41" s="313"/>
      <c r="U41" s="313"/>
      <c r="V41" s="512"/>
      <c r="W41" s="512"/>
      <c r="X41" s="512"/>
      <c r="Z41" s="313"/>
      <c r="AA41" s="313"/>
      <c r="AB41" s="313"/>
      <c r="AC41" s="313"/>
      <c r="AD41" s="313"/>
      <c r="AE41" s="313"/>
      <c r="AF41" s="313"/>
      <c r="AG41" s="313"/>
      <c r="AH41" s="313"/>
    </row>
    <row r="42" spans="1:41" s="283" customFormat="1" hidden="1" outlineLevel="1">
      <c r="B42" s="695"/>
      <c r="C42" s="696" t="s">
        <v>599</v>
      </c>
      <c r="D42" s="697"/>
      <c r="E42" s="698">
        <f t="shared" ref="E42:U42" si="125">E207+E295+E383+E519+E607-E54</f>
        <v>11.949</v>
      </c>
      <c r="F42" s="698">
        <f t="shared" si="125"/>
        <v>3.7559999999999967</v>
      </c>
      <c r="G42" s="698">
        <f t="shared" si="125"/>
        <v>-30.375999999999998</v>
      </c>
      <c r="H42" s="698">
        <f t="shared" si="125"/>
        <v>-24.454999999999995</v>
      </c>
      <c r="I42" s="698">
        <f t="shared" si="125"/>
        <v>-16.123999999999999</v>
      </c>
      <c r="J42" s="698">
        <f t="shared" si="125"/>
        <v>-43.477000000000004</v>
      </c>
      <c r="K42" s="698">
        <f t="shared" si="125"/>
        <v>-5.1129999999999995</v>
      </c>
      <c r="L42" s="698">
        <f t="shared" si="125"/>
        <v>7.6049999999999933</v>
      </c>
      <c r="M42" s="698">
        <f t="shared" si="125"/>
        <v>-13.045999999999999</v>
      </c>
      <c r="N42" s="698">
        <f t="shared" si="125"/>
        <v>13.905000000000001</v>
      </c>
      <c r="O42" s="698">
        <f t="shared" si="125"/>
        <v>36.528999999999989</v>
      </c>
      <c r="P42" s="698">
        <f t="shared" si="125"/>
        <v>29.589999999999907</v>
      </c>
      <c r="Q42" s="698">
        <f t="shared" si="125"/>
        <v>41.038000000000011</v>
      </c>
      <c r="R42" s="698">
        <f t="shared" si="125"/>
        <v>29.13300000000001</v>
      </c>
      <c r="S42" s="698">
        <f t="shared" si="125"/>
        <v>-8.5719999999999903</v>
      </c>
      <c r="T42" s="698">
        <f t="shared" si="125"/>
        <v>21.820999999999906</v>
      </c>
      <c r="U42" s="698">
        <f t="shared" si="125"/>
        <v>14.757999999999999</v>
      </c>
      <c r="V42" s="824">
        <f ca="1">V207+V295+V383+V519+V607-V54-V46</f>
        <v>50.624624008835816</v>
      </c>
      <c r="W42" s="824">
        <f ca="1">W207+W295+W383+W519+W607-W54-W46</f>
        <v>26.894962180413359</v>
      </c>
      <c r="X42" s="824">
        <f ca="1">X207+X295+X383+X519+X607-X54-X46</f>
        <v>66.155039501530013</v>
      </c>
      <c r="Z42" s="698">
        <f t="shared" ref="Z42:AE42" si="126">Z207+Z295+Z383+Z519+Z607-Z54</f>
        <v>109.43900000000001</v>
      </c>
      <c r="AA42" s="698">
        <f t="shared" si="126"/>
        <v>60.106000000000002</v>
      </c>
      <c r="AB42" s="698">
        <f t="shared" si="126"/>
        <v>-39.125999999999991</v>
      </c>
      <c r="AC42" s="698">
        <f t="shared" si="126"/>
        <v>-57.108999999999995</v>
      </c>
      <c r="AD42" s="698">
        <f t="shared" si="126"/>
        <v>66.977999999999909</v>
      </c>
      <c r="AE42" s="698">
        <f t="shared" si="126"/>
        <v>83.419999999999931</v>
      </c>
      <c r="AF42" s="832">
        <f t="shared" ref="AF42:AF43" ca="1" si="127">SUMIF($E$5:$X$5,AF$5,$E42:$X42)</f>
        <v>158.43262569077919</v>
      </c>
      <c r="AG42" s="824">
        <f ca="1">AG207+AG295+AG383+AG519+AG607-AG54-AG46</f>
        <v>175.48930511756862</v>
      </c>
      <c r="AH42" s="824">
        <f ca="1">AH207+AH295+AH383+AH519+AH607-AH54-AH46</f>
        <v>189.56430511670578</v>
      </c>
      <c r="AJ42" s="283">
        <f t="shared" ref="AJ42:AL42" si="128">U207</f>
        <v>34.585999999999999</v>
      </c>
      <c r="AK42" s="283">
        <f t="shared" ca="1" si="128"/>
        <v>52.413244562165204</v>
      </c>
      <c r="AL42" s="283">
        <f t="shared" ca="1" si="128"/>
        <v>27.926113665263514</v>
      </c>
      <c r="AM42" s="283">
        <f ca="1">X207</f>
        <v>42.729721628338666</v>
      </c>
      <c r="AN42" s="283">
        <f ca="1">AO42-SUM(AJ42:AM42)</f>
        <v>0</v>
      </c>
      <c r="AO42" s="283">
        <f ca="1">AF207</f>
        <v>157.65507985576738</v>
      </c>
    </row>
    <row r="43" spans="1:41" s="283" customFormat="1" hidden="1" outlineLevel="1">
      <c r="B43" s="695"/>
      <c r="C43" s="696" t="s">
        <v>750</v>
      </c>
      <c r="D43" s="697"/>
      <c r="E43" s="803">
        <f>+SUM(Financials!E15:E24)</f>
        <v>26.837000000000003</v>
      </c>
      <c r="F43" s="803">
        <f>+SUM(Financials!F15:F24)</f>
        <v>31.245999999999999</v>
      </c>
      <c r="G43" s="803">
        <f>+SUM(Financials!G15:G24)</f>
        <v>36.951999999999998</v>
      </c>
      <c r="H43" s="803">
        <f>+SUM(Financials!H15:H24)</f>
        <v>23.19</v>
      </c>
      <c r="I43" s="803">
        <f>+SUM(Financials!I15:I24)</f>
        <v>19.568000000000001</v>
      </c>
      <c r="J43" s="803">
        <f>+SUM(Financials!J15:J24)</f>
        <v>23.233999999999995</v>
      </c>
      <c r="K43" s="803">
        <f>+SUM(Financials!K15:K24)</f>
        <v>19.993000000000002</v>
      </c>
      <c r="L43" s="803">
        <f>+SUM(Financials!L15:L24)</f>
        <v>17.713000000000001</v>
      </c>
      <c r="M43" s="803">
        <f>+SUM(Financials!M15:M24)</f>
        <v>26.436</v>
      </c>
      <c r="N43" s="803">
        <f>+SUM(Financials!N15:N24)</f>
        <v>24.204999999999998</v>
      </c>
      <c r="O43" s="803">
        <f>+SUM(Financials!O15:O24)</f>
        <v>22.158999999999999</v>
      </c>
      <c r="P43" s="803">
        <f>+SUM(Financials!P15:P24)</f>
        <v>21.322000000000003</v>
      </c>
      <c r="Q43" s="803">
        <f>+SUM(Financials!Q15:Q24)</f>
        <v>26.363</v>
      </c>
      <c r="R43" s="803">
        <f>+SUM(Financials!R15:R24)</f>
        <v>32.798000000000002</v>
      </c>
      <c r="S43" s="803">
        <f>+SUM(Financials!S15:S24)</f>
        <v>43.8</v>
      </c>
      <c r="T43" s="803">
        <f>+SUM(Financials!T15:T24)</f>
        <v>31.42</v>
      </c>
      <c r="U43" s="803">
        <f>+SUM(Financials!U15:U24)</f>
        <v>30.872</v>
      </c>
      <c r="V43" s="803">
        <f ca="1">+SUM(Financials!V15:V24)</f>
        <v>29.469537765409292</v>
      </c>
      <c r="W43" s="803">
        <f ca="1">+SUM(Financials!W15:W24)</f>
        <v>26.595985432564611</v>
      </c>
      <c r="X43" s="803">
        <f ca="1">+SUM(Financials!X15:X24)</f>
        <v>24.263711983935224</v>
      </c>
      <c r="Z43" s="803">
        <f>+SUM(Financials!Z15:Z24)</f>
        <v>74.561999999999998</v>
      </c>
      <c r="AA43" s="803">
        <f>+SUM(Financials!AA15:AA24)</f>
        <v>92.342999999999989</v>
      </c>
      <c r="AB43" s="803">
        <f>+SUM(Financials!AB15:AB24)</f>
        <v>118.22500000000001</v>
      </c>
      <c r="AC43" s="803">
        <f>+SUM(Financials!AC15:AC24)</f>
        <v>80.507999999999981</v>
      </c>
      <c r="AD43" s="803">
        <f>+SUM(Financials!AD15:AD24)</f>
        <v>94.122</v>
      </c>
      <c r="AE43" s="803">
        <f>+SUM(Financials!AE15:AE24)</f>
        <v>134.381</v>
      </c>
      <c r="AF43" s="832">
        <f t="shared" ca="1" si="127"/>
        <v>111.20123518190913</v>
      </c>
      <c r="AG43" s="803">
        <f ca="1">+SUM(Financials!AG15:AG24)</f>
        <v>107.00801490336961</v>
      </c>
      <c r="AH43" s="803">
        <f ca="1">+SUM(Financials!AH15:AH24)</f>
        <v>111.39022572264362</v>
      </c>
      <c r="AJ43" s="283">
        <f t="shared" ref="AJ43:AL43" si="129">+U295</f>
        <v>8.7710000000000008</v>
      </c>
      <c r="AK43" s="283">
        <f t="shared" si="129"/>
        <v>19.714983042707189</v>
      </c>
      <c r="AL43" s="283">
        <f t="shared" si="129"/>
        <v>19.986391649116214</v>
      </c>
      <c r="AM43" s="283">
        <f>+X295</f>
        <v>24.810218309214552</v>
      </c>
      <c r="AN43" s="283">
        <f t="shared" ref="AN43:AN48" si="130">AO43-SUM(AJ43:AM43)</f>
        <v>0</v>
      </c>
      <c r="AO43" s="283">
        <f>+AF295</f>
        <v>73.282593001037952</v>
      </c>
    </row>
    <row r="44" spans="1:41" s="283" customFormat="1" hidden="1" outlineLevel="1">
      <c r="B44" s="695"/>
      <c r="C44" s="696"/>
      <c r="D44" s="697"/>
      <c r="E44" s="698"/>
      <c r="F44" s="698"/>
      <c r="G44" s="698"/>
      <c r="H44" s="698"/>
      <c r="I44" s="698"/>
      <c r="J44" s="698"/>
      <c r="K44" s="698"/>
      <c r="L44" s="698"/>
      <c r="M44" s="698"/>
      <c r="N44" s="698"/>
      <c r="O44" s="698"/>
      <c r="P44" s="698"/>
      <c r="Q44" s="698"/>
      <c r="R44" s="698"/>
      <c r="S44" s="698"/>
      <c r="T44" s="698"/>
      <c r="U44" s="698"/>
      <c r="V44" s="698"/>
      <c r="W44" s="698"/>
      <c r="X44" s="698"/>
      <c r="Z44" s="698"/>
      <c r="AA44" s="698"/>
      <c r="AB44" s="698"/>
      <c r="AC44" s="698"/>
      <c r="AD44" s="698"/>
      <c r="AE44" s="698"/>
      <c r="AF44" s="824"/>
      <c r="AG44" s="698"/>
      <c r="AH44" s="698"/>
      <c r="AJ44" s="283">
        <f t="shared" ref="AJ44:AL44" si="131">+U383</f>
        <v>0</v>
      </c>
      <c r="AK44" s="283">
        <f t="shared" si="131"/>
        <v>0</v>
      </c>
      <c r="AL44" s="283">
        <f t="shared" si="131"/>
        <v>0</v>
      </c>
      <c r="AM44" s="283">
        <f>+X383</f>
        <v>0</v>
      </c>
      <c r="AN44" s="283">
        <f t="shared" si="130"/>
        <v>0</v>
      </c>
      <c r="AO44" s="283">
        <f>+AF383</f>
        <v>0</v>
      </c>
    </row>
    <row r="45" spans="1:41" s="282" customFormat="1" hidden="1" outlineLevel="1">
      <c r="B45" s="699"/>
      <c r="C45" s="700" t="s">
        <v>638</v>
      </c>
      <c r="D45" s="701"/>
      <c r="E45" s="699">
        <f t="shared" ref="E45:Q45" si="132">+E16</f>
        <v>3.8619999999999997</v>
      </c>
      <c r="F45" s="699">
        <f t="shared" si="132"/>
        <v>4.4420000000000002</v>
      </c>
      <c r="G45" s="699">
        <f t="shared" si="132"/>
        <v>7.9290000000000003</v>
      </c>
      <c r="H45" s="699">
        <f t="shared" si="132"/>
        <v>6.41</v>
      </c>
      <c r="I45" s="699">
        <f t="shared" si="132"/>
        <v>3.262</v>
      </c>
      <c r="J45" s="699">
        <f t="shared" si="132"/>
        <v>3.2010000000000001</v>
      </c>
      <c r="K45" s="699">
        <f t="shared" si="132"/>
        <v>3.5520000000000005</v>
      </c>
      <c r="L45" s="699">
        <f t="shared" si="132"/>
        <v>1.417</v>
      </c>
      <c r="M45" s="699">
        <f t="shared" si="132"/>
        <v>1.5469999999999999</v>
      </c>
      <c r="N45" s="699">
        <f t="shared" si="132"/>
        <v>0.46700000000000003</v>
      </c>
      <c r="O45" s="699">
        <f t="shared" si="132"/>
        <v>0.70500000000000007</v>
      </c>
      <c r="P45" s="699">
        <f t="shared" si="132"/>
        <v>0.71799999999999997</v>
      </c>
      <c r="Q45" s="699">
        <f t="shared" si="132"/>
        <v>1.03</v>
      </c>
      <c r="R45" s="699">
        <f t="shared" ref="R45:X45" si="133">+R16</f>
        <v>2.403</v>
      </c>
      <c r="S45" s="699">
        <f t="shared" si="133"/>
        <v>4.0129999999999999</v>
      </c>
      <c r="T45" s="699">
        <f t="shared" si="133"/>
        <v>2.4710000000000001</v>
      </c>
      <c r="U45" s="699">
        <f t="shared" ref="U45" si="134">+U16</f>
        <v>1.5589999999999999</v>
      </c>
      <c r="V45" s="699">
        <f t="shared" si="133"/>
        <v>2.3526389222659621</v>
      </c>
      <c r="W45" s="699">
        <f t="shared" si="133"/>
        <v>3.9818283772178535</v>
      </c>
      <c r="X45" s="699">
        <f t="shared" si="133"/>
        <v>2.3065327005161844</v>
      </c>
      <c r="Y45" s="283"/>
      <c r="Z45" s="699">
        <f>+Z16</f>
        <v>9.3420000000000005</v>
      </c>
      <c r="AA45" s="699">
        <f>+AA16</f>
        <v>15.494</v>
      </c>
      <c r="AB45" s="699">
        <f t="shared" ref="AB45:AF52" si="135">SUMIF($E$5:$X$5,AB$5,$E45:$X45)</f>
        <v>22.643000000000001</v>
      </c>
      <c r="AC45" s="699">
        <f t="shared" si="135"/>
        <v>11.432</v>
      </c>
      <c r="AD45" s="699">
        <f t="shared" si="135"/>
        <v>3.4369999999999998</v>
      </c>
      <c r="AE45" s="699">
        <f t="shared" si="135"/>
        <v>9.9169999999999998</v>
      </c>
      <c r="AF45" s="825">
        <f t="shared" si="135"/>
        <v>10.199999999999999</v>
      </c>
      <c r="AG45" s="699">
        <f>+AG16</f>
        <v>10.199999999999999</v>
      </c>
      <c r="AH45" s="699">
        <f>+AH16</f>
        <v>10.199999999999999</v>
      </c>
      <c r="AI45" s="283"/>
      <c r="AJ45" s="282">
        <f t="shared" ref="AJ45:AL45" si="136">+U519</f>
        <v>-2.6989999999999998</v>
      </c>
      <c r="AK45" s="282">
        <f t="shared" si="136"/>
        <v>5.6132952471067519</v>
      </c>
      <c r="AL45" s="282">
        <f t="shared" si="136"/>
        <v>1.5966139213803803</v>
      </c>
      <c r="AM45" s="282">
        <f>+X519</f>
        <v>20.572278847395832</v>
      </c>
      <c r="AN45" s="283">
        <f t="shared" si="130"/>
        <v>-3.5527136788005009E-14</v>
      </c>
      <c r="AO45" s="282">
        <f>+AF519</f>
        <v>25.083188015882929</v>
      </c>
    </row>
    <row r="46" spans="1:41" s="283" customFormat="1" hidden="1" outlineLevel="1">
      <c r="B46" s="695"/>
      <c r="C46" s="700" t="s">
        <v>751</v>
      </c>
      <c r="D46" s="697"/>
      <c r="E46" s="695">
        <f t="shared" ref="E46:Q46" si="137">E206+E294+E382+E518+E606</f>
        <v>7.6509999999999927</v>
      </c>
      <c r="F46" s="695">
        <f t="shared" si="137"/>
        <v>9.6520000000000081</v>
      </c>
      <c r="G46" s="695">
        <f t="shared" si="137"/>
        <v>10.614000000000004</v>
      </c>
      <c r="H46" s="695">
        <f t="shared" si="137"/>
        <v>4.2929999999999513</v>
      </c>
      <c r="I46" s="695">
        <f t="shared" si="137"/>
        <v>3.551999999999996</v>
      </c>
      <c r="J46" s="695">
        <f t="shared" si="137"/>
        <v>8.4470000000000045</v>
      </c>
      <c r="K46" s="695">
        <f t="shared" si="137"/>
        <v>5.1480000000000068</v>
      </c>
      <c r="L46" s="695">
        <f t="shared" si="137"/>
        <v>4.6259999999999444</v>
      </c>
      <c r="M46" s="695">
        <f t="shared" si="137"/>
        <v>16.157999999999987</v>
      </c>
      <c r="N46" s="695">
        <f t="shared" si="137"/>
        <v>16.03100000000002</v>
      </c>
      <c r="O46" s="695">
        <f t="shared" si="137"/>
        <v>8.8920000000000048</v>
      </c>
      <c r="P46" s="695">
        <f t="shared" si="137"/>
        <v>12.585000000000008</v>
      </c>
      <c r="Q46" s="695">
        <f t="shared" si="137"/>
        <v>11.734000000000004</v>
      </c>
      <c r="R46" s="695">
        <f t="shared" ref="R46:U46" si="138">R206+R294+R382+R518+R606</f>
        <v>15.860000000000005</v>
      </c>
      <c r="S46" s="695">
        <f t="shared" si="138"/>
        <v>18.492999999999995</v>
      </c>
      <c r="T46" s="695">
        <f t="shared" si="138"/>
        <v>10.707000000000036</v>
      </c>
      <c r="U46" s="695">
        <f t="shared" si="138"/>
        <v>15.442999999999991</v>
      </c>
      <c r="V46" s="704">
        <f t="shared" ref="V46:W46" ca="1" si="139">+V43-V54-V45</f>
        <v>6.4348431319557964</v>
      </c>
      <c r="W46" s="704">
        <f t="shared" ca="1" si="139"/>
        <v>5.5554088642539501</v>
      </c>
      <c r="X46" s="704">
        <f ca="1">+X43-X54-X45</f>
        <v>6.3884303334099126</v>
      </c>
      <c r="Z46" s="695">
        <f>Z206+Z294+Z382+Z518+Z606</f>
        <v>5.3070000000000004</v>
      </c>
      <c r="AA46" s="695">
        <f>AA206+AA294+AA382+AA518+AA606</f>
        <v>29.802999999999997</v>
      </c>
      <c r="AB46" s="699">
        <f t="shared" si="135"/>
        <v>32.209999999999958</v>
      </c>
      <c r="AC46" s="699">
        <f t="shared" si="135"/>
        <v>21.77299999999995</v>
      </c>
      <c r="AD46" s="699">
        <f t="shared" si="135"/>
        <v>53.666000000000018</v>
      </c>
      <c r="AE46" s="699">
        <f t="shared" si="135"/>
        <v>56.79400000000004</v>
      </c>
      <c r="AF46" s="699">
        <f t="shared" ca="1" si="135"/>
        <v>33.821682329619648</v>
      </c>
      <c r="AG46" s="704">
        <f t="shared" ref="AG46:AH46" ca="1" si="140">+AG43-AG54-AG45</f>
        <v>20.595325575971859</v>
      </c>
      <c r="AH46" s="704">
        <f t="shared" ca="1" si="140"/>
        <v>22.130032345343242</v>
      </c>
      <c r="AJ46" s="283">
        <f>+U607</f>
        <v>-12.231</v>
      </c>
      <c r="AK46" s="283">
        <f t="shared" ref="AK46:AM46" si="141">+V607</f>
        <v>0</v>
      </c>
      <c r="AL46" s="283">
        <f t="shared" si="141"/>
        <v>0</v>
      </c>
      <c r="AM46" s="283">
        <f t="shared" si="141"/>
        <v>0</v>
      </c>
      <c r="AN46" s="283">
        <f t="shared" si="130"/>
        <v>0</v>
      </c>
      <c r="AO46" s="283">
        <f>+AF607</f>
        <v>-12.231</v>
      </c>
    </row>
    <row r="47" spans="1:41" s="283" customFormat="1" ht="11.25" hidden="1" customHeight="1" outlineLevel="1">
      <c r="B47" s="695"/>
      <c r="C47" s="700"/>
      <c r="D47" s="697"/>
      <c r="E47" s="698"/>
      <c r="F47" s="698"/>
      <c r="G47" s="698"/>
      <c r="H47" s="698"/>
      <c r="I47" s="698"/>
      <c r="J47" s="698"/>
      <c r="K47" s="698"/>
      <c r="L47" s="698"/>
      <c r="M47" s="698"/>
      <c r="N47" s="698"/>
      <c r="O47" s="698"/>
      <c r="P47" s="698"/>
      <c r="Q47" s="698"/>
      <c r="R47" s="698"/>
      <c r="S47" s="698"/>
      <c r="T47" s="698"/>
      <c r="U47" s="698"/>
      <c r="V47" s="698"/>
      <c r="W47" s="698"/>
      <c r="X47" s="698"/>
      <c r="Z47" s="698"/>
      <c r="AA47" s="698"/>
      <c r="AB47" s="698"/>
      <c r="AC47" s="698"/>
      <c r="AD47" s="698"/>
      <c r="AE47" s="698"/>
      <c r="AF47" s="832"/>
      <c r="AG47" s="698"/>
      <c r="AH47" s="698"/>
      <c r="AJ47" s="283">
        <f t="shared" ref="AJ47:AL47" si="142">-U54</f>
        <v>-13.669</v>
      </c>
      <c r="AK47" s="283">
        <f t="shared" ca="1" si="142"/>
        <v>-20.682055711187534</v>
      </c>
      <c r="AL47" s="283">
        <f t="shared" ca="1" si="142"/>
        <v>-17.058748191092807</v>
      </c>
      <c r="AM47" s="283">
        <f ca="1">-X54</f>
        <v>-15.568748950009127</v>
      </c>
      <c r="AN47" s="283">
        <f t="shared" ca="1" si="130"/>
        <v>0</v>
      </c>
      <c r="AO47" s="283">
        <f ca="1">-AF54</f>
        <v>-66.978552852289482</v>
      </c>
    </row>
    <row r="48" spans="1:41" s="283" customFormat="1" hidden="1" outlineLevel="1">
      <c r="B48" s="695"/>
      <c r="C48" s="702" t="s">
        <v>313</v>
      </c>
      <c r="D48" s="697"/>
      <c r="E48" s="703">
        <f>+E14</f>
        <v>6.6080000000000005</v>
      </c>
      <c r="F48" s="703">
        <f t="shared" ref="F48:Q48" si="143">+F14</f>
        <v>8.4730000000000008</v>
      </c>
      <c r="G48" s="703">
        <f t="shared" si="143"/>
        <v>8.0960000000000001</v>
      </c>
      <c r="H48" s="703">
        <f t="shared" si="143"/>
        <v>7.0869999999999997</v>
      </c>
      <c r="I48" s="703">
        <f t="shared" si="143"/>
        <v>8.3789999999999996</v>
      </c>
      <c r="J48" s="703">
        <f t="shared" si="143"/>
        <v>6.9459999999999997</v>
      </c>
      <c r="K48" s="703">
        <f t="shared" si="143"/>
        <v>6.7720000000000002</v>
      </c>
      <c r="L48" s="703">
        <f t="shared" si="143"/>
        <v>8.0670000000000002</v>
      </c>
      <c r="M48" s="703">
        <f t="shared" si="143"/>
        <v>7.72</v>
      </c>
      <c r="N48" s="703">
        <f t="shared" si="143"/>
        <v>5.7700000000000005</v>
      </c>
      <c r="O48" s="703">
        <f t="shared" si="143"/>
        <v>8.911999999999999</v>
      </c>
      <c r="P48" s="703">
        <f t="shared" si="143"/>
        <v>6.7009999999999996</v>
      </c>
      <c r="Q48" s="703">
        <f t="shared" si="143"/>
        <v>7.5069999999999997</v>
      </c>
      <c r="R48" s="703">
        <f t="shared" ref="R48:X48" si="144">+R14</f>
        <v>8.3019999999999996</v>
      </c>
      <c r="S48" s="703">
        <f t="shared" si="144"/>
        <v>7.402000000000001</v>
      </c>
      <c r="T48" s="703">
        <f t="shared" si="144"/>
        <v>5.2770000000000001</v>
      </c>
      <c r="U48" s="703">
        <f t="shared" ref="U48" si="145">+U14</f>
        <v>7.0230000000000006</v>
      </c>
      <c r="V48" s="703">
        <f t="shared" ca="1" si="144"/>
        <v>11.301068625957694</v>
      </c>
      <c r="W48" s="703">
        <f t="shared" ca="1" si="144"/>
        <v>8.9598376597807849</v>
      </c>
      <c r="X48" s="703">
        <f t="shared" ca="1" si="144"/>
        <v>6.2554244098980778</v>
      </c>
      <c r="Z48" s="703">
        <f>+Financials!Z15</f>
        <v>45.04</v>
      </c>
      <c r="AA48" s="703">
        <f>+Financials!AA15</f>
        <v>35.610999999999997</v>
      </c>
      <c r="AB48" s="699">
        <f t="shared" ref="AB48:AF53" si="146">SUMIF($E$5:$X$5,AB$5,$E48:$X48)</f>
        <v>30.263999999999999</v>
      </c>
      <c r="AC48" s="699">
        <f t="shared" si="146"/>
        <v>30.164000000000001</v>
      </c>
      <c r="AD48" s="699">
        <f t="shared" si="146"/>
        <v>29.103000000000002</v>
      </c>
      <c r="AE48" s="699">
        <f t="shared" si="146"/>
        <v>28.488</v>
      </c>
      <c r="AF48" s="699">
        <f t="shared" ca="1" si="135"/>
        <v>33.539330695636558</v>
      </c>
      <c r="AG48" s="703">
        <f>+Financials!AG15</f>
        <v>38</v>
      </c>
      <c r="AH48" s="703">
        <f>+Financials!AH15</f>
        <v>38</v>
      </c>
      <c r="AJ48" s="283">
        <f t="shared" ref="AJ48:AL48" si="147">-U46</f>
        <v>-15.442999999999991</v>
      </c>
      <c r="AK48" s="283">
        <f t="shared" ca="1" si="147"/>
        <v>-6.4348431319557964</v>
      </c>
      <c r="AL48" s="283">
        <f t="shared" ca="1" si="147"/>
        <v>-5.5554088642539501</v>
      </c>
      <c r="AM48" s="283">
        <f ca="1">-X46</f>
        <v>-6.3884303334099126</v>
      </c>
      <c r="AN48" s="283">
        <f t="shared" ca="1" si="130"/>
        <v>0</v>
      </c>
      <c r="AO48" s="283">
        <f ca="1">-AF46</f>
        <v>-33.821682329619648</v>
      </c>
    </row>
    <row r="49" spans="1:35" s="283" customFormat="1" hidden="1" outlineLevel="1">
      <c r="B49" s="695"/>
      <c r="C49" s="702" t="s">
        <v>314</v>
      </c>
      <c r="D49" s="697"/>
      <c r="E49" s="703">
        <f>+E15</f>
        <v>3.4980000000000007</v>
      </c>
      <c r="F49" s="703">
        <f t="shared" ref="F49:Q49" si="148">+F15</f>
        <v>3.3959999999999999</v>
      </c>
      <c r="G49" s="703">
        <f t="shared" si="148"/>
        <v>4.4819999999999993</v>
      </c>
      <c r="H49" s="703">
        <f t="shared" si="148"/>
        <v>1.6760000000000002</v>
      </c>
      <c r="I49" s="703">
        <f t="shared" si="148"/>
        <v>1.1400000000000001</v>
      </c>
      <c r="J49" s="703">
        <f t="shared" si="148"/>
        <v>1.145</v>
      </c>
      <c r="K49" s="703">
        <f t="shared" si="148"/>
        <v>1.2559999999999993</v>
      </c>
      <c r="L49" s="703">
        <f t="shared" si="148"/>
        <v>0.94599999999999995</v>
      </c>
      <c r="M49" s="703">
        <f t="shared" si="148"/>
        <v>0.98299999999999987</v>
      </c>
      <c r="N49" s="703">
        <f t="shared" si="148"/>
        <v>1.4949999999999999</v>
      </c>
      <c r="O49" s="703">
        <f t="shared" si="148"/>
        <v>2.702</v>
      </c>
      <c r="P49" s="703">
        <f t="shared" si="148"/>
        <v>7.2359999999999998</v>
      </c>
      <c r="Q49" s="703">
        <f t="shared" si="148"/>
        <v>4.9209999999999994</v>
      </c>
      <c r="R49" s="703">
        <f t="shared" ref="R49:T49" si="149">+R15</f>
        <v>5.9640000000000004</v>
      </c>
      <c r="S49" s="703">
        <f t="shared" si="149"/>
        <v>9.6620000000000008</v>
      </c>
      <c r="T49" s="703">
        <f t="shared" si="149"/>
        <v>10.391</v>
      </c>
      <c r="U49" s="703">
        <f t="shared" ref="U49" si="150">+U15</f>
        <v>8.3580000000000005</v>
      </c>
      <c r="V49" s="703">
        <f ca="1">+Financials!V16-(V219+V307+V395+V531+V619)</f>
        <v>6.7007050608784553</v>
      </c>
      <c r="W49" s="703">
        <f ca="1">+Financials!W16-(W219+W307+W395+W531+W619)</f>
        <v>5.7849360937943022</v>
      </c>
      <c r="X49" s="703">
        <f ca="1">+Financials!X16-(X219+X307+X395+X531+X619)</f>
        <v>6.6523746715078911</v>
      </c>
      <c r="Z49" s="703">
        <f>+Financials!Z16-(Z219+Z307+Z395+Z531+Z619)</f>
        <v>5.3780000000000001</v>
      </c>
      <c r="AA49" s="703">
        <f>+Financials!AA16-(AA219+AA307+AA395+AA531+AA619)</f>
        <v>8.0160000000000018</v>
      </c>
      <c r="AB49" s="699">
        <f t="shared" si="146"/>
        <v>13.052</v>
      </c>
      <c r="AC49" s="699">
        <f t="shared" si="146"/>
        <v>4.4869999999999992</v>
      </c>
      <c r="AD49" s="699">
        <f t="shared" si="146"/>
        <v>12.416</v>
      </c>
      <c r="AE49" s="699">
        <f>SUMIF($E$5:$X$5,AE$5,$E49:$X49)</f>
        <v>30.938000000000002</v>
      </c>
      <c r="AF49" s="699">
        <f t="shared" ca="1" si="135"/>
        <v>27.496015826180653</v>
      </c>
      <c r="AG49" s="703">
        <f ca="1">+Financials!AG16-(AG219+AG307+AG395+AG531+AG619)</f>
        <v>25.949919600628146</v>
      </c>
      <c r="AH49" s="703">
        <f ca="1">+Financials!AH16-(AH219+AH307+AH395+AH531+AH619)</f>
        <v>27.883635925180482</v>
      </c>
    </row>
    <row r="50" spans="1:35" s="283" customFormat="1" hidden="1" outlineLevel="1">
      <c r="B50" s="695"/>
      <c r="C50" s="702" t="s">
        <v>315</v>
      </c>
      <c r="D50" s="697"/>
      <c r="E50" s="703">
        <f>+E17</f>
        <v>1.0049999999999999</v>
      </c>
      <c r="F50" s="703">
        <f t="shared" ref="F50:Q50" si="151">+F17</f>
        <v>1.415</v>
      </c>
      <c r="G50" s="703">
        <f t="shared" si="151"/>
        <v>1.1950000000000001</v>
      </c>
      <c r="H50" s="703">
        <f t="shared" si="151"/>
        <v>1.272</v>
      </c>
      <c r="I50" s="703">
        <f t="shared" si="151"/>
        <v>0.85599999999999998</v>
      </c>
      <c r="J50" s="703">
        <f t="shared" si="151"/>
        <v>0.79800000000000004</v>
      </c>
      <c r="K50" s="703">
        <f t="shared" si="151"/>
        <v>0.88100000000000001</v>
      </c>
      <c r="L50" s="703">
        <f t="shared" si="151"/>
        <v>0.61499999999999999</v>
      </c>
      <c r="M50" s="703">
        <f t="shared" si="151"/>
        <v>0.53500000000000003</v>
      </c>
      <c r="N50" s="703">
        <f t="shared" si="151"/>
        <v>0.56299999999999994</v>
      </c>
      <c r="O50" s="703">
        <f t="shared" si="151"/>
        <v>0.75900000000000001</v>
      </c>
      <c r="P50" s="703">
        <f t="shared" si="151"/>
        <v>0.58499999999999996</v>
      </c>
      <c r="Q50" s="703">
        <f t="shared" si="151"/>
        <v>0.73899999999999999</v>
      </c>
      <c r="R50" s="703">
        <f t="shared" ref="R50:T50" si="152">+R17</f>
        <v>2.8740000000000001</v>
      </c>
      <c r="S50" s="703">
        <f t="shared" si="152"/>
        <v>3.4329999999999998</v>
      </c>
      <c r="T50" s="703">
        <f t="shared" si="152"/>
        <v>0</v>
      </c>
      <c r="U50" s="703">
        <f t="shared" ref="U50" si="153">+U17</f>
        <v>3.1</v>
      </c>
      <c r="V50" s="703">
        <f ca="1">+Financials!V17</f>
        <v>1.5634978475383063</v>
      </c>
      <c r="W50" s="703">
        <f ca="1">+Financials!W17</f>
        <v>1.3498184218853373</v>
      </c>
      <c r="X50" s="703">
        <f ca="1">+Financials!X17</f>
        <v>1.5522207566851747</v>
      </c>
      <c r="Z50" s="703">
        <f>+Financials!Z17</f>
        <v>3.137</v>
      </c>
      <c r="AA50" s="703">
        <f>+Financials!AA17</f>
        <v>5.4480000000000004</v>
      </c>
      <c r="AB50" s="699">
        <f t="shared" si="146"/>
        <v>4.8870000000000005</v>
      </c>
      <c r="AC50" s="699">
        <f t="shared" si="146"/>
        <v>3.1500000000000004</v>
      </c>
      <c r="AD50" s="699">
        <f t="shared" si="146"/>
        <v>2.4419999999999997</v>
      </c>
      <c r="AE50" s="699">
        <f t="shared" si="146"/>
        <v>7.0459999999999994</v>
      </c>
      <c r="AF50" s="699">
        <f t="shared" ca="1" si="135"/>
        <v>7.5655370261088191</v>
      </c>
      <c r="AG50" s="703">
        <f ca="1">+Financials!AG17</f>
        <v>7.9377831266649146</v>
      </c>
      <c r="AH50" s="703">
        <f ca="1">+Financials!AH17</f>
        <v>8.5292847979231361</v>
      </c>
    </row>
    <row r="51" spans="1:35" s="283" customFormat="1" hidden="1" outlineLevel="1">
      <c r="B51" s="695"/>
      <c r="C51" s="702" t="s">
        <v>362</v>
      </c>
      <c r="D51" s="697"/>
      <c r="E51" s="703">
        <f>+E18</f>
        <v>1.4359999999999999</v>
      </c>
      <c r="F51" s="703">
        <f t="shared" ref="F51:Q51" si="154">+F18</f>
        <v>2.3370000000000002</v>
      </c>
      <c r="G51" s="703">
        <f t="shared" si="154"/>
        <v>1.2689999999999999</v>
      </c>
      <c r="H51" s="703">
        <f t="shared" si="154"/>
        <v>0.39900000000000002</v>
      </c>
      <c r="I51" s="703">
        <f t="shared" si="154"/>
        <v>0.40300000000000002</v>
      </c>
      <c r="J51" s="703">
        <f t="shared" si="154"/>
        <v>0.158</v>
      </c>
      <c r="K51" s="703">
        <f t="shared" si="154"/>
        <v>5.2999999999999999E-2</v>
      </c>
      <c r="L51" s="703">
        <f t="shared" si="154"/>
        <v>-7.9000000000000001E-2</v>
      </c>
      <c r="M51" s="703">
        <f t="shared" si="154"/>
        <v>0</v>
      </c>
      <c r="N51" s="703">
        <f t="shared" si="154"/>
        <v>0</v>
      </c>
      <c r="O51" s="703">
        <f t="shared" si="154"/>
        <v>0</v>
      </c>
      <c r="P51" s="703">
        <f t="shared" si="154"/>
        <v>0</v>
      </c>
      <c r="Q51" s="703">
        <f t="shared" si="154"/>
        <v>0</v>
      </c>
      <c r="R51" s="703">
        <f t="shared" ref="R51:T51" si="155">+R18</f>
        <v>0</v>
      </c>
      <c r="S51" s="703">
        <f t="shared" si="155"/>
        <v>0</v>
      </c>
      <c r="T51" s="703">
        <f t="shared" si="155"/>
        <v>0</v>
      </c>
      <c r="U51" s="703">
        <f t="shared" ref="U51" si="156">+U18</f>
        <v>0</v>
      </c>
      <c r="V51" s="703">
        <f ca="1">+Financials!V18</f>
        <v>0</v>
      </c>
      <c r="W51" s="703">
        <f ca="1">+Financials!W18</f>
        <v>0</v>
      </c>
      <c r="X51" s="703">
        <f ca="1">+Financials!X18</f>
        <v>0</v>
      </c>
      <c r="Z51" s="703">
        <f>+Financials!Z18</f>
        <v>0.24299999999999999</v>
      </c>
      <c r="AA51" s="703">
        <f>+Financials!AA18</f>
        <v>3.2759999999999998</v>
      </c>
      <c r="AB51" s="699">
        <f t="shared" si="146"/>
        <v>5.4409999999999998</v>
      </c>
      <c r="AC51" s="699">
        <f t="shared" si="146"/>
        <v>0.53500000000000014</v>
      </c>
      <c r="AD51" s="699">
        <f t="shared" si="146"/>
        <v>0</v>
      </c>
      <c r="AE51" s="699">
        <f t="shared" si="146"/>
        <v>0</v>
      </c>
      <c r="AF51" s="699">
        <f t="shared" ca="1" si="135"/>
        <v>0</v>
      </c>
      <c r="AG51" s="703">
        <f ca="1">+Financials!AG18</f>
        <v>0</v>
      </c>
      <c r="AH51" s="703">
        <f ca="1">+Financials!AH18</f>
        <v>0</v>
      </c>
    </row>
    <row r="52" spans="1:35" s="283" customFormat="1" hidden="1" outlineLevel="1">
      <c r="B52" s="695"/>
      <c r="C52" s="702" t="s">
        <v>619</v>
      </c>
      <c r="D52" s="697"/>
      <c r="E52" s="703">
        <f>+E23</f>
        <v>1.127</v>
      </c>
      <c r="F52" s="703">
        <f t="shared" ref="F52:Q52" si="157">+F23</f>
        <v>1.3139999999999998</v>
      </c>
      <c r="G52" s="703">
        <f t="shared" si="157"/>
        <v>2.2309999999999999</v>
      </c>
      <c r="H52" s="703">
        <f t="shared" si="157"/>
        <v>1.6059999999999999</v>
      </c>
      <c r="I52" s="703">
        <f t="shared" si="157"/>
        <v>1.58</v>
      </c>
      <c r="J52" s="703">
        <f t="shared" si="157"/>
        <v>1.972</v>
      </c>
      <c r="K52" s="703">
        <f t="shared" si="157"/>
        <v>1.206</v>
      </c>
      <c r="L52" s="703">
        <f t="shared" si="157"/>
        <v>0.91000000000000014</v>
      </c>
      <c r="M52" s="703">
        <f t="shared" si="157"/>
        <v>1.2190000000000001</v>
      </c>
      <c r="N52" s="703">
        <f t="shared" si="157"/>
        <v>1.2089999999999999</v>
      </c>
      <c r="O52" s="703">
        <f t="shared" si="157"/>
        <v>2.8010000000000002</v>
      </c>
      <c r="P52" s="703">
        <f t="shared" si="157"/>
        <v>1.2290000000000001</v>
      </c>
      <c r="Q52" s="703">
        <f t="shared" si="157"/>
        <v>0.5</v>
      </c>
      <c r="R52" s="703">
        <f t="shared" ref="R52:X52" si="158">+R23</f>
        <v>2.802</v>
      </c>
      <c r="S52" s="703">
        <f t="shared" si="158"/>
        <v>1.472</v>
      </c>
      <c r="T52" s="703">
        <f t="shared" si="158"/>
        <v>1.3079999999999998</v>
      </c>
      <c r="U52" s="703">
        <f t="shared" ref="U52" si="159">+U23</f>
        <v>1.2709999999999999</v>
      </c>
      <c r="V52" s="703">
        <f t="shared" ca="1" si="158"/>
        <v>1.116784176813076</v>
      </c>
      <c r="W52" s="703">
        <f t="shared" ca="1" si="158"/>
        <v>0.96415601563238373</v>
      </c>
      <c r="X52" s="703">
        <f t="shared" ca="1" si="158"/>
        <v>1.1087291119179818</v>
      </c>
      <c r="Z52" s="703">
        <f>+Z23</f>
        <v>5.9320000000000004</v>
      </c>
      <c r="AA52" s="703">
        <f>+AA23</f>
        <v>6.3310000000000004</v>
      </c>
      <c r="AB52" s="699">
        <f t="shared" si="146"/>
        <v>6.2779999999999996</v>
      </c>
      <c r="AC52" s="699">
        <f t="shared" si="146"/>
        <v>5.6680000000000001</v>
      </c>
      <c r="AD52" s="699">
        <f t="shared" si="146"/>
        <v>6.4580000000000002</v>
      </c>
      <c r="AE52" s="699">
        <f t="shared" si="146"/>
        <v>6.0819999999999999</v>
      </c>
      <c r="AF52" s="699">
        <f t="shared" ca="1" si="135"/>
        <v>4.4606693043634422</v>
      </c>
      <c r="AG52" s="703">
        <f ca="1">+AG23</f>
        <v>4.3249866001046913</v>
      </c>
      <c r="AH52" s="703">
        <f ca="1">+AH23</f>
        <v>4.6472726541967475</v>
      </c>
    </row>
    <row r="53" spans="1:35" s="314" customFormat="1" hidden="1" outlineLevel="1">
      <c r="B53" s="704"/>
      <c r="C53" s="705" t="s">
        <v>748</v>
      </c>
      <c r="D53" s="706"/>
      <c r="E53" s="704">
        <f t="shared" ref="E53:Q53" si="160">+E54-SUM(E48:E52)</f>
        <v>1.6499999999999986</v>
      </c>
      <c r="F53" s="704">
        <f t="shared" si="160"/>
        <v>0.2170000000000023</v>
      </c>
      <c r="G53" s="704">
        <f t="shared" si="160"/>
        <v>1.1359999999999992</v>
      </c>
      <c r="H53" s="704">
        <f t="shared" si="160"/>
        <v>0.44700000000000095</v>
      </c>
      <c r="I53" s="704">
        <f t="shared" si="160"/>
        <v>0.39599999999999902</v>
      </c>
      <c r="J53" s="704">
        <f t="shared" si="160"/>
        <v>0.56700000000000195</v>
      </c>
      <c r="K53" s="704">
        <f t="shared" si="160"/>
        <v>1.125</v>
      </c>
      <c r="L53" s="704">
        <f t="shared" si="160"/>
        <v>1.2110000000000021</v>
      </c>
      <c r="M53" s="704">
        <f t="shared" si="160"/>
        <v>-1.7259999999999991</v>
      </c>
      <c r="N53" s="704">
        <f t="shared" si="160"/>
        <v>-1.330000000000001</v>
      </c>
      <c r="O53" s="704">
        <f t="shared" si="160"/>
        <v>-2.6119999999999948</v>
      </c>
      <c r="P53" s="704">
        <f t="shared" si="160"/>
        <v>-7.7319999999999105</v>
      </c>
      <c r="Q53" s="704">
        <f t="shared" si="160"/>
        <v>-6.8000000000010274E-2</v>
      </c>
      <c r="R53" s="704">
        <f t="shared" ref="R53:T53" si="161">+R54-SUM(R48:R52)</f>
        <v>-5.4070000000000107</v>
      </c>
      <c r="S53" s="704">
        <f t="shared" si="161"/>
        <v>-0.67500000000001137</v>
      </c>
      <c r="T53" s="704">
        <f t="shared" si="161"/>
        <v>1.2660000000000764</v>
      </c>
      <c r="U53" s="704">
        <f t="shared" ref="U53" si="162">+U54-SUM(U48:U52)</f>
        <v>-6.083000000000002</v>
      </c>
      <c r="V53" s="704">
        <v>0</v>
      </c>
      <c r="W53" s="704">
        <v>0</v>
      </c>
      <c r="X53" s="704">
        <v>0</v>
      </c>
      <c r="Y53" s="283"/>
      <c r="Z53" s="704">
        <f>+Z54-SUM(Z48:Z52)</f>
        <v>0.18299999999999272</v>
      </c>
      <c r="AA53" s="704">
        <f>+AA54-SUM(AA48:AA52)</f>
        <v>-11.636000000000003</v>
      </c>
      <c r="AB53" s="699">
        <f t="shared" si="146"/>
        <v>3.4500000000000011</v>
      </c>
      <c r="AC53" s="699">
        <f t="shared" si="146"/>
        <v>3.299000000000003</v>
      </c>
      <c r="AD53" s="699">
        <f t="shared" si="146"/>
        <v>-13.399999999999906</v>
      </c>
      <c r="AE53" s="699">
        <f t="shared" si="146"/>
        <v>-4.8839999999999559</v>
      </c>
      <c r="AF53" s="699">
        <f t="shared" si="146"/>
        <v>-6.083000000000002</v>
      </c>
      <c r="AG53" s="704">
        <v>0</v>
      </c>
      <c r="AH53" s="704">
        <v>0</v>
      </c>
      <c r="AI53" s="283"/>
    </row>
    <row r="54" spans="1:35" s="319" customFormat="1" hidden="1" outlineLevel="1">
      <c r="B54" s="707"/>
      <c r="C54" s="708" t="s">
        <v>749</v>
      </c>
      <c r="D54" s="709"/>
      <c r="E54" s="710">
        <v>15.324</v>
      </c>
      <c r="F54" s="710">
        <v>17.152000000000001</v>
      </c>
      <c r="G54" s="710">
        <v>18.408999999999999</v>
      </c>
      <c r="H54" s="711">
        <f>SUMIF($Z$6:$AG$6,H$6,$Z54:$AG54)-SUM(E54:G54)</f>
        <v>12.487000000000002</v>
      </c>
      <c r="I54" s="710">
        <v>12.754</v>
      </c>
      <c r="J54" s="710">
        <v>11.586</v>
      </c>
      <c r="K54" s="710">
        <v>11.292999999999999</v>
      </c>
      <c r="L54" s="711">
        <f>SUMIF($Z$6:$AG$6,L$6,$Z54:$AG54)-SUM(I54:K54)</f>
        <v>11.670000000000002</v>
      </c>
      <c r="M54" s="710">
        <v>8.7309999999999999</v>
      </c>
      <c r="N54" s="710">
        <v>7.7069999999999999</v>
      </c>
      <c r="O54" s="710">
        <v>12.562000000000005</v>
      </c>
      <c r="P54" s="711">
        <f>SUMIF($Z$6:$AG$6,P$6,$Z54:$AG54)-SUM(M54:O54)</f>
        <v>8.0190000000000872</v>
      </c>
      <c r="Q54" s="710">
        <v>13.59899999999999</v>
      </c>
      <c r="R54" s="777">
        <v>14.534999999999989</v>
      </c>
      <c r="S54" s="777">
        <v>21.29399999999999</v>
      </c>
      <c r="T54" s="711">
        <f>SUMIF($Z$6:$AG$6,T$6,$Z54:$AG54)-SUM(Q54:S54)</f>
        <v>18.242000000000075</v>
      </c>
      <c r="U54" s="710">
        <v>13.669</v>
      </c>
      <c r="V54" s="711">
        <f t="shared" ref="V54:X54" ca="1" si="163">SUM(V48:V53)</f>
        <v>20.682055711187534</v>
      </c>
      <c r="W54" s="711">
        <f t="shared" ca="1" si="163"/>
        <v>17.058748191092807</v>
      </c>
      <c r="X54" s="711">
        <f t="shared" ca="1" si="163"/>
        <v>15.568748950009127</v>
      </c>
      <c r="Y54" s="283"/>
      <c r="Z54" s="710">
        <v>59.912999999999997</v>
      </c>
      <c r="AA54" s="710">
        <v>47.045999999999999</v>
      </c>
      <c r="AB54" s="710">
        <v>63.372</v>
      </c>
      <c r="AC54" s="710">
        <v>47.302999999999997</v>
      </c>
      <c r="AD54" s="710">
        <v>37.019000000000091</v>
      </c>
      <c r="AE54" s="710">
        <v>67.670000000000044</v>
      </c>
      <c r="AF54" s="711">
        <f ca="1">SUM(AF48:AF53)</f>
        <v>66.978552852289482</v>
      </c>
      <c r="AG54" s="711">
        <f ca="1">SUM(AG48:AG53)</f>
        <v>76.212689327397754</v>
      </c>
      <c r="AH54" s="711">
        <f ca="1">SUM(AH48:AH53)</f>
        <v>79.060193377300379</v>
      </c>
      <c r="AI54" s="283"/>
    </row>
    <row r="55" spans="1:35" s="283" customFormat="1" hidden="1" outlineLevel="1">
      <c r="C55" s="316"/>
      <c r="D55" s="486"/>
      <c r="E55" s="313"/>
      <c r="F55" s="313"/>
      <c r="G55" s="313"/>
      <c r="H55" s="313"/>
      <c r="I55" s="313"/>
      <c r="J55" s="313"/>
      <c r="K55" s="313"/>
      <c r="L55" s="423"/>
      <c r="M55" s="423"/>
      <c r="N55" s="423"/>
      <c r="O55" s="423"/>
      <c r="P55" s="423"/>
      <c r="Q55" s="423"/>
      <c r="R55" s="423"/>
      <c r="S55" s="423"/>
      <c r="T55" s="423"/>
      <c r="U55" s="423"/>
      <c r="V55" s="423"/>
      <c r="W55" s="423"/>
      <c r="X55" s="423"/>
      <c r="Z55" s="313"/>
      <c r="AA55" s="313"/>
      <c r="AB55" s="313"/>
      <c r="AC55" s="313"/>
      <c r="AD55" s="423"/>
      <c r="AE55" s="423"/>
      <c r="AF55" s="423"/>
      <c r="AG55" s="313"/>
      <c r="AH55" s="313"/>
    </row>
    <row r="56" spans="1:35" s="314" customFormat="1" collapsed="1">
      <c r="C56" s="463" t="s">
        <v>453</v>
      </c>
      <c r="D56" s="488"/>
      <c r="E56" s="314">
        <f>ROUND(Financials!E10-Segment!E10,0)</f>
        <v>0</v>
      </c>
      <c r="F56" s="314">
        <f>ROUND(Financials!F10-Segment!F10,0)</f>
        <v>0</v>
      </c>
      <c r="G56" s="314">
        <f>ROUND(Financials!G10-Segment!G10,0)</f>
        <v>0</v>
      </c>
      <c r="H56" s="314">
        <f>ROUND(Financials!H10-Segment!H10,0)</f>
        <v>0</v>
      </c>
      <c r="I56" s="314">
        <f>ROUND(Financials!I10-Segment!I10,0)</f>
        <v>0</v>
      </c>
      <c r="J56" s="314">
        <f>ROUND(Financials!J10-Segment!J10,0)</f>
        <v>0</v>
      </c>
      <c r="K56" s="314">
        <f>ROUND(Financials!K10-Segment!K10,0)</f>
        <v>0</v>
      </c>
      <c r="L56" s="314">
        <f>ROUND(Financials!L10-Segment!L10,0)</f>
        <v>0</v>
      </c>
      <c r="M56" s="314">
        <f>ROUND(Financials!M10-Segment!M10,0)</f>
        <v>0</v>
      </c>
      <c r="N56" s="314">
        <f>ROUND(Financials!N10-Segment!N10,0)</f>
        <v>0</v>
      </c>
      <c r="O56" s="314">
        <f>ROUND(Financials!O10-Segment!O10,0)</f>
        <v>0</v>
      </c>
      <c r="P56" s="314">
        <f>ROUND(Financials!P10-Segment!P10,0)</f>
        <v>0</v>
      </c>
      <c r="Q56" s="314">
        <f>ROUND(Financials!Q10-Segment!Q10,0)</f>
        <v>0</v>
      </c>
      <c r="R56" s="314">
        <f>ROUND(Financials!R10-Segment!R10,0)</f>
        <v>0</v>
      </c>
      <c r="S56" s="314">
        <f>ROUND(Financials!S10-Segment!S10,0)</f>
        <v>0</v>
      </c>
      <c r="T56" s="314">
        <f>ROUND(Financials!T10-Segment!T10,0)</f>
        <v>0</v>
      </c>
      <c r="U56" s="314">
        <f>ROUND(Financials!U10-Segment!U10,0)</f>
        <v>0</v>
      </c>
      <c r="V56" s="408">
        <f ca="1">ROUND(Financials!V10-Segment!V10,0)</f>
        <v>0</v>
      </c>
      <c r="W56" s="408">
        <f ca="1">ROUND(Financials!W10-Segment!W10,0)</f>
        <v>0</v>
      </c>
      <c r="X56" s="408">
        <f ca="1">ROUND(Financials!X10-Segment!X10,0)</f>
        <v>0</v>
      </c>
      <c r="Y56" s="283"/>
      <c r="Z56" s="314">
        <f>ROUND(Financials!Z10-Segment!Z10,0)</f>
        <v>0</v>
      </c>
      <c r="AA56" s="314">
        <f>ROUND(Financials!AA10-Segment!AA10,0)</f>
        <v>0</v>
      </c>
      <c r="AB56" s="314">
        <f>ROUND(Financials!AB10-Segment!AB10,0)</f>
        <v>0</v>
      </c>
      <c r="AC56" s="314">
        <f>ROUND(Financials!AC10-Segment!AC10,0)</f>
        <v>0</v>
      </c>
      <c r="AD56" s="314">
        <f>ROUND(Financials!AD10-Segment!AD10,0)</f>
        <v>0</v>
      </c>
      <c r="AE56" s="314">
        <f>ROUND(Financials!AE10-Segment!AE10,0)</f>
        <v>0</v>
      </c>
      <c r="AF56" s="314">
        <f ca="1">ROUND(Financials!AF10-Segment!AF10,0)</f>
        <v>0</v>
      </c>
      <c r="AG56" s="314">
        <f ca="1">ROUND(Financials!AG10-Segment!AG10,0)</f>
        <v>0</v>
      </c>
      <c r="AH56" s="314">
        <f ca="1">ROUND(Financials!AH10-Segment!AH10,0)</f>
        <v>0</v>
      </c>
    </row>
    <row r="57" spans="1:35" s="314" customFormat="1">
      <c r="C57" s="463" t="s">
        <v>454</v>
      </c>
      <c r="D57" s="488"/>
      <c r="E57" s="314">
        <f>ROUND(Financials!E11-Segment!E97,0)</f>
        <v>0</v>
      </c>
      <c r="F57" s="314">
        <f>ROUND(Financials!F11-Segment!F97,0)</f>
        <v>0</v>
      </c>
      <c r="G57" s="314">
        <f>ROUND(Financials!G11-Segment!G97,0)</f>
        <v>0</v>
      </c>
      <c r="H57" s="314">
        <f>ROUND(Financials!H11-Segment!H97,0)</f>
        <v>0</v>
      </c>
      <c r="I57" s="314">
        <f>ROUND(Financials!I11-Segment!I97,0)</f>
        <v>0</v>
      </c>
      <c r="J57" s="314">
        <f>ROUND(Financials!J11-Segment!J97,0)</f>
        <v>0</v>
      </c>
      <c r="K57" s="314">
        <f>ROUND(Financials!K11-Segment!K97,0)</f>
        <v>0</v>
      </c>
      <c r="L57" s="314">
        <f>ROUND(Financials!L11-Segment!L97,0)</f>
        <v>0</v>
      </c>
      <c r="M57" s="314">
        <f>ROUND(Financials!M11-Segment!M97,0)</f>
        <v>0</v>
      </c>
      <c r="N57" s="314">
        <f>ROUND(Financials!N11-Segment!N97,0)</f>
        <v>0</v>
      </c>
      <c r="O57" s="314">
        <f>ROUND(Financials!O11-Segment!O97,0)</f>
        <v>0</v>
      </c>
      <c r="P57" s="314">
        <f>ROUND(Financials!P11-Segment!P97,0)</f>
        <v>0</v>
      </c>
      <c r="Q57" s="314">
        <f>ROUND(Financials!Q11-Segment!Q97,0)</f>
        <v>0</v>
      </c>
      <c r="R57" s="314">
        <f>ROUND(Financials!R11-Segment!R97,0)</f>
        <v>0</v>
      </c>
      <c r="S57" s="314">
        <f>ROUND(Financials!S11-Segment!S97,0)</f>
        <v>0</v>
      </c>
      <c r="T57" s="314">
        <f>ROUND(Financials!T11-Segment!T97,0)</f>
        <v>0</v>
      </c>
      <c r="U57" s="314">
        <f>ROUND(Financials!U11-Segment!U97,0)</f>
        <v>0</v>
      </c>
      <c r="V57" s="408">
        <f ca="1">ROUND(Financials!V11-Segment!V97,0)</f>
        <v>0</v>
      </c>
      <c r="W57" s="408">
        <f ca="1">ROUND(Financials!W11-Segment!W97,0)</f>
        <v>0</v>
      </c>
      <c r="X57" s="408">
        <f ca="1">ROUND(Financials!X11-Segment!X97,0)</f>
        <v>0</v>
      </c>
      <c r="Y57" s="283"/>
      <c r="Z57" s="314">
        <f>ROUND(Financials!Z11-Segment!Z97,0)</f>
        <v>0</v>
      </c>
      <c r="AA57" s="314">
        <f>ROUND(Financials!AA11-Segment!AA97,0)</f>
        <v>0</v>
      </c>
      <c r="AB57" s="314">
        <f>ROUND(Financials!AB11-Segment!AB97,0)</f>
        <v>0</v>
      </c>
      <c r="AC57" s="314">
        <f>ROUND(Financials!AC11-Segment!AC97,0)</f>
        <v>0</v>
      </c>
      <c r="AD57" s="314">
        <f>ROUND(Financials!AD11-Segment!AD97,0)</f>
        <v>0</v>
      </c>
      <c r="AE57" s="314">
        <f>ROUND(Financials!AE11-Segment!AE97,0)</f>
        <v>0</v>
      </c>
      <c r="AF57" s="314">
        <f ca="1">ROUND(Financials!AF11-Segment!AF97,0)</f>
        <v>0</v>
      </c>
      <c r="AG57" s="314">
        <f>ROUND(Financials!AG11-Segment!AG97,0)</f>
        <v>0</v>
      </c>
      <c r="AH57" s="314">
        <f>ROUND(Financials!AH11-Segment!AH97,0)</f>
        <v>0</v>
      </c>
    </row>
    <row r="58" spans="1:35" s="314" customFormat="1">
      <c r="C58" s="463" t="s">
        <v>702</v>
      </c>
      <c r="D58" s="488"/>
      <c r="E58" s="314">
        <f>ROUND(Financials!E69-E20,0)</f>
        <v>0</v>
      </c>
      <c r="F58" s="314">
        <f>ROUND(Financials!F69-F20,0)</f>
        <v>0</v>
      </c>
      <c r="G58" s="314">
        <f>ROUND(Financials!G69-G20,0)</f>
        <v>0</v>
      </c>
      <c r="H58" s="314">
        <f>ROUND(Financials!H69-H20,0)</f>
        <v>0</v>
      </c>
      <c r="I58" s="314">
        <f>ROUND(Financials!I69-I20,0)</f>
        <v>0</v>
      </c>
      <c r="J58" s="314">
        <f>ROUND(Financials!J69-J20,0)</f>
        <v>0</v>
      </c>
      <c r="K58" s="314">
        <f>ROUND(Financials!K69-K20,0)</f>
        <v>0</v>
      </c>
      <c r="L58" s="314">
        <f>ROUND(Financials!L69-L20,0)</f>
        <v>0</v>
      </c>
      <c r="M58" s="314">
        <f>ROUND(Financials!M69-M20,0)</f>
        <v>0</v>
      </c>
      <c r="N58" s="314">
        <f>ROUND(Financials!N69-N20,0)</f>
        <v>0</v>
      </c>
      <c r="O58" s="314">
        <f>ROUND(Financials!O69-O20,0)</f>
        <v>0</v>
      </c>
      <c r="P58" s="314">
        <f>ROUND(Financials!P69-P20,0)</f>
        <v>0</v>
      </c>
      <c r="Q58" s="314">
        <f>ROUND(Financials!Q69-Q20,0)</f>
        <v>0</v>
      </c>
      <c r="R58" s="314">
        <f>ROUND(Financials!R69-R20,0)</f>
        <v>0</v>
      </c>
      <c r="S58" s="314">
        <f>ROUND(Financials!S69-S20,0)</f>
        <v>0</v>
      </c>
      <c r="T58" s="314">
        <f ca="1">ROUND(Financials!T69-T20,0)</f>
        <v>0</v>
      </c>
      <c r="U58" s="314">
        <f ca="1">ROUND(Financials!U69-U20,0)</f>
        <v>0</v>
      </c>
      <c r="V58" s="408">
        <f ca="1">ROUND(Financials!V69-V20,0)</f>
        <v>0</v>
      </c>
      <c r="W58" s="408">
        <f ca="1">ROUND(Financials!W69-W20,0)</f>
        <v>0</v>
      </c>
      <c r="X58" s="408">
        <f ca="1">ROUND(Financials!X69-X20,0)</f>
        <v>0</v>
      </c>
      <c r="Y58" s="283"/>
      <c r="Z58" s="314">
        <f>ROUND(Financials!Z69-Z20,0)</f>
        <v>0</v>
      </c>
      <c r="AA58" s="314">
        <f>ROUND(Financials!AA69-AA20,0)</f>
        <v>0</v>
      </c>
      <c r="AB58" s="314">
        <f>ROUND(Financials!AB69-AB20,0)</f>
        <v>0</v>
      </c>
      <c r="AC58" s="314">
        <f>ROUND(Financials!AC69-AC20,0)</f>
        <v>0</v>
      </c>
      <c r="AD58" s="314">
        <f>ROUND(Financials!AD69-AD20,0)</f>
        <v>0</v>
      </c>
      <c r="AE58" s="314">
        <f ca="1">ROUND(Financials!AE69-AE20,0)</f>
        <v>0</v>
      </c>
      <c r="AF58" s="314">
        <f ca="1">ROUND(Financials!AF69-AF20,0)</f>
        <v>0</v>
      </c>
      <c r="AG58" s="314">
        <f ca="1">ROUND(Financials!AG69-AG20,0)</f>
        <v>0</v>
      </c>
      <c r="AH58" s="314">
        <f ca="1">ROUND(Financials!AH69-AH20,0)</f>
        <v>0</v>
      </c>
    </row>
    <row r="59" spans="1:35" s="326" customFormat="1">
      <c r="A59" s="314"/>
      <c r="C59" s="434" t="s">
        <v>703</v>
      </c>
      <c r="D59" s="489"/>
      <c r="E59" s="314">
        <f>ROUND(Financials!E88-E40,0)</f>
        <v>0</v>
      </c>
      <c r="F59" s="314">
        <f>ROUND(Financials!F88-F40,0)</f>
        <v>0</v>
      </c>
      <c r="G59" s="314">
        <f>ROUND(Financials!G88-G40,0)</f>
        <v>0</v>
      </c>
      <c r="H59" s="314">
        <f>ROUND(Financials!H88-H40,0)</f>
        <v>0</v>
      </c>
      <c r="I59" s="314">
        <f>ROUND(Financials!I88-I40,0)</f>
        <v>0</v>
      </c>
      <c r="J59" s="314">
        <f>ROUND(Financials!J88-J40,0)</f>
        <v>0</v>
      </c>
      <c r="K59" s="314">
        <f>ROUND(Financials!K88-K40,0)</f>
        <v>0</v>
      </c>
      <c r="L59" s="314">
        <f>ROUND(Financials!L88-L40,0)</f>
        <v>0</v>
      </c>
      <c r="M59" s="314">
        <f>ROUND(Financials!M88-M40,0)</f>
        <v>0</v>
      </c>
      <c r="N59" s="314">
        <f>ROUND(Financials!N88-N40,0)</f>
        <v>0</v>
      </c>
      <c r="O59" s="314">
        <f>ROUND(Financials!O88-O40,0)</f>
        <v>0</v>
      </c>
      <c r="P59" s="314">
        <f>ROUND(Financials!P88-P40,0)</f>
        <v>0</v>
      </c>
      <c r="Q59" s="314">
        <f>ROUND(Financials!Q88-Q40,0)</f>
        <v>0</v>
      </c>
      <c r="R59" s="314">
        <f>ROUND(Financials!R88-R40,0)</f>
        <v>0</v>
      </c>
      <c r="S59" s="314">
        <f>ROUND(Financials!S88-S40,0)</f>
        <v>0</v>
      </c>
      <c r="T59" s="314">
        <f ca="1">ROUND(Financials!T88-T40,0)</f>
        <v>0</v>
      </c>
      <c r="U59" s="314">
        <f ca="1">ROUND(Financials!U88-U40,0)</f>
        <v>0</v>
      </c>
      <c r="V59" s="408">
        <f ca="1">ROUND(Financials!V88-V40,0)</f>
        <v>0</v>
      </c>
      <c r="W59" s="408">
        <f ca="1">ROUND(Financials!W88-W40,0)</f>
        <v>0</v>
      </c>
      <c r="X59" s="408">
        <f ca="1">ROUND(Financials!X88-X40,0)</f>
        <v>0</v>
      </c>
      <c r="Y59" s="283"/>
      <c r="Z59" s="314">
        <f>ROUND(Financials!Z88-Z40,0)</f>
        <v>0</v>
      </c>
      <c r="AA59" s="314">
        <f>ROUND(Financials!AA88-AA40,0)</f>
        <v>0</v>
      </c>
      <c r="AB59" s="314">
        <f>ROUND(Financials!AB88-AB40,0)</f>
        <v>0</v>
      </c>
      <c r="AC59" s="314">
        <f>ROUND(Financials!AC88-AC40,0)</f>
        <v>0</v>
      </c>
      <c r="AD59" s="314">
        <f>ROUND(Financials!AD88-AD40,0)</f>
        <v>0</v>
      </c>
      <c r="AE59" s="314">
        <f ca="1">ROUND(Financials!AE88-AE40,0)</f>
        <v>0</v>
      </c>
      <c r="AF59" s="314">
        <f ca="1">ROUND(Financials!AF88-AF40,0)</f>
        <v>0</v>
      </c>
      <c r="AG59" s="314">
        <f ca="1">ROUND(Financials!AG88-AG40,0)</f>
        <v>0</v>
      </c>
      <c r="AH59" s="314">
        <f ca="1">ROUND(Financials!AH88-AH40,0)</f>
        <v>0</v>
      </c>
    </row>
    <row r="60" spans="1:35" s="314" customFormat="1">
      <c r="A60" s="283"/>
      <c r="C60" s="463" t="s">
        <v>599</v>
      </c>
      <c r="D60" s="488"/>
      <c r="E60" s="314">
        <f>ROUND(Financials!E25-E42,0)</f>
        <v>0</v>
      </c>
      <c r="F60" s="314">
        <f>ROUND(Financials!F25-F42,0)</f>
        <v>0</v>
      </c>
      <c r="G60" s="314">
        <f>ROUND(Financials!G25-G42,0)</f>
        <v>0</v>
      </c>
      <c r="H60" s="314">
        <f>ROUND(Financials!H25-H42,0)</f>
        <v>0</v>
      </c>
      <c r="I60" s="314">
        <f>ROUND(Financials!I25-I42,0)</f>
        <v>0</v>
      </c>
      <c r="J60" s="314">
        <f>ROUND(Financials!J25-J42,0)</f>
        <v>0</v>
      </c>
      <c r="K60" s="314">
        <f>ROUND(Financials!K25-K42,0)</f>
        <v>0</v>
      </c>
      <c r="L60" s="314">
        <f>ROUND(Financials!L25-L42,0)</f>
        <v>0</v>
      </c>
      <c r="M60" s="314">
        <f>ROUND(Financials!M25-M42,0)</f>
        <v>0</v>
      </c>
      <c r="N60" s="314">
        <f>ROUND(Financials!N25-N42,0)</f>
        <v>0</v>
      </c>
      <c r="O60" s="314">
        <f>ROUND(Financials!O25-O42,0)</f>
        <v>0</v>
      </c>
      <c r="P60" s="314">
        <f>ROUND(Financials!P25-P42,0)</f>
        <v>0</v>
      </c>
      <c r="Q60" s="314">
        <f>ROUND(Financials!Q25-Q42,0)</f>
        <v>0</v>
      </c>
      <c r="R60" s="314">
        <f>ROUND(Financials!R25-R42,0)</f>
        <v>0</v>
      </c>
      <c r="S60" s="314">
        <f>ROUND(Financials!S25-S42,0)</f>
        <v>0</v>
      </c>
      <c r="T60" s="314">
        <f>ROUND(Financials!T25-T42,0)</f>
        <v>0</v>
      </c>
      <c r="U60" s="314">
        <f>ROUND(Financials!U25-U42,0)</f>
        <v>0</v>
      </c>
      <c r="V60" s="314">
        <f ca="1">ROUND(Financials!V25-V42,0)</f>
        <v>0</v>
      </c>
      <c r="W60" s="314">
        <f ca="1">ROUND(Financials!W25-W42,0)</f>
        <v>0</v>
      </c>
      <c r="X60" s="314">
        <f ca="1">ROUND(Financials!X25-X42,0)</f>
        <v>0</v>
      </c>
      <c r="Y60" s="283"/>
      <c r="Z60" s="314">
        <f>ROUND(Financials!Z25-Z42,0)</f>
        <v>0</v>
      </c>
      <c r="AA60" s="314">
        <f>ROUND(Financials!AA25-AA42,0)</f>
        <v>0</v>
      </c>
      <c r="AB60" s="314">
        <f>ROUND(Financials!AB25-AB42,0)</f>
        <v>0</v>
      </c>
      <c r="AC60" s="314">
        <f>ROUND(Financials!AC25-AC42,0)</f>
        <v>0</v>
      </c>
      <c r="AD60" s="314">
        <f>ROUND(Financials!AD25-AD42,0)</f>
        <v>0</v>
      </c>
      <c r="AE60" s="314">
        <f>ROUND(Financials!AE25-AE42,0)</f>
        <v>0</v>
      </c>
      <c r="AF60" s="314">
        <f ca="1">ROUND(Financials!AF25-AF42,0)</f>
        <v>0</v>
      </c>
      <c r="AG60" s="314">
        <f ca="1">ROUND(Financials!AG25-AG42,0)</f>
        <v>0</v>
      </c>
      <c r="AH60" s="314">
        <f ca="1">ROUND(Financials!AH25-AH42,0)</f>
        <v>0</v>
      </c>
    </row>
    <row r="61" spans="1:35" s="314" customFormat="1">
      <c r="A61" s="283"/>
      <c r="C61" s="463" t="s">
        <v>750</v>
      </c>
      <c r="D61" s="488"/>
      <c r="E61" s="314">
        <f t="shared" ref="E61:K61" si="164">ROUND(E43-E45-E46-E54,0)</f>
        <v>0</v>
      </c>
      <c r="F61" s="314">
        <f t="shared" si="164"/>
        <v>0</v>
      </c>
      <c r="G61" s="314">
        <f t="shared" si="164"/>
        <v>0</v>
      </c>
      <c r="H61" s="314">
        <f t="shared" si="164"/>
        <v>0</v>
      </c>
      <c r="I61" s="314">
        <f t="shared" si="164"/>
        <v>0</v>
      </c>
      <c r="J61" s="314">
        <f t="shared" si="164"/>
        <v>0</v>
      </c>
      <c r="K61" s="314">
        <f t="shared" si="164"/>
        <v>0</v>
      </c>
      <c r="L61" s="314">
        <f t="shared" ref="L61:X61" si="165">ROUND(L43-L45-L46-L54,0)</f>
        <v>0</v>
      </c>
      <c r="M61" s="314">
        <f t="shared" si="165"/>
        <v>0</v>
      </c>
      <c r="N61" s="314">
        <f t="shared" si="165"/>
        <v>0</v>
      </c>
      <c r="O61" s="314">
        <f t="shared" si="165"/>
        <v>0</v>
      </c>
      <c r="P61" s="314">
        <f t="shared" si="165"/>
        <v>0</v>
      </c>
      <c r="Q61" s="314">
        <f t="shared" si="165"/>
        <v>0</v>
      </c>
      <c r="R61" s="314">
        <f t="shared" si="165"/>
        <v>0</v>
      </c>
      <c r="S61" s="314">
        <f t="shared" si="165"/>
        <v>0</v>
      </c>
      <c r="T61" s="314">
        <f t="shared" si="165"/>
        <v>0</v>
      </c>
      <c r="U61" s="314">
        <f t="shared" ref="U61" si="166">ROUND(U43-U45-U46-U54,0)</f>
        <v>0</v>
      </c>
      <c r="V61" s="408">
        <f t="shared" ca="1" si="165"/>
        <v>0</v>
      </c>
      <c r="W61" s="408">
        <f t="shared" ca="1" si="165"/>
        <v>0</v>
      </c>
      <c r="X61" s="408">
        <f t="shared" ca="1" si="165"/>
        <v>0</v>
      </c>
      <c r="Y61" s="283"/>
      <c r="Z61" s="314">
        <f t="shared" ref="Z61:AC61" si="167">ROUND(Z43-Z45-Z46-Z54,0)</f>
        <v>0</v>
      </c>
      <c r="AA61" s="314">
        <f t="shared" si="167"/>
        <v>0</v>
      </c>
      <c r="AB61" s="314">
        <f t="shared" si="167"/>
        <v>0</v>
      </c>
      <c r="AC61" s="314">
        <f t="shared" si="167"/>
        <v>0</v>
      </c>
      <c r="AD61" s="314">
        <f t="shared" ref="AD61:AH61" si="168">ROUND(AD43-AD45-AD46-AD54,0)</f>
        <v>0</v>
      </c>
      <c r="AE61" s="314">
        <f t="shared" si="168"/>
        <v>0</v>
      </c>
      <c r="AF61" s="314">
        <f t="shared" ca="1" si="168"/>
        <v>0</v>
      </c>
      <c r="AG61" s="314">
        <f t="shared" ca="1" si="168"/>
        <v>0</v>
      </c>
      <c r="AH61" s="314">
        <f t="shared" ca="1" si="168"/>
        <v>0</v>
      </c>
    </row>
    <row r="62" spans="1:35" s="326" customFormat="1">
      <c r="A62" s="283"/>
      <c r="C62" s="434"/>
      <c r="D62" s="489"/>
      <c r="E62" s="314"/>
      <c r="F62" s="314"/>
      <c r="G62" s="314"/>
      <c r="H62" s="314"/>
      <c r="I62" s="314"/>
      <c r="J62" s="314"/>
      <c r="K62" s="314"/>
      <c r="L62" s="314"/>
      <c r="M62" s="314"/>
      <c r="N62" s="314"/>
      <c r="O62" s="314"/>
      <c r="P62" s="314"/>
      <c r="Q62" s="314"/>
      <c r="R62" s="314"/>
      <c r="S62" s="314"/>
      <c r="T62" s="314"/>
      <c r="U62" s="314"/>
      <c r="V62" s="314"/>
      <c r="W62" s="314"/>
      <c r="X62" s="314"/>
      <c r="Y62" s="283"/>
      <c r="Z62" s="314"/>
      <c r="AA62" s="314"/>
      <c r="AB62" s="314"/>
      <c r="AC62" s="314"/>
      <c r="AD62" s="314"/>
      <c r="AE62" s="314"/>
      <c r="AF62" s="314"/>
      <c r="AG62" s="314"/>
      <c r="AH62" s="314"/>
    </row>
    <row r="63" spans="1:35" s="283" customFormat="1">
      <c r="B63" s="286" t="s">
        <v>137</v>
      </c>
      <c r="C63" s="287" t="s">
        <v>568</v>
      </c>
      <c r="D63" s="485"/>
      <c r="E63" s="286"/>
      <c r="F63" s="286"/>
      <c r="G63" s="286"/>
      <c r="H63" s="286"/>
      <c r="I63" s="286"/>
      <c r="J63" s="286"/>
      <c r="K63" s="286"/>
      <c r="L63" s="286"/>
      <c r="M63" s="286"/>
      <c r="N63" s="286"/>
      <c r="O63" s="286"/>
      <c r="P63" s="286"/>
      <c r="Q63" s="286"/>
      <c r="R63" s="286"/>
      <c r="S63" s="286"/>
      <c r="T63" s="286"/>
      <c r="U63" s="286"/>
      <c r="V63" s="286"/>
      <c r="W63" s="286"/>
      <c r="X63" s="286"/>
      <c r="Z63" s="286"/>
      <c r="AA63" s="286"/>
      <c r="AB63" s="286"/>
      <c r="AC63" s="286"/>
      <c r="AD63" s="286"/>
      <c r="AE63" s="286"/>
      <c r="AF63" s="286"/>
      <c r="AG63" s="286"/>
      <c r="AH63" s="286"/>
    </row>
    <row r="64" spans="1:35" s="281" customFormat="1">
      <c r="A64" s="283"/>
      <c r="D64" s="293"/>
      <c r="Y64" s="283"/>
      <c r="AC64" s="283"/>
      <c r="AE64" s="283"/>
    </row>
    <row r="65" spans="1:34" s="306" customFormat="1">
      <c r="A65" s="464"/>
      <c r="C65" s="306" t="s">
        <v>747</v>
      </c>
      <c r="D65" s="492"/>
      <c r="I65" s="334">
        <f t="shared" ref="I65:U65" si="169">+I10/E10-1</f>
        <v>9.2392043461767104E-2</v>
      </c>
      <c r="J65" s="334">
        <f t="shared" si="169"/>
        <v>-8.8870629299397819E-2</v>
      </c>
      <c r="K65" s="334">
        <f t="shared" si="169"/>
        <v>0.12449094668253879</v>
      </c>
      <c r="L65" s="334">
        <f t="shared" si="169"/>
        <v>0.64770729563433904</v>
      </c>
      <c r="M65" s="334">
        <f t="shared" si="169"/>
        <v>-0.10281947620514098</v>
      </c>
      <c r="N65" s="334">
        <f t="shared" si="169"/>
        <v>0.23986375696866702</v>
      </c>
      <c r="O65" s="334">
        <f t="shared" si="169"/>
        <v>0.23630611891142284</v>
      </c>
      <c r="P65" s="334">
        <f t="shared" si="169"/>
        <v>-0.16028362488608305</v>
      </c>
      <c r="Q65" s="334">
        <f t="shared" si="169"/>
        <v>0.53990870914734335</v>
      </c>
      <c r="R65" s="334">
        <f t="shared" si="169"/>
        <v>0.31034835141715011</v>
      </c>
      <c r="S65" s="334">
        <f t="shared" si="169"/>
        <v>-3.0760679609219577E-2</v>
      </c>
      <c r="T65" s="334">
        <f t="shared" si="169"/>
        <v>-2.0181057758483556E-2</v>
      </c>
      <c r="U65" s="334">
        <f t="shared" si="169"/>
        <v>-0.11549807447878135</v>
      </c>
      <c r="V65" s="334">
        <f t="shared" ref="V65" ca="1" si="170">+V10/R10-1</f>
        <v>2.4652543375470515E-2</v>
      </c>
      <c r="W65" s="334">
        <f t="shared" ref="W65" ca="1" si="171">+W10/S10-1</f>
        <v>-3.7652245997275013E-3</v>
      </c>
      <c r="X65" s="334">
        <f t="shared" ref="X65" ca="1" si="172">+X10/T10-1</f>
        <v>0.19812091325601267</v>
      </c>
      <c r="Y65" s="283"/>
      <c r="AA65" s="334">
        <f t="shared" ref="AA65:AH65" si="173">+AA10/Z10-1</f>
        <v>-0.10555191754249904</v>
      </c>
      <c r="AB65" s="334">
        <f t="shared" si="173"/>
        <v>-1.8412011596209643E-2</v>
      </c>
      <c r="AC65" s="334">
        <f t="shared" si="173"/>
        <v>0.18713115173229755</v>
      </c>
      <c r="AD65" s="334">
        <f t="shared" si="173"/>
        <v>2.7636922108052353E-2</v>
      </c>
      <c r="AE65" s="334">
        <f t="shared" si="173"/>
        <v>0.16708268714055907</v>
      </c>
      <c r="AF65" s="334">
        <f t="shared" ca="1" si="173"/>
        <v>2.1003625969770345E-2</v>
      </c>
      <c r="AG65" s="334">
        <f t="shared" ca="1" si="173"/>
        <v>4.9202865476894342E-2</v>
      </c>
      <c r="AH65" s="334">
        <f t="shared" ca="1" si="173"/>
        <v>7.4517237598899166E-2</v>
      </c>
    </row>
    <row r="66" spans="1:34" s="281" customFormat="1">
      <c r="A66" s="283"/>
      <c r="D66" s="293"/>
      <c r="Y66" s="283"/>
    </row>
    <row r="67" spans="1:34" s="306" customFormat="1">
      <c r="A67" s="283"/>
      <c r="B67" s="566"/>
      <c r="C67" s="566" t="s">
        <v>455</v>
      </c>
      <c r="D67" s="567"/>
      <c r="E67" s="568">
        <f t="shared" ref="E67:Q67" si="174">E10/E$10</f>
        <v>1</v>
      </c>
      <c r="F67" s="568">
        <f t="shared" si="174"/>
        <v>1</v>
      </c>
      <c r="G67" s="568">
        <f t="shared" si="174"/>
        <v>1</v>
      </c>
      <c r="H67" s="568">
        <f t="shared" si="174"/>
        <v>1</v>
      </c>
      <c r="I67" s="568">
        <f t="shared" si="174"/>
        <v>1</v>
      </c>
      <c r="J67" s="568">
        <f t="shared" si="174"/>
        <v>1</v>
      </c>
      <c r="K67" s="568">
        <f t="shared" si="174"/>
        <v>1</v>
      </c>
      <c r="L67" s="568">
        <f t="shared" si="174"/>
        <v>1</v>
      </c>
      <c r="M67" s="568">
        <f t="shared" si="174"/>
        <v>1</v>
      </c>
      <c r="N67" s="568">
        <f t="shared" si="174"/>
        <v>1</v>
      </c>
      <c r="O67" s="568">
        <f t="shared" si="174"/>
        <v>1</v>
      </c>
      <c r="P67" s="568">
        <f t="shared" si="174"/>
        <v>1</v>
      </c>
      <c r="Q67" s="568">
        <f t="shared" si="174"/>
        <v>1</v>
      </c>
      <c r="R67" s="568">
        <f t="shared" ref="R67:S67" si="175">R10/R$10</f>
        <v>1</v>
      </c>
      <c r="S67" s="568">
        <f t="shared" si="175"/>
        <v>1</v>
      </c>
      <c r="T67" s="568">
        <f t="shared" ref="T67:U67" si="176">T10/T$10</f>
        <v>1</v>
      </c>
      <c r="U67" s="568">
        <f t="shared" si="176"/>
        <v>1</v>
      </c>
      <c r="V67" s="568">
        <f t="shared" ref="V67:X67" ca="1" si="177">V10/V$10</f>
        <v>1</v>
      </c>
      <c r="W67" s="568">
        <f t="shared" ca="1" si="177"/>
        <v>1</v>
      </c>
      <c r="X67" s="568">
        <f t="shared" ca="1" si="177"/>
        <v>1</v>
      </c>
      <c r="Y67" s="283"/>
      <c r="Z67" s="568">
        <f t="shared" ref="Z67:AG69" si="178">Z10/Z$10</f>
        <v>1</v>
      </c>
      <c r="AA67" s="568">
        <f t="shared" si="178"/>
        <v>1</v>
      </c>
      <c r="AB67" s="568">
        <f t="shared" si="178"/>
        <v>1</v>
      </c>
      <c r="AC67" s="568">
        <f t="shared" si="178"/>
        <v>1</v>
      </c>
      <c r="AD67" s="568">
        <f t="shared" si="178"/>
        <v>1</v>
      </c>
      <c r="AE67" s="568">
        <f t="shared" si="178"/>
        <v>1</v>
      </c>
      <c r="AF67" s="568">
        <f t="shared" ref="AF67" ca="1" si="179">AF10/AF$10</f>
        <v>1</v>
      </c>
      <c r="AG67" s="568">
        <f t="shared" ca="1" si="178"/>
        <v>1</v>
      </c>
      <c r="AH67" s="568">
        <f t="shared" ref="AH67" ca="1" si="180">AH10/AH$10</f>
        <v>1</v>
      </c>
    </row>
    <row r="68" spans="1:34" s="306" customFormat="1">
      <c r="A68" s="283"/>
      <c r="B68" s="566"/>
      <c r="C68" s="566" t="s">
        <v>530</v>
      </c>
      <c r="D68" s="567"/>
      <c r="E68" s="568">
        <f t="shared" ref="E68:Q68" si="181">E11/E$10</f>
        <v>0.5405235167383633</v>
      </c>
      <c r="F68" s="568">
        <f t="shared" si="181"/>
        <v>0.54624844661446836</v>
      </c>
      <c r="G68" s="568">
        <f t="shared" si="181"/>
        <v>0.38911513480776061</v>
      </c>
      <c r="H68" s="568">
        <f t="shared" si="181"/>
        <v>0.74854966305303272</v>
      </c>
      <c r="I68" s="568">
        <f t="shared" si="181"/>
        <v>0.72328770713616442</v>
      </c>
      <c r="J68" s="568">
        <f t="shared" si="181"/>
        <v>0.7851191008556182</v>
      </c>
      <c r="K68" s="568">
        <f t="shared" si="181"/>
        <v>0.48138449347497697</v>
      </c>
      <c r="L68" s="568">
        <f t="shared" si="181"/>
        <v>0.6735957678543647</v>
      </c>
      <c r="M68" s="568">
        <f t="shared" si="181"/>
        <v>0.64461566551031579</v>
      </c>
      <c r="N68" s="568">
        <f t="shared" si="181"/>
        <v>0.55884103273120733</v>
      </c>
      <c r="O68" s="568">
        <f t="shared" si="181"/>
        <v>0.54629624993114789</v>
      </c>
      <c r="P68" s="568">
        <f t="shared" si="181"/>
        <v>0.58533538038011523</v>
      </c>
      <c r="Q68" s="568">
        <f t="shared" si="181"/>
        <v>0.50840399901352606</v>
      </c>
      <c r="R68" s="568">
        <f t="shared" ref="R68:S68" si="182">R11/R$10</f>
        <v>0.52552263249886466</v>
      </c>
      <c r="S68" s="568">
        <f t="shared" si="182"/>
        <v>0.60160673692911748</v>
      </c>
      <c r="T68" s="568">
        <f t="shared" ref="T68:U68" ca="1" si="183">T11/T$10</f>
        <v>0.54617512616302299</v>
      </c>
      <c r="U68" s="568">
        <f t="shared" ca="1" si="183"/>
        <v>0.56606737837736398</v>
      </c>
      <c r="V68" s="568">
        <f t="shared" ref="V68:X68" ca="1" si="184">V11/V$10</f>
        <v>0.45532988412453002</v>
      </c>
      <c r="W68" s="568">
        <f t="shared" ca="1" si="184"/>
        <v>0.52426526262944351</v>
      </c>
      <c r="X68" s="568">
        <f t="shared" ca="1" si="184"/>
        <v>0.45607288380259492</v>
      </c>
      <c r="Y68" s="283"/>
      <c r="Z68" s="568">
        <f t="shared" si="178"/>
        <v>0.52375777335023843</v>
      </c>
      <c r="AA68" s="568">
        <f t="shared" si="178"/>
        <v>0.53293063908961102</v>
      </c>
      <c r="AB68" s="568">
        <f t="shared" si="178"/>
        <v>0.55373569349204876</v>
      </c>
      <c r="AC68" s="568">
        <f t="shared" si="178"/>
        <v>0.66096906720375015</v>
      </c>
      <c r="AD68" s="568">
        <f t="shared" si="178"/>
        <v>0.57942859455420281</v>
      </c>
      <c r="AE68" s="568">
        <f t="shared" ca="1" si="178"/>
        <v>0.54402438223940619</v>
      </c>
      <c r="AF68" s="568">
        <f t="shared" ref="AF68" ca="1" si="185">AF11/AF$10</f>
        <v>0.49670387903574392</v>
      </c>
      <c r="AG68" s="568">
        <f t="shared" ca="1" si="178"/>
        <v>0.49965472724185794</v>
      </c>
      <c r="AH68" s="568">
        <f t="shared" ref="AH68" ca="1" si="186">AH11/AH$10</f>
        <v>0.50158451492941269</v>
      </c>
    </row>
    <row r="69" spans="1:34" s="306" customFormat="1">
      <c r="A69" s="283"/>
      <c r="B69" s="566"/>
      <c r="C69" s="569" t="s">
        <v>533</v>
      </c>
      <c r="D69" s="567"/>
      <c r="E69" s="570">
        <f t="shared" ref="E69:Q69" si="187">E12/E$10</f>
        <v>0.45947648326163665</v>
      </c>
      <c r="F69" s="570">
        <f t="shared" si="187"/>
        <v>0.45375155338553169</v>
      </c>
      <c r="G69" s="570">
        <f t="shared" si="187"/>
        <v>0.61088486519223928</v>
      </c>
      <c r="H69" s="570">
        <f t="shared" si="187"/>
        <v>0.25145033694696733</v>
      </c>
      <c r="I69" s="570">
        <f t="shared" si="187"/>
        <v>0.27671229286383564</v>
      </c>
      <c r="J69" s="570">
        <f t="shared" si="187"/>
        <v>0.21488089914438177</v>
      </c>
      <c r="K69" s="570">
        <f t="shared" si="187"/>
        <v>0.51861550652502297</v>
      </c>
      <c r="L69" s="570">
        <f t="shared" si="187"/>
        <v>0.3264042321456353</v>
      </c>
      <c r="M69" s="570">
        <f t="shared" si="187"/>
        <v>0.35538433448968421</v>
      </c>
      <c r="N69" s="570">
        <f t="shared" si="187"/>
        <v>0.44115896726879267</v>
      </c>
      <c r="O69" s="570">
        <f t="shared" si="187"/>
        <v>0.45370375006885211</v>
      </c>
      <c r="P69" s="570">
        <f t="shared" si="187"/>
        <v>0.41466461961988471</v>
      </c>
      <c r="Q69" s="570">
        <f t="shared" si="187"/>
        <v>0.49159600098647388</v>
      </c>
      <c r="R69" s="570">
        <f t="shared" ref="R69:S69" si="188">R12/R$10</f>
        <v>0.47447736750113539</v>
      </c>
      <c r="S69" s="570">
        <f t="shared" si="188"/>
        <v>0.39839326307088246</v>
      </c>
      <c r="T69" s="570">
        <f t="shared" ref="T69:U69" ca="1" si="189">T12/T$10</f>
        <v>0.45382487383697706</v>
      </c>
      <c r="U69" s="570">
        <f t="shared" ca="1" si="189"/>
        <v>0.43393262162263596</v>
      </c>
      <c r="V69" s="570">
        <f t="shared" ref="V69:X69" ca="1" si="190">V12/V$10</f>
        <v>0.54467011587546998</v>
      </c>
      <c r="W69" s="570">
        <f t="shared" ca="1" si="190"/>
        <v>0.47573473737055649</v>
      </c>
      <c r="X69" s="570">
        <f t="shared" ca="1" si="190"/>
        <v>0.54392711619740508</v>
      </c>
      <c r="Y69" s="283"/>
      <c r="Z69" s="570">
        <f t="shared" si="178"/>
        <v>0.47624222664976151</v>
      </c>
      <c r="AA69" s="570">
        <f t="shared" si="178"/>
        <v>0.46706936091038898</v>
      </c>
      <c r="AB69" s="570">
        <f t="shared" si="178"/>
        <v>0.44626430650795124</v>
      </c>
      <c r="AC69" s="570">
        <f t="shared" si="178"/>
        <v>0.33903093279624985</v>
      </c>
      <c r="AD69" s="570">
        <f t="shared" si="178"/>
        <v>0.42057140544579713</v>
      </c>
      <c r="AE69" s="570">
        <f t="shared" ca="1" si="178"/>
        <v>0.45597561776059387</v>
      </c>
      <c r="AF69" s="570">
        <f t="shared" ref="AF69" ca="1" si="191">AF12/AF$10</f>
        <v>0.50329612096425613</v>
      </c>
      <c r="AG69" s="570">
        <f t="shared" ca="1" si="178"/>
        <v>0.50034527275814211</v>
      </c>
      <c r="AH69" s="570">
        <f t="shared" ref="AH69" ca="1" si="192">AH12/AH$10</f>
        <v>0.49841548507058725</v>
      </c>
    </row>
    <row r="70" spans="1:34" s="306" customFormat="1">
      <c r="A70" s="283"/>
      <c r="B70" s="566"/>
      <c r="C70" s="566"/>
      <c r="D70" s="567"/>
      <c r="E70" s="568"/>
      <c r="F70" s="568"/>
      <c r="G70" s="568"/>
      <c r="H70" s="568"/>
      <c r="I70" s="568"/>
      <c r="J70" s="568"/>
      <c r="K70" s="568"/>
      <c r="L70" s="568"/>
      <c r="M70" s="568"/>
      <c r="N70" s="568"/>
      <c r="O70" s="568"/>
      <c r="P70" s="568"/>
      <c r="Q70" s="568"/>
      <c r="R70" s="568"/>
      <c r="S70" s="568"/>
      <c r="T70" s="568"/>
      <c r="U70" s="568"/>
      <c r="V70" s="568"/>
      <c r="W70" s="568"/>
      <c r="X70" s="568"/>
      <c r="Y70" s="283"/>
      <c r="Z70" s="568"/>
      <c r="AA70" s="568"/>
      <c r="AB70" s="568"/>
      <c r="AC70" s="568"/>
      <c r="AD70" s="568"/>
      <c r="AE70" s="568"/>
      <c r="AF70" s="568"/>
      <c r="AG70" s="568"/>
      <c r="AH70" s="568"/>
    </row>
    <row r="71" spans="1:34" s="306" customFormat="1">
      <c r="A71" s="283"/>
      <c r="B71" s="566"/>
      <c r="C71" s="566" t="s">
        <v>528</v>
      </c>
      <c r="D71" s="567"/>
      <c r="E71" s="568">
        <f t="shared" ref="E71:Q71" si="193">E14/E$10</f>
        <v>4.7298312921859008E-2</v>
      </c>
      <c r="F71" s="568">
        <f t="shared" si="193"/>
        <v>5.7538079166638369E-2</v>
      </c>
      <c r="G71" s="568">
        <f t="shared" si="193"/>
        <v>5.6359598744161118E-2</v>
      </c>
      <c r="H71" s="568">
        <f t="shared" si="193"/>
        <v>5.1911807793729864E-2</v>
      </c>
      <c r="I71" s="568">
        <f t="shared" si="193"/>
        <v>5.4902140652745096E-2</v>
      </c>
      <c r="J71" s="568">
        <f t="shared" si="193"/>
        <v>5.1769370658557669E-2</v>
      </c>
      <c r="K71" s="568">
        <f t="shared" si="193"/>
        <v>4.192358170517297E-2</v>
      </c>
      <c r="L71" s="568">
        <f t="shared" si="193"/>
        <v>3.5862099624352634E-2</v>
      </c>
      <c r="M71" s="568">
        <f t="shared" si="193"/>
        <v>5.6381230600693805E-2</v>
      </c>
      <c r="N71" s="568">
        <f t="shared" si="193"/>
        <v>3.4684860689489352E-2</v>
      </c>
      <c r="O71" s="568">
        <f t="shared" si="193"/>
        <v>4.4626270010966286E-2</v>
      </c>
      <c r="P71" s="568">
        <f t="shared" si="193"/>
        <v>3.5475673672507813E-2</v>
      </c>
      <c r="Q71" s="568">
        <f t="shared" si="193"/>
        <v>3.5603171893081403E-2</v>
      </c>
      <c r="R71" s="568">
        <f t="shared" ref="R71:S71" si="194">R14/R$10</f>
        <v>3.8085538780547101E-2</v>
      </c>
      <c r="S71" s="568">
        <f t="shared" si="194"/>
        <v>3.8241372184335612E-2</v>
      </c>
      <c r="T71" s="568">
        <f t="shared" ref="T71:U71" si="195">T14/T$10</f>
        <v>2.851230292093063E-2</v>
      </c>
      <c r="U71" s="568">
        <f t="shared" si="195"/>
        <v>3.7657038375540894E-2</v>
      </c>
      <c r="V71" s="568">
        <f t="shared" ref="V71:X71" ca="1" si="196">V14/V$10</f>
        <v>5.0596475400498234E-2</v>
      </c>
      <c r="W71" s="568">
        <f t="shared" ca="1" si="196"/>
        <v>4.6464667100085899E-2</v>
      </c>
      <c r="X71" s="568">
        <f t="shared" ca="1" si="196"/>
        <v>2.8209886178044284E-2</v>
      </c>
      <c r="Y71" s="283"/>
      <c r="Z71" s="568">
        <f t="shared" ref="Z71:AG71" si="197">Z14/Z$10</f>
        <v>6.0542729624417722E-2</v>
      </c>
      <c r="AA71" s="568">
        <f t="shared" si="197"/>
        <v>5.0677166717147677E-2</v>
      </c>
      <c r="AB71" s="568">
        <f t="shared" si="197"/>
        <v>5.3362767726316575E-2</v>
      </c>
      <c r="AC71" s="568">
        <f t="shared" si="197"/>
        <v>4.4802500051985404E-2</v>
      </c>
      <c r="AD71" s="568">
        <f t="shared" si="197"/>
        <v>4.2064078234011162E-2</v>
      </c>
      <c r="AE71" s="568">
        <f t="shared" si="197"/>
        <v>3.5280436621410255E-2</v>
      </c>
      <c r="AF71" s="568">
        <f t="shared" ref="AF71" ca="1" si="198">AF14/AF$10</f>
        <v>4.0681700460282619E-2</v>
      </c>
      <c r="AG71" s="568">
        <f t="shared" ca="1" si="197"/>
        <v>3.8930771946299403E-2</v>
      </c>
      <c r="AH71" s="568">
        <f t="shared" ref="AH71" ca="1" si="199">AH14/AH$10</f>
        <v>3.588419469609113E-2</v>
      </c>
    </row>
    <row r="72" spans="1:34" s="306" customFormat="1">
      <c r="A72" s="283"/>
      <c r="B72" s="566"/>
      <c r="C72" s="566" t="s">
        <v>314</v>
      </c>
      <c r="D72" s="567"/>
      <c r="E72" s="568">
        <f t="shared" ref="E72:Q72" si="200">E15/E$10</f>
        <v>2.5037757052158421E-2</v>
      </c>
      <c r="F72" s="568">
        <f t="shared" si="200"/>
        <v>2.306140881032738E-2</v>
      </c>
      <c r="G72" s="568">
        <f t="shared" si="200"/>
        <v>3.1201052565628714E-2</v>
      </c>
      <c r="H72" s="568">
        <f t="shared" si="200"/>
        <v>1.2276589510694406E-2</v>
      </c>
      <c r="I72" s="568">
        <f t="shared" si="200"/>
        <v>7.4696790003734841E-3</v>
      </c>
      <c r="J72" s="568">
        <f t="shared" si="200"/>
        <v>8.5338222579971982E-3</v>
      </c>
      <c r="K72" s="568">
        <f t="shared" si="200"/>
        <v>7.7755491172027784E-3</v>
      </c>
      <c r="L72" s="568">
        <f t="shared" si="200"/>
        <v>4.2054724488208234E-3</v>
      </c>
      <c r="M72" s="568">
        <f t="shared" si="200"/>
        <v>7.1791126529121771E-3</v>
      </c>
      <c r="N72" s="568">
        <f t="shared" si="200"/>
        <v>8.9868053259595446E-3</v>
      </c>
      <c r="O72" s="568">
        <f t="shared" si="200"/>
        <v>1.3530092186897545E-2</v>
      </c>
      <c r="P72" s="568">
        <f t="shared" si="200"/>
        <v>3.8308009952882631E-2</v>
      </c>
      <c r="Q72" s="568">
        <f t="shared" si="200"/>
        <v>2.3338645116005537E-2</v>
      </c>
      <c r="R72" s="568">
        <f t="shared" ref="R72" si="201">R15/R$10</f>
        <v>2.7359931737796068E-2</v>
      </c>
      <c r="S72" s="568">
        <f>S15/S$10</f>
        <v>4.9917338293035754E-2</v>
      </c>
      <c r="T72" s="568">
        <f t="shared" ref="T72:U72" si="202">T15/T$10</f>
        <v>5.6143896087055181E-2</v>
      </c>
      <c r="U72" s="568">
        <f t="shared" si="202"/>
        <v>4.4815253701092232E-2</v>
      </c>
      <c r="V72" s="333">
        <v>0.03</v>
      </c>
      <c r="W72" s="333">
        <v>0.03</v>
      </c>
      <c r="X72" s="333">
        <v>0.03</v>
      </c>
      <c r="Y72" s="283"/>
      <c r="Z72" s="568">
        <f t="shared" ref="Z72:AE77" si="203">Z15/Z$10</f>
        <v>8.3256315822879852E-3</v>
      </c>
      <c r="AA72" s="568">
        <f t="shared" si="203"/>
        <v>1.387391285535027E-2</v>
      </c>
      <c r="AB72" s="568">
        <f t="shared" si="203"/>
        <v>2.3013839689528283E-2</v>
      </c>
      <c r="AC72" s="568">
        <f t="shared" si="203"/>
        <v>6.6645278389225052E-3</v>
      </c>
      <c r="AD72" s="568">
        <f t="shared" si="203"/>
        <v>1.7945489995996378E-2</v>
      </c>
      <c r="AE72" s="568">
        <f t="shared" si="203"/>
        <v>3.8314593800659595E-2</v>
      </c>
      <c r="AF72" s="568">
        <f t="shared" ref="AF72" ca="1" si="204">AF15/AF$10</f>
        <v>3.3351431185160728E-2</v>
      </c>
      <c r="AG72" s="333">
        <v>0.03</v>
      </c>
      <c r="AH72" s="333">
        <v>0.03</v>
      </c>
    </row>
    <row r="73" spans="1:34" s="306" customFormat="1">
      <c r="A73" s="283"/>
      <c r="B73" s="566"/>
      <c r="C73" s="566" t="s">
        <v>638</v>
      </c>
      <c r="D73" s="567"/>
      <c r="E73" s="568">
        <f t="shared" ref="E73:Q73" si="205">E16/E$10</f>
        <v>2.7643172594464204E-2</v>
      </c>
      <c r="F73" s="568">
        <f t="shared" si="205"/>
        <v>3.016454002811373E-2</v>
      </c>
      <c r="G73" s="568">
        <f t="shared" si="205"/>
        <v>5.5197042791805026E-2</v>
      </c>
      <c r="H73" s="568">
        <f t="shared" si="205"/>
        <v>4.6952827424553187E-2</v>
      </c>
      <c r="I73" s="568">
        <f t="shared" si="205"/>
        <v>2.1373765701068685E-2</v>
      </c>
      <c r="J73" s="568">
        <f t="shared" si="205"/>
        <v>2.3857436723012253E-2</v>
      </c>
      <c r="K73" s="568">
        <f t="shared" si="205"/>
        <v>2.1989451006611694E-2</v>
      </c>
      <c r="L73" s="568">
        <f t="shared" si="205"/>
        <v>6.2993176109715724E-3</v>
      </c>
      <c r="M73" s="568">
        <f t="shared" si="205"/>
        <v>1.1298155924776336E-2</v>
      </c>
      <c r="N73" s="568">
        <f t="shared" si="205"/>
        <v>2.8072495566709749E-3</v>
      </c>
      <c r="O73" s="568">
        <f t="shared" si="205"/>
        <v>3.5302424099788194E-3</v>
      </c>
      <c r="P73" s="568">
        <f t="shared" si="205"/>
        <v>3.8011541108581713E-3</v>
      </c>
      <c r="Q73" s="568">
        <f t="shared" si="205"/>
        <v>4.8849429931895356E-3</v>
      </c>
      <c r="R73" s="568">
        <f t="shared" ref="R73:S73" si="206">R16/R$10</f>
        <v>1.1023795433588857E-2</v>
      </c>
      <c r="S73" s="568">
        <f t="shared" si="206"/>
        <v>2.0732589377970654E-2</v>
      </c>
      <c r="T73" s="568">
        <f t="shared" ref="T73:U73" si="207">T16/T$10</f>
        <v>1.3351127632673789E-2</v>
      </c>
      <c r="U73" s="568">
        <f t="shared" si="207"/>
        <v>8.3592941517112683E-3</v>
      </c>
      <c r="V73" s="568">
        <f t="shared" ref="V73:X73" ca="1" si="208">V16/V$10</f>
        <v>1.0533095700637509E-2</v>
      </c>
      <c r="W73" s="568">
        <f t="shared" ca="1" si="208"/>
        <v>2.0649294889303772E-2</v>
      </c>
      <c r="X73" s="568">
        <f t="shared" ca="1" si="208"/>
        <v>1.0401696301300015E-2</v>
      </c>
      <c r="Y73" s="283"/>
      <c r="Z73" s="568">
        <f t="shared" si="203"/>
        <v>1.4462262967968457E-2</v>
      </c>
      <c r="AA73" s="568">
        <f t="shared" si="203"/>
        <v>2.681666738782398E-2</v>
      </c>
      <c r="AB73" s="568">
        <f t="shared" si="203"/>
        <v>3.9925097463223175E-2</v>
      </c>
      <c r="AC73" s="568">
        <f t="shared" si="203"/>
        <v>1.6979915813363517E-2</v>
      </c>
      <c r="AD73" s="568">
        <f t="shared" si="203"/>
        <v>4.9676747033053758E-3</v>
      </c>
      <c r="AE73" s="568">
        <f t="shared" si="203"/>
        <v>1.2281525202700276E-2</v>
      </c>
      <c r="AF73" s="568">
        <f t="shared" ref="AF73" ca="1" si="209">AF16/AF$10</f>
        <v>1.2372141485484914E-2</v>
      </c>
      <c r="AG73" s="568">
        <f ca="1">AG16/AG$10</f>
        <v>1.1791944048743523E-2</v>
      </c>
      <c r="AH73" s="568">
        <f ca="1">AH16/AH$10</f>
        <v>1.0974178576319197E-2</v>
      </c>
    </row>
    <row r="74" spans="1:34" s="334" customFormat="1">
      <c r="A74" s="285"/>
      <c r="B74" s="568"/>
      <c r="C74" s="568" t="s">
        <v>315</v>
      </c>
      <c r="D74" s="834"/>
      <c r="E74" s="568">
        <f t="shared" ref="E74:Q74" si="210">E17/E$10</f>
        <v>7.1935236813662675E-3</v>
      </c>
      <c r="F74" s="568">
        <f t="shared" si="210"/>
        <v>9.6089203376364084E-3</v>
      </c>
      <c r="G74" s="568">
        <f t="shared" si="210"/>
        <v>8.3188884015899869E-3</v>
      </c>
      <c r="H74" s="568">
        <f t="shared" si="210"/>
        <v>9.3173161441547046E-3</v>
      </c>
      <c r="I74" s="568">
        <f t="shared" si="210"/>
        <v>5.6088116002804399E-3</v>
      </c>
      <c r="J74" s="568">
        <f t="shared" si="210"/>
        <v>5.9475896610321089E-3</v>
      </c>
      <c r="K74" s="568">
        <f t="shared" si="210"/>
        <v>5.4540276849169202E-3</v>
      </c>
      <c r="L74" s="568">
        <f t="shared" si="210"/>
        <v>2.7340016448465189E-3</v>
      </c>
      <c r="M74" s="568">
        <f t="shared" si="210"/>
        <v>3.9072484937009311E-3</v>
      </c>
      <c r="N74" s="568">
        <f t="shared" si="210"/>
        <v>3.3843286946590124E-3</v>
      </c>
      <c r="O74" s="568">
        <f t="shared" si="210"/>
        <v>3.8006439562750689E-3</v>
      </c>
      <c r="P74" s="568">
        <f t="shared" si="210"/>
        <v>3.0970406056434964E-3</v>
      </c>
      <c r="Q74" s="568">
        <f t="shared" si="210"/>
        <v>3.5048280310359873E-3</v>
      </c>
      <c r="R74" s="568">
        <f t="shared" ref="R74:S74" si="211">R17/R$10</f>
        <v>1.3184514388736737E-2</v>
      </c>
      <c r="S74" s="568">
        <f t="shared" si="211"/>
        <v>1.7736102500516635E-2</v>
      </c>
      <c r="T74" s="568">
        <f t="shared" ref="T74:U74" si="212">T17/T$10</f>
        <v>0</v>
      </c>
      <c r="U74" s="568">
        <f t="shared" si="212"/>
        <v>1.6622073040606117E-2</v>
      </c>
      <c r="V74" s="333">
        <v>7.0000000000000001E-3</v>
      </c>
      <c r="W74" s="333">
        <v>7.0000000000000001E-3</v>
      </c>
      <c r="X74" s="333">
        <v>7.0000000000000001E-3</v>
      </c>
      <c r="Y74" s="285"/>
      <c r="Z74" s="568">
        <f t="shared" si="203"/>
        <v>4.8563604078909282E-3</v>
      </c>
      <c r="AA74" s="568">
        <f t="shared" si="203"/>
        <v>9.4292761022889537E-3</v>
      </c>
      <c r="AB74" s="568">
        <f t="shared" si="203"/>
        <v>8.6169655656393451E-3</v>
      </c>
      <c r="AC74" s="568">
        <f t="shared" si="203"/>
        <v>4.6786856903512138E-3</v>
      </c>
      <c r="AD74" s="568">
        <f t="shared" si="203"/>
        <v>3.5295494982460654E-3</v>
      </c>
      <c r="AE74" s="568">
        <f t="shared" si="203"/>
        <v>8.7259883612207465E-3</v>
      </c>
      <c r="AF74" s="568">
        <f t="shared" ref="AF74" ca="1" si="213">AF17/AF$10</f>
        <v>9.1766563235973625E-3</v>
      </c>
      <c r="AG74" s="333">
        <f ca="1">+AF74</f>
        <v>9.1766563235973625E-3</v>
      </c>
      <c r="AH74" s="333">
        <f ca="1">+AG74</f>
        <v>9.1766563235973625E-3</v>
      </c>
    </row>
    <row r="75" spans="1:34" s="306" customFormat="1">
      <c r="A75" s="283"/>
      <c r="B75" s="566"/>
      <c r="C75" s="566" t="s">
        <v>362</v>
      </c>
      <c r="D75" s="567"/>
      <c r="E75" s="568">
        <f t="shared" ref="E75:Q75" si="214">E18/E$10</f>
        <v>1.0278507469096478E-2</v>
      </c>
      <c r="F75" s="568">
        <f t="shared" si="214"/>
        <v>1.5869997759050382E-2</v>
      </c>
      <c r="G75" s="568">
        <f t="shared" si="214"/>
        <v>8.8340329553286134E-3</v>
      </c>
      <c r="H75" s="568">
        <f t="shared" si="214"/>
        <v>2.9226486961617349E-3</v>
      </c>
      <c r="I75" s="568">
        <f t="shared" si="214"/>
        <v>2.6405970501320298E-3</v>
      </c>
      <c r="J75" s="568">
        <f t="shared" si="214"/>
        <v>1.1775929404048535E-3</v>
      </c>
      <c r="K75" s="568">
        <f t="shared" si="214"/>
        <v>3.2810836242973523E-4</v>
      </c>
      <c r="L75" s="568">
        <f t="shared" si="214"/>
        <v>-3.5119695925670729E-4</v>
      </c>
      <c r="M75" s="568">
        <f t="shared" si="214"/>
        <v>0</v>
      </c>
      <c r="N75" s="568">
        <f t="shared" si="214"/>
        <v>0</v>
      </c>
      <c r="O75" s="568">
        <f t="shared" si="214"/>
        <v>0</v>
      </c>
      <c r="P75" s="568">
        <f t="shared" si="214"/>
        <v>0</v>
      </c>
      <c r="Q75" s="568">
        <f t="shared" si="214"/>
        <v>0</v>
      </c>
      <c r="R75" s="568">
        <f t="shared" ref="R75:S75" si="215">R18/R$10</f>
        <v>0</v>
      </c>
      <c r="S75" s="568">
        <f t="shared" si="215"/>
        <v>0</v>
      </c>
      <c r="T75" s="568">
        <f t="shared" ref="T75:U75" si="216">T18/T$10</f>
        <v>0</v>
      </c>
      <c r="U75" s="568">
        <f t="shared" si="216"/>
        <v>0</v>
      </c>
      <c r="V75" s="333">
        <v>0</v>
      </c>
      <c r="W75" s="333">
        <v>0</v>
      </c>
      <c r="X75" s="333">
        <v>0</v>
      </c>
      <c r="Y75" s="283"/>
      <c r="Z75" s="568">
        <f t="shared" si="203"/>
        <v>3.7618603095871707E-4</v>
      </c>
      <c r="AA75" s="568">
        <f t="shared" si="203"/>
        <v>5.6700272597464407E-3</v>
      </c>
      <c r="AB75" s="568">
        <f t="shared" si="203"/>
        <v>9.5938018503465665E-3</v>
      </c>
      <c r="AC75" s="568">
        <f t="shared" si="203"/>
        <v>7.9463391883742855E-4</v>
      </c>
      <c r="AD75" s="568">
        <f t="shared" si="203"/>
        <v>0</v>
      </c>
      <c r="AE75" s="568">
        <f t="shared" si="203"/>
        <v>0</v>
      </c>
      <c r="AF75" s="568">
        <f t="shared" ref="AF75" ca="1" si="217">AF18/AF$10</f>
        <v>0</v>
      </c>
      <c r="AG75" s="333">
        <v>0</v>
      </c>
      <c r="AH75" s="333">
        <v>0</v>
      </c>
    </row>
    <row r="76" spans="1:34" s="573" customFormat="1">
      <c r="A76" s="283"/>
      <c r="B76" s="571"/>
      <c r="C76" s="566" t="s">
        <v>531</v>
      </c>
      <c r="D76" s="572"/>
      <c r="E76" s="568">
        <f t="shared" ref="E76:Q76" si="218">E19/E$10</f>
        <v>2.7843589174641583E-3</v>
      </c>
      <c r="F76" s="568">
        <f t="shared" si="218"/>
        <v>-1.181591617490272E-2</v>
      </c>
      <c r="G76" s="568">
        <f t="shared" si="218"/>
        <v>2.3877646207074196E-3</v>
      </c>
      <c r="H76" s="568">
        <f t="shared" si="218"/>
        <v>-9.1561675944916519E-3</v>
      </c>
      <c r="I76" s="568">
        <f t="shared" si="218"/>
        <v>5.7005445002850238E-4</v>
      </c>
      <c r="J76" s="568">
        <f t="shared" si="218"/>
        <v>-8.4294785797334772E-3</v>
      </c>
      <c r="K76" s="568">
        <f t="shared" si="218"/>
        <v>5.4106926181809178E-3</v>
      </c>
      <c r="L76" s="568">
        <f t="shared" si="218"/>
        <v>7.8330258507635225E-3</v>
      </c>
      <c r="M76" s="568">
        <f t="shared" si="218"/>
        <v>1.9003103888990319E-2</v>
      </c>
      <c r="N76" s="568">
        <f t="shared" si="218"/>
        <v>1.50882149619789E-2</v>
      </c>
      <c r="O76" s="568">
        <f t="shared" si="218"/>
        <v>-5.6383729838810617E-3</v>
      </c>
      <c r="P76" s="568">
        <f t="shared" si="218"/>
        <v>2.7539838000952936E-2</v>
      </c>
      <c r="Q76" s="568">
        <f t="shared" si="218"/>
        <v>1.5944833342818661E-2</v>
      </c>
      <c r="R76" s="568">
        <f t="shared" ref="R76:S76" si="219">R19/R$10</f>
        <v>2.793795846465091E-2</v>
      </c>
      <c r="S76" s="568">
        <f t="shared" si="219"/>
        <v>1.4941103533787976E-2</v>
      </c>
      <c r="T76" s="568">
        <f t="shared" ref="T76:U76" si="220">T19/T$10</f>
        <v>4.1090783345400311E-2</v>
      </c>
      <c r="U76" s="568">
        <f t="shared" si="220"/>
        <v>1.4418307872964466E-2</v>
      </c>
      <c r="V76" s="333">
        <v>0.02</v>
      </c>
      <c r="W76" s="333">
        <v>0.02</v>
      </c>
      <c r="X76" s="333">
        <v>0.02</v>
      </c>
      <c r="Y76" s="283"/>
      <c r="Z76" s="568">
        <f t="shared" si="203"/>
        <v>4.8656489518652171E-3</v>
      </c>
      <c r="AA76" s="568">
        <f t="shared" si="203"/>
        <v>9.4292761022889537E-3</v>
      </c>
      <c r="AB76" s="568">
        <f t="shared" si="203"/>
        <v>-3.9814013192579576E-3</v>
      </c>
      <c r="AC76" s="568">
        <f t="shared" si="203"/>
        <v>2.3645928949330578E-3</v>
      </c>
      <c r="AD76" s="568">
        <f t="shared" si="203"/>
        <v>1.3279893853351701E-2</v>
      </c>
      <c r="AE76" s="568">
        <f t="shared" si="203"/>
        <v>2.4705470028100016E-2</v>
      </c>
      <c r="AF76" s="568">
        <f t="shared" ref="AF76" ca="1" si="221">AF19/AF$10</f>
        <v>1.8737338054552934E-2</v>
      </c>
      <c r="AG76" s="333">
        <v>0.02</v>
      </c>
      <c r="AH76" s="333">
        <v>0.02</v>
      </c>
    </row>
    <row r="77" spans="1:34" s="306" customFormat="1">
      <c r="A77" s="283"/>
      <c r="B77" s="566"/>
      <c r="C77" s="569" t="s">
        <v>532</v>
      </c>
      <c r="D77" s="567"/>
      <c r="E77" s="570">
        <f t="shared" ref="E77:Q77" si="222">E20/E$10</f>
        <v>0.33924085062522813</v>
      </c>
      <c r="F77" s="570">
        <f t="shared" si="222"/>
        <v>0.32932452345866814</v>
      </c>
      <c r="G77" s="570">
        <f t="shared" si="222"/>
        <v>0.44858648511301846</v>
      </c>
      <c r="H77" s="570">
        <f t="shared" si="222"/>
        <v>0.13722531497216509</v>
      </c>
      <c r="I77" s="570">
        <f t="shared" si="222"/>
        <v>0.18414724440920738</v>
      </c>
      <c r="J77" s="570">
        <f t="shared" si="222"/>
        <v>0.13202456548311117</v>
      </c>
      <c r="K77" s="570">
        <f t="shared" si="222"/>
        <v>0.435734096030508</v>
      </c>
      <c r="L77" s="570">
        <f t="shared" si="222"/>
        <v>0.26982151192513698</v>
      </c>
      <c r="M77" s="570">
        <f t="shared" si="222"/>
        <v>0.25761548292861064</v>
      </c>
      <c r="N77" s="570">
        <f t="shared" si="222"/>
        <v>0.37620750804003489</v>
      </c>
      <c r="O77" s="570">
        <f t="shared" si="222"/>
        <v>0.3938548744886155</v>
      </c>
      <c r="P77" s="570">
        <f t="shared" si="222"/>
        <v>0.30644290327703966</v>
      </c>
      <c r="Q77" s="570">
        <f t="shared" si="222"/>
        <v>0.40831957961034276</v>
      </c>
      <c r="R77" s="570">
        <f t="shared" ref="R77:S77" si="223">R20/R$10</f>
        <v>0.35688562869581575</v>
      </c>
      <c r="S77" s="570">
        <f t="shared" si="223"/>
        <v>0.25682475718123587</v>
      </c>
      <c r="T77" s="570">
        <f t="shared" ref="T77:U77" ca="1" si="224">T20/T$10</f>
        <v>0.31472676385091714</v>
      </c>
      <c r="U77" s="570">
        <f t="shared" ca="1" si="224"/>
        <v>0.31206065448072101</v>
      </c>
      <c r="V77" s="570">
        <f t="shared" ref="V77:X77" ca="1" si="225">V20/V$10</f>
        <v>0.42654054477433423</v>
      </c>
      <c r="W77" s="570">
        <f t="shared" ca="1" si="225"/>
        <v>0.35162077538116676</v>
      </c>
      <c r="X77" s="570">
        <f t="shared" ca="1" si="225"/>
        <v>0.44831553371806077</v>
      </c>
      <c r="Y77" s="283"/>
      <c r="Z77" s="570">
        <f t="shared" si="203"/>
        <v>0.3828134070843725</v>
      </c>
      <c r="AA77" s="570">
        <f t="shared" si="203"/>
        <v>0.35117303448574272</v>
      </c>
      <c r="AB77" s="570">
        <f t="shared" si="203"/>
        <v>0.31573323553215527</v>
      </c>
      <c r="AC77" s="570">
        <f t="shared" si="203"/>
        <v>0.2627460765878567</v>
      </c>
      <c r="AD77" s="570">
        <f t="shared" si="203"/>
        <v>0.33878471916088643</v>
      </c>
      <c r="AE77" s="570">
        <f t="shared" ca="1" si="203"/>
        <v>0.33666760374650295</v>
      </c>
      <c r="AF77" s="570">
        <f t="shared" ref="AF77" ca="1" si="226">AF20/AF$10</f>
        <v>0.38897685345517752</v>
      </c>
      <c r="AG77" s="570">
        <f ca="1">AG20/AG$10</f>
        <v>0.39044590043950178</v>
      </c>
      <c r="AH77" s="570">
        <f ca="1">AH20/AH$10</f>
        <v>0.39238045547457956</v>
      </c>
    </row>
    <row r="78" spans="1:34" s="464" customFormat="1">
      <c r="A78" s="283"/>
      <c r="B78" s="574"/>
      <c r="C78" s="574"/>
      <c r="D78" s="575"/>
      <c r="E78" s="568"/>
      <c r="F78" s="568"/>
      <c r="G78" s="568"/>
      <c r="H78" s="568"/>
      <c r="I78" s="568"/>
      <c r="J78" s="568"/>
      <c r="K78" s="568"/>
      <c r="L78" s="568"/>
      <c r="M78" s="568"/>
      <c r="N78" s="568"/>
      <c r="O78" s="568"/>
      <c r="P78" s="568"/>
      <c r="Q78" s="568"/>
      <c r="R78" s="568"/>
      <c r="S78" s="568"/>
      <c r="T78" s="568"/>
      <c r="U78" s="568"/>
      <c r="V78" s="568"/>
      <c r="W78" s="568"/>
      <c r="X78" s="568"/>
      <c r="Y78" s="283"/>
      <c r="Z78" s="568"/>
      <c r="AA78" s="568"/>
      <c r="AB78" s="568"/>
      <c r="AC78" s="568"/>
      <c r="AD78" s="568"/>
      <c r="AE78" s="568"/>
      <c r="AF78" s="568"/>
      <c r="AG78" s="568"/>
      <c r="AH78" s="568"/>
    </row>
    <row r="79" spans="1:34" s="464" customFormat="1">
      <c r="A79" s="283"/>
      <c r="B79" s="574"/>
      <c r="C79" s="574" t="s">
        <v>312</v>
      </c>
      <c r="D79" s="575"/>
      <c r="E79" s="568">
        <f t="shared" ref="E79:Q79" si="227">E22/E$10</f>
        <v>0.20080309786771072</v>
      </c>
      <c r="F79" s="568">
        <f t="shared" si="227"/>
        <v>0.21606149709016084</v>
      </c>
      <c r="G79" s="568">
        <f t="shared" si="227"/>
        <v>0.30257084977967125</v>
      </c>
      <c r="H79" s="568">
        <f t="shared" si="227"/>
        <v>0.26071637855259316</v>
      </c>
      <c r="I79" s="568">
        <f t="shared" si="227"/>
        <v>0.25414599946270727</v>
      </c>
      <c r="J79" s="568">
        <f t="shared" si="227"/>
        <v>0.36875801210386672</v>
      </c>
      <c r="K79" s="568">
        <f t="shared" si="227"/>
        <v>0.31432781120768638</v>
      </c>
      <c r="L79" s="568">
        <f t="shared" si="227"/>
        <v>0.26886572273222353</v>
      </c>
      <c r="M79" s="568">
        <f t="shared" si="227"/>
        <v>0.27617308745663682</v>
      </c>
      <c r="N79" s="568">
        <f t="shared" si="227"/>
        <v>0.22053439932674102</v>
      </c>
      <c r="O79" s="568">
        <f t="shared" si="227"/>
        <v>0.19023249525545438</v>
      </c>
      <c r="P79" s="568">
        <f t="shared" si="227"/>
        <v>0.18856477314839326</v>
      </c>
      <c r="Q79" s="568">
        <f t="shared" si="227"/>
        <v>0.22168155862880126</v>
      </c>
      <c r="R79" s="568">
        <f t="shared" ref="R79:S79" si="228">R22/R$10</f>
        <v>0.20979617676607809</v>
      </c>
      <c r="S79" s="568">
        <f t="shared" si="228"/>
        <v>0.23656747261830957</v>
      </c>
      <c r="T79" s="568">
        <f t="shared" ref="T79:U79" si="229">T22/T$10</f>
        <v>0.17762781097699346</v>
      </c>
      <c r="U79" s="568">
        <f t="shared" si="229"/>
        <v>0.18926643038300475</v>
      </c>
      <c r="V79" s="568">
        <f t="shared" ref="V79:X79" ca="1" si="230">V22/V$10</f>
        <v>0.18607727655531264</v>
      </c>
      <c r="W79" s="568">
        <f t="shared" ca="1" si="230"/>
        <v>0.1983369576248501</v>
      </c>
      <c r="X79" s="568">
        <f t="shared" ca="1" si="230"/>
        <v>0.13616858206344271</v>
      </c>
      <c r="Y79" s="283"/>
      <c r="Z79" s="568">
        <f t="shared" ref="Z79:AG79" si="231">Z22/Z$10</f>
        <v>0.19139199668089363</v>
      </c>
      <c r="AA79" s="568">
        <f t="shared" si="231"/>
        <v>0.20873004197135564</v>
      </c>
      <c r="AB79" s="568">
        <f t="shared" si="231"/>
        <v>0.24496373892022563</v>
      </c>
      <c r="AC79" s="568">
        <f t="shared" si="231"/>
        <v>0.29634349573571223</v>
      </c>
      <c r="AD79" s="568">
        <f t="shared" si="231"/>
        <v>0.21407107951892906</v>
      </c>
      <c r="AE79" s="568">
        <f t="shared" si="231"/>
        <v>0.2119439287753275</v>
      </c>
      <c r="AF79" s="568">
        <f t="shared" ref="AF79" ca="1" si="232">AF22/AF$10</f>
        <v>0.1762423684157802</v>
      </c>
      <c r="AG79" s="568">
        <f t="shared" ca="1" si="231"/>
        <v>0.17375776377707369</v>
      </c>
      <c r="AH79" s="568">
        <f t="shared" ref="AH79" ca="1" si="233">AH22/AH$10</f>
        <v>0.17461854734672608</v>
      </c>
    </row>
    <row r="80" spans="1:34" s="464" customFormat="1">
      <c r="A80" s="283"/>
      <c r="B80" s="574"/>
      <c r="C80" s="574" t="s">
        <v>619</v>
      </c>
      <c r="D80" s="575"/>
      <c r="E80" s="568">
        <f t="shared" ref="E80:Q80" si="234">E23/E$10</f>
        <v>8.0667673521390895E-3</v>
      </c>
      <c r="F80" s="568">
        <f t="shared" si="234"/>
        <v>8.92305393897826E-3</v>
      </c>
      <c r="G80" s="568">
        <f t="shared" si="234"/>
        <v>1.5530912153930761E-2</v>
      </c>
      <c r="H80" s="568">
        <f t="shared" si="234"/>
        <v>1.1763844125402873E-2</v>
      </c>
      <c r="I80" s="568">
        <f t="shared" si="234"/>
        <v>1.0352713000517634E-2</v>
      </c>
      <c r="J80" s="568">
        <f t="shared" si="234"/>
        <v>1.4697552395432729E-2</v>
      </c>
      <c r="K80" s="568">
        <f t="shared" si="234"/>
        <v>7.466012926231334E-3</v>
      </c>
      <c r="L80" s="568">
        <f t="shared" si="234"/>
        <v>4.0454333281468823E-3</v>
      </c>
      <c r="M80" s="568">
        <f t="shared" si="234"/>
        <v>8.9026839510681025E-3</v>
      </c>
      <c r="N80" s="568">
        <f t="shared" si="234"/>
        <v>7.2675903940368483E-3</v>
      </c>
      <c r="O80" s="568">
        <f t="shared" si="234"/>
        <v>1.4025828355107336E-2</v>
      </c>
      <c r="P80" s="568">
        <f t="shared" si="234"/>
        <v>6.50643231510403E-3</v>
      </c>
      <c r="Q80" s="568">
        <f t="shared" si="234"/>
        <v>2.3713315500920075E-3</v>
      </c>
      <c r="R80" s="568">
        <f t="shared" ref="R80:S80" si="235">R23/R$10</f>
        <v>1.2854213401962538E-2</v>
      </c>
      <c r="S80" s="568">
        <f t="shared" si="235"/>
        <v>7.6048770407108907E-3</v>
      </c>
      <c r="T80" s="568">
        <f t="shared" ref="T80:U80" si="236">T23/T$10</f>
        <v>7.0672905477690466E-3</v>
      </c>
      <c r="U80" s="568">
        <f t="shared" si="236"/>
        <v>6.8150499466485071E-3</v>
      </c>
      <c r="V80" s="333">
        <v>5.0000000000000001E-3</v>
      </c>
      <c r="W80" s="333">
        <v>5.0000000000000001E-3</v>
      </c>
      <c r="X80" s="333">
        <v>5.0000000000000001E-3</v>
      </c>
      <c r="Y80" s="283"/>
      <c r="Z80" s="568">
        <f t="shared" ref="Z80:AE85" si="237">Z23/Z$10</f>
        <v>9.1832738092473658E-3</v>
      </c>
      <c r="AA80" s="568">
        <f t="shared" si="237"/>
        <v>1.0957552680541735E-2</v>
      </c>
      <c r="AB80" s="568">
        <f t="shared" si="237"/>
        <v>1.1069635731754408E-2</v>
      </c>
      <c r="AC80" s="568">
        <f t="shared" si="237"/>
        <v>8.4186636485430733E-3</v>
      </c>
      <c r="AD80" s="568">
        <f t="shared" si="237"/>
        <v>9.3340829892191203E-3</v>
      </c>
      <c r="AE80" s="568">
        <f t="shared" si="237"/>
        <v>7.5321403935487627E-3</v>
      </c>
      <c r="AF80" s="568">
        <f t="shared" ref="AF80" ca="1" si="238">AF23/AF$10</f>
        <v>5.4105913483866747E-3</v>
      </c>
      <c r="AG80" s="333">
        <v>5.0000000000000001E-3</v>
      </c>
      <c r="AH80" s="333">
        <v>5.0000000000000001E-3</v>
      </c>
    </row>
    <row r="81" spans="1:50" s="464" customFormat="1">
      <c r="A81" s="283"/>
      <c r="B81" s="574"/>
      <c r="C81" s="574" t="s">
        <v>318</v>
      </c>
      <c r="D81" s="575"/>
      <c r="E81" s="568">
        <f t="shared" ref="E81:Q81" si="239">E24/E$10</f>
        <v>9.0330615779942586E-3</v>
      </c>
      <c r="F81" s="568">
        <f t="shared" si="239"/>
        <v>9.6428741197481967E-3</v>
      </c>
      <c r="G81" s="568">
        <f t="shared" si="239"/>
        <v>1.289253666924239E-2</v>
      </c>
      <c r="H81" s="568">
        <f t="shared" si="239"/>
        <v>1.1610020509815413E-2</v>
      </c>
      <c r="I81" s="568">
        <f t="shared" si="239"/>
        <v>3.7348395001867412E-3</v>
      </c>
      <c r="J81" s="568">
        <f t="shared" si="239"/>
        <v>7.8406821095310508E-3</v>
      </c>
      <c r="K81" s="568">
        <f t="shared" si="239"/>
        <v>1.1805710323651041E-2</v>
      </c>
      <c r="L81" s="568">
        <f t="shared" si="239"/>
        <v>5.1612616417346475E-3</v>
      </c>
      <c r="M81" s="568">
        <f t="shared" si="239"/>
        <v>3.7684863976629539E-3</v>
      </c>
      <c r="N81" s="568">
        <f t="shared" si="239"/>
        <v>6.2336569384749477E-3</v>
      </c>
      <c r="O81" s="568">
        <f t="shared" si="239"/>
        <v>6.2793247973240273E-3</v>
      </c>
      <c r="P81" s="568">
        <f t="shared" si="239"/>
        <v>5.3893800624702209E-3</v>
      </c>
      <c r="Q81" s="568">
        <f t="shared" si="239"/>
        <v>1.7590537438582514E-2</v>
      </c>
      <c r="R81" s="568">
        <f t="shared" ref="R81:S81" si="240">R24/R$10</f>
        <v>4.6976140341219268E-3</v>
      </c>
      <c r="S81" s="568">
        <f t="shared" si="240"/>
        <v>3.9078321967348624E-2</v>
      </c>
      <c r="T81" s="568">
        <f t="shared" ref="T81:U81" si="241">T24/T$10</f>
        <v>1.2286711548644353E-2</v>
      </c>
      <c r="U81" s="568">
        <f t="shared" si="241"/>
        <v>4.8311250998664878E-3</v>
      </c>
      <c r="V81" s="333">
        <f t="shared" ref="V81:X81" si="242">U81</f>
        <v>4.8311250998664878E-3</v>
      </c>
      <c r="W81" s="333">
        <f t="shared" si="242"/>
        <v>4.8311250998664878E-3</v>
      </c>
      <c r="X81" s="333">
        <f t="shared" si="242"/>
        <v>4.8311250998664878E-3</v>
      </c>
      <c r="Y81" s="283"/>
      <c r="Z81" s="568">
        <f t="shared" si="237"/>
        <v>8.8566266794848584E-3</v>
      </c>
      <c r="AA81" s="568">
        <f t="shared" si="237"/>
        <v>1.159794037471334E-2</v>
      </c>
      <c r="AB81" s="568">
        <f t="shared" si="237"/>
        <v>1.0789280191558654E-2</v>
      </c>
      <c r="AC81" s="568">
        <f t="shared" si="237"/>
        <v>6.9660431389673618E-3</v>
      </c>
      <c r="AD81" s="568">
        <f t="shared" si="237"/>
        <v>5.5284712656802626E-3</v>
      </c>
      <c r="AE81" s="568">
        <f t="shared" si="237"/>
        <v>1.8045185411772285E-2</v>
      </c>
      <c r="AF81" s="568">
        <f t="shared" ref="AF81" ca="1" si="243">AF24/AF$10</f>
        <v>4.8311250998664878E-3</v>
      </c>
      <c r="AG81" s="333">
        <f ca="1">+AF81</f>
        <v>4.8311250998664878E-3</v>
      </c>
      <c r="AH81" s="333">
        <f ca="1">+AG81</f>
        <v>4.8311250998664878E-3</v>
      </c>
    </row>
    <row r="82" spans="1:50" s="439" customFormat="1">
      <c r="A82" s="283"/>
      <c r="B82" s="574"/>
      <c r="C82" s="574" t="s">
        <v>639</v>
      </c>
      <c r="D82" s="575"/>
      <c r="E82" s="568">
        <f t="shared" ref="E82:Q82" si="244">E25/E$10</f>
        <v>4.3662183538640989E-4</v>
      </c>
      <c r="F82" s="568">
        <f t="shared" si="244"/>
        <v>-6.9944791150286208E-4</v>
      </c>
      <c r="G82" s="568">
        <f t="shared" si="244"/>
        <v>-3.7243558952725054E-3</v>
      </c>
      <c r="H82" s="568">
        <f t="shared" si="244"/>
        <v>4.0140638734251404E-3</v>
      </c>
      <c r="I82" s="568">
        <f t="shared" si="244"/>
        <v>6.7096064003354799E-3</v>
      </c>
      <c r="J82" s="568">
        <f t="shared" si="244"/>
        <v>4.1961064901767878E-3</v>
      </c>
      <c r="K82" s="568">
        <f t="shared" si="244"/>
        <v>1.1267117351360717E-3</v>
      </c>
      <c r="L82" s="568">
        <f t="shared" si="244"/>
        <v>2.0227166640734411E-3</v>
      </c>
      <c r="M82" s="568">
        <f t="shared" si="244"/>
        <v>7.5369727953259079E-3</v>
      </c>
      <c r="N82" s="568">
        <f t="shared" si="244"/>
        <v>3.0537104385200326E-3</v>
      </c>
      <c r="O82" s="568">
        <f t="shared" si="244"/>
        <v>1.4571638883742355E-3</v>
      </c>
      <c r="P82" s="568">
        <f t="shared" si="244"/>
        <v>2.821748107364074E-3</v>
      </c>
      <c r="Q82" s="568">
        <f t="shared" si="244"/>
        <v>3.8889837421508919E-3</v>
      </c>
      <c r="R82" s="568">
        <f t="shared" ref="R82:S82" si="245">R25/R$10</f>
        <v>2.8901336342742317E-3</v>
      </c>
      <c r="S82" s="568">
        <f t="shared" si="245"/>
        <v>2.7071709030791441E-3</v>
      </c>
      <c r="T82" s="568">
        <f t="shared" ref="T82:U82" si="246">T25/T$10</f>
        <v>7.6616345540799014E-3</v>
      </c>
      <c r="U82" s="568">
        <f t="shared" si="246"/>
        <v>3.9785736116547546E-3</v>
      </c>
      <c r="V82" s="333">
        <f t="shared" ref="V82:X82" si="247">U82</f>
        <v>3.9785736116547546E-3</v>
      </c>
      <c r="W82" s="333">
        <f t="shared" si="247"/>
        <v>3.9785736116547546E-3</v>
      </c>
      <c r="X82" s="333">
        <f t="shared" si="247"/>
        <v>3.9785736116547546E-3</v>
      </c>
      <c r="Y82" s="283"/>
      <c r="Z82" s="568">
        <f t="shared" si="237"/>
        <v>-1.4056663214424496E-3</v>
      </c>
      <c r="AA82" s="568">
        <f t="shared" si="237"/>
        <v>-3.7955951711306298E-3</v>
      </c>
      <c r="AB82" s="568">
        <f t="shared" si="237"/>
        <v>-5.1134029343880118E-5</v>
      </c>
      <c r="AC82" s="568">
        <f t="shared" si="237"/>
        <v>3.3033006270924126E-3</v>
      </c>
      <c r="AD82" s="568">
        <f t="shared" si="237"/>
        <v>3.4168120449851345E-3</v>
      </c>
      <c r="AE82" s="568">
        <f t="shared" si="237"/>
        <v>4.200759653883163E-3</v>
      </c>
      <c r="AF82" s="568">
        <f t="shared" ref="AF82" ca="1" si="248">AF25/AF$10</f>
        <v>3.9785736116547546E-3</v>
      </c>
      <c r="AG82" s="333">
        <f ca="1">+AF82</f>
        <v>3.9785736116547546E-3</v>
      </c>
      <c r="AH82" s="333">
        <f ca="1">+AG82</f>
        <v>3.9785736116547546E-3</v>
      </c>
    </row>
    <row r="83" spans="1:50" s="439" customFormat="1">
      <c r="A83" s="283"/>
      <c r="B83" s="574"/>
      <c r="C83" s="574" t="s">
        <v>366</v>
      </c>
      <c r="D83" s="575"/>
      <c r="E83" s="568">
        <f t="shared" ref="E83:Q83" si="249">E26/E$10</f>
        <v>-1.8946524561767677E-2</v>
      </c>
      <c r="F83" s="568">
        <f t="shared" si="249"/>
        <v>0</v>
      </c>
      <c r="G83" s="568">
        <f t="shared" si="249"/>
        <v>0.26253576425871394</v>
      </c>
      <c r="H83" s="568">
        <f t="shared" si="249"/>
        <v>0</v>
      </c>
      <c r="I83" s="568">
        <f t="shared" si="249"/>
        <v>0</v>
      </c>
      <c r="J83" s="568">
        <f t="shared" si="249"/>
        <v>-3.0036073100199712E-3</v>
      </c>
      <c r="K83" s="568">
        <f t="shared" si="249"/>
        <v>4.4616546566624574E-2</v>
      </c>
      <c r="L83" s="568">
        <f t="shared" si="249"/>
        <v>-6.5038120429438328E-3</v>
      </c>
      <c r="M83" s="568">
        <f t="shared" si="249"/>
        <v>-1.8579514332663864E-2</v>
      </c>
      <c r="N83" s="568">
        <f t="shared" si="249"/>
        <v>-8.4638273571578937E-3</v>
      </c>
      <c r="O83" s="568">
        <f t="shared" si="249"/>
        <v>-3.0405151650200551E-2</v>
      </c>
      <c r="P83" s="568">
        <f t="shared" si="249"/>
        <v>-4.3432685690084176E-2</v>
      </c>
      <c r="Q83" s="568">
        <f t="shared" si="249"/>
        <v>-4.9745793257830129E-2</v>
      </c>
      <c r="R83" s="568">
        <f t="shared" ref="R83:S83" si="250">R26/R$10</f>
        <v>-1.9428120541510115E-2</v>
      </c>
      <c r="S83" s="568">
        <f t="shared" si="250"/>
        <v>-2.0174622855961982E-2</v>
      </c>
      <c r="T83" s="568">
        <f t="shared" ref="T83:U83" si="251">T26/T$10</f>
        <v>-1.1470839321799443E-2</v>
      </c>
      <c r="U83" s="568">
        <f t="shared" si="251"/>
        <v>1.0777537681167192E-3</v>
      </c>
      <c r="V83" s="333">
        <v>0</v>
      </c>
      <c r="W83" s="333">
        <v>0</v>
      </c>
      <c r="X83" s="333">
        <v>0</v>
      </c>
      <c r="Y83" s="283"/>
      <c r="Z83" s="568">
        <f t="shared" si="237"/>
        <v>0</v>
      </c>
      <c r="AA83" s="568">
        <f t="shared" si="237"/>
        <v>-5.5159880576348946E-3</v>
      </c>
      <c r="AB83" s="568">
        <f t="shared" si="237"/>
        <v>6.1829857688706621E-2</v>
      </c>
      <c r="AC83" s="568">
        <f t="shared" si="237"/>
        <v>7.9329715149732815E-3</v>
      </c>
      <c r="AD83" s="568">
        <f t="shared" si="237"/>
        <v>-2.634587561590061E-2</v>
      </c>
      <c r="AE83" s="568">
        <f t="shared" si="237"/>
        <v>-2.5699930523992748E-2</v>
      </c>
      <c r="AF83" s="568">
        <f t="shared" ref="AF83" ca="1" si="252">AF26/AF$10</f>
        <v>2.4380396456690864E-4</v>
      </c>
      <c r="AG83" s="333">
        <v>0</v>
      </c>
      <c r="AH83" s="333">
        <v>0</v>
      </c>
    </row>
    <row r="84" spans="1:50" s="464" customFormat="1">
      <c r="A84" s="283"/>
      <c r="B84" s="574"/>
      <c r="C84" s="574" t="s">
        <v>620</v>
      </c>
      <c r="D84" s="575"/>
      <c r="E84" s="568">
        <f t="shared" ref="E84:Q84" si="253">E27/E$10</f>
        <v>0</v>
      </c>
      <c r="F84" s="568">
        <f t="shared" si="253"/>
        <v>0</v>
      </c>
      <c r="G84" s="568">
        <f t="shared" si="253"/>
        <v>0</v>
      </c>
      <c r="H84" s="568">
        <f t="shared" si="253"/>
        <v>0</v>
      </c>
      <c r="I84" s="568">
        <f t="shared" si="253"/>
        <v>0</v>
      </c>
      <c r="J84" s="568">
        <f t="shared" si="253"/>
        <v>0</v>
      </c>
      <c r="K84" s="568">
        <f t="shared" si="253"/>
        <v>6.7553178317608889E-2</v>
      </c>
      <c r="L84" s="568">
        <f t="shared" si="253"/>
        <v>-4.8509635688723927E-2</v>
      </c>
      <c r="M84" s="568">
        <f t="shared" si="253"/>
        <v>0</v>
      </c>
      <c r="N84" s="568">
        <f t="shared" si="253"/>
        <v>0</v>
      </c>
      <c r="O84" s="568">
        <f t="shared" si="253"/>
        <v>0</v>
      </c>
      <c r="P84" s="568">
        <f t="shared" si="253"/>
        <v>0</v>
      </c>
      <c r="Q84" s="568">
        <f t="shared" si="253"/>
        <v>0</v>
      </c>
      <c r="R84" s="568">
        <f t="shared" ref="R84:S84" si="254">R27/R$10</f>
        <v>0</v>
      </c>
      <c r="S84" s="568">
        <f t="shared" si="254"/>
        <v>0</v>
      </c>
      <c r="T84" s="568">
        <f t="shared" ref="T84:U84" ca="1" si="255">T27/T$10</f>
        <v>0</v>
      </c>
      <c r="U84" s="568">
        <f t="shared" ca="1" si="255"/>
        <v>0</v>
      </c>
      <c r="V84" s="333">
        <v>0</v>
      </c>
      <c r="W84" s="333">
        <v>0</v>
      </c>
      <c r="X84" s="333">
        <v>0</v>
      </c>
      <c r="Y84" s="283"/>
      <c r="Z84" s="568">
        <f t="shared" si="237"/>
        <v>0</v>
      </c>
      <c r="AA84" s="568">
        <f t="shared" si="237"/>
        <v>0</v>
      </c>
      <c r="AB84" s="568">
        <f t="shared" si="237"/>
        <v>0</v>
      </c>
      <c r="AC84" s="568">
        <f t="shared" si="237"/>
        <v>0</v>
      </c>
      <c r="AD84" s="568">
        <f t="shared" si="237"/>
        <v>0</v>
      </c>
      <c r="AE84" s="568">
        <f t="shared" ca="1" si="237"/>
        <v>0</v>
      </c>
      <c r="AF84" s="568">
        <f t="shared" ref="AF84" ca="1" si="256">AF27/AF$10</f>
        <v>0</v>
      </c>
      <c r="AG84" s="333">
        <v>0</v>
      </c>
      <c r="AH84" s="333">
        <v>0</v>
      </c>
    </row>
    <row r="85" spans="1:50" s="439" customFormat="1">
      <c r="A85" s="283"/>
      <c r="B85" s="574"/>
      <c r="C85" s="576" t="s">
        <v>534</v>
      </c>
      <c r="D85" s="575"/>
      <c r="E85" s="570">
        <f t="shared" ref="E85:Q85" si="257">E28/E$10</f>
        <v>0.13984782655376529</v>
      </c>
      <c r="F85" s="570">
        <f t="shared" si="257"/>
        <v>9.5396546221283685E-2</v>
      </c>
      <c r="G85" s="570">
        <f t="shared" si="257"/>
        <v>-0.14121922185326735</v>
      </c>
      <c r="H85" s="570">
        <f t="shared" si="257"/>
        <v>-0.15087899208907152</v>
      </c>
      <c r="I85" s="570">
        <f t="shared" si="257"/>
        <v>-9.0795913954539731E-2</v>
      </c>
      <c r="J85" s="570">
        <f t="shared" si="257"/>
        <v>-0.26046418030587615</v>
      </c>
      <c r="K85" s="570">
        <f t="shared" si="257"/>
        <v>-1.1161875046430323E-2</v>
      </c>
      <c r="L85" s="570">
        <f t="shared" si="257"/>
        <v>4.4739825290626228E-2</v>
      </c>
      <c r="M85" s="570">
        <f t="shared" si="257"/>
        <v>-2.0186233339419254E-2</v>
      </c>
      <c r="N85" s="570">
        <f t="shared" si="257"/>
        <v>0.14758197829941988</v>
      </c>
      <c r="O85" s="570">
        <f t="shared" si="257"/>
        <v>0.21226521384255609</v>
      </c>
      <c r="P85" s="570">
        <f t="shared" si="257"/>
        <v>0.14659325533379228</v>
      </c>
      <c r="Q85" s="570">
        <f t="shared" si="257"/>
        <v>0.21253296150854623</v>
      </c>
      <c r="R85" s="570">
        <f t="shared" ref="R85:S85" si="258">R28/R$10</f>
        <v>0.14607561140088904</v>
      </c>
      <c r="S85" s="570">
        <f t="shared" si="258"/>
        <v>-8.9584624922504005E-3</v>
      </c>
      <c r="T85" s="570">
        <f t="shared" ref="T85:U85" ca="1" si="259">T28/T$10</f>
        <v>0.12155415554522983</v>
      </c>
      <c r="U85" s="570">
        <f t="shared" ca="1" si="259"/>
        <v>0.10609172167142977</v>
      </c>
      <c r="V85" s="570">
        <f t="shared" ref="V85:X85" ca="1" si="260">V28/V$10</f>
        <v>0.22665356950750037</v>
      </c>
      <c r="W85" s="570">
        <f t="shared" ca="1" si="260"/>
        <v>0.13947411904479542</v>
      </c>
      <c r="X85" s="570">
        <f t="shared" ca="1" si="260"/>
        <v>0.29833725294309682</v>
      </c>
      <c r="Y85" s="283"/>
      <c r="Z85" s="570">
        <f t="shared" si="237"/>
        <v>0.17478717623618911</v>
      </c>
      <c r="AA85" s="570">
        <f t="shared" si="237"/>
        <v>0.12919908268789759</v>
      </c>
      <c r="AB85" s="570">
        <f t="shared" si="237"/>
        <v>-1.28681429707462E-2</v>
      </c>
      <c r="AC85" s="570">
        <f t="shared" si="237"/>
        <v>-6.0218398077431685E-2</v>
      </c>
      <c r="AD85" s="570">
        <f t="shared" si="237"/>
        <v>0.13278014895797349</v>
      </c>
      <c r="AE85" s="570">
        <f t="shared" ca="1" si="237"/>
        <v>0.12064552003596399</v>
      </c>
      <c r="AF85" s="570">
        <f t="shared" ref="AF85" ca="1" si="261">AF28/AF$10</f>
        <v>0.1982703910149225</v>
      </c>
      <c r="AG85" s="570">
        <f ca="1">AG28/AG$10</f>
        <v>0.20287843795090685</v>
      </c>
      <c r="AH85" s="570">
        <f ca="1">AH28/AH$10</f>
        <v>0.20395220941633227</v>
      </c>
    </row>
    <row r="86" spans="1:50" s="439" customFormat="1">
      <c r="A86" s="283"/>
      <c r="B86" s="574"/>
      <c r="C86" s="574"/>
      <c r="D86" s="575"/>
      <c r="E86" s="568"/>
      <c r="F86" s="568"/>
      <c r="G86" s="568"/>
      <c r="H86" s="568"/>
      <c r="I86" s="568"/>
      <c r="J86" s="568"/>
      <c r="K86" s="568"/>
      <c r="L86" s="568"/>
      <c r="M86" s="568"/>
      <c r="N86" s="568"/>
      <c r="O86" s="568"/>
      <c r="P86" s="568"/>
      <c r="Q86" s="568"/>
      <c r="R86" s="568"/>
      <c r="S86" s="568"/>
      <c r="T86" s="568"/>
      <c r="U86" s="568"/>
      <c r="V86" s="568"/>
      <c r="W86" s="568"/>
      <c r="X86" s="568"/>
      <c r="Y86" s="283"/>
      <c r="Z86" s="568"/>
      <c r="AA86" s="568"/>
      <c r="AB86" s="568"/>
      <c r="AC86" s="568"/>
      <c r="AD86" s="568"/>
      <c r="AE86" s="568"/>
      <c r="AF86" s="568"/>
      <c r="AG86" s="568"/>
      <c r="AH86" s="568"/>
    </row>
    <row r="87" spans="1:50" s="439" customFormat="1">
      <c r="A87" s="283"/>
      <c r="B87" s="574"/>
      <c r="C87" s="574" t="s">
        <v>542</v>
      </c>
      <c r="D87" s="575"/>
      <c r="E87" s="568">
        <f t="shared" ref="E87:Q87" si="262">E30/E$10</f>
        <v>7.0102856652041023E-2</v>
      </c>
      <c r="F87" s="568">
        <f t="shared" si="262"/>
        <v>6.8444033980945132E-2</v>
      </c>
      <c r="G87" s="568">
        <f t="shared" si="262"/>
        <v>7.0630495165298748E-2</v>
      </c>
      <c r="H87" s="568">
        <f t="shared" si="262"/>
        <v>8.0024904775857039E-2</v>
      </c>
      <c r="I87" s="568">
        <f t="shared" si="262"/>
        <v>6.9880812753494032E-2</v>
      </c>
      <c r="J87" s="568">
        <f t="shared" si="262"/>
        <v>8.4481113794234272E-2</v>
      </c>
      <c r="K87" s="568">
        <f t="shared" si="262"/>
        <v>7.2908154421414947E-2</v>
      </c>
      <c r="L87" s="568">
        <f t="shared" si="262"/>
        <v>5.252395029896198E-2</v>
      </c>
      <c r="M87" s="568">
        <f t="shared" si="262"/>
        <v>8.5762278619682303E-2</v>
      </c>
      <c r="N87" s="568">
        <f t="shared" si="262"/>
        <v>7.1106970033963518E-2</v>
      </c>
      <c r="O87" s="568">
        <f t="shared" si="262"/>
        <v>5.397515310235701E-2</v>
      </c>
      <c r="P87" s="568">
        <f t="shared" si="262"/>
        <v>5.6382021282227759E-2</v>
      </c>
      <c r="Q87" s="568">
        <f t="shared" si="262"/>
        <v>5.0955172348377056E-2</v>
      </c>
      <c r="R87" s="568">
        <f t="shared" ref="R87:S87" si="263">R30/R$10</f>
        <v>4.7118353266080389E-2</v>
      </c>
      <c r="S87" s="568">
        <f t="shared" si="263"/>
        <v>5.4086588138045046E-2</v>
      </c>
      <c r="T87" s="568">
        <f t="shared" ref="T87:U87" si="264">T30/T$10</f>
        <v>5.6522115000162083E-2</v>
      </c>
      <c r="U87" s="568">
        <f t="shared" si="264"/>
        <v>5.5796545825982986E-2</v>
      </c>
      <c r="V87" s="568">
        <f t="shared" ref="V87:X87" ca="1" si="265">V30/V$10</f>
        <v>4.1360515887064971E-2</v>
      </c>
      <c r="W87" s="568">
        <f t="shared" ca="1" si="265"/>
        <v>4.7907982669385486E-2</v>
      </c>
      <c r="X87" s="568">
        <f t="shared" ca="1" si="265"/>
        <v>4.1661005552199266E-2</v>
      </c>
      <c r="Y87" s="283"/>
      <c r="Z87" s="568">
        <f t="shared" ref="Z87:AG87" si="266">Z30/Z$10</f>
        <v>3.3742184077268297E-2</v>
      </c>
      <c r="AA87" s="568">
        <f t="shared" si="266"/>
        <v>6.4255116611137558E-2</v>
      </c>
      <c r="AB87" s="568">
        <f t="shared" si="266"/>
        <v>7.2194196463993721E-2</v>
      </c>
      <c r="AC87" s="568">
        <f t="shared" si="266"/>
        <v>6.7717662855394448E-2</v>
      </c>
      <c r="AD87" s="568">
        <f t="shared" si="266"/>
        <v>6.504228377173267E-2</v>
      </c>
      <c r="AE87" s="568">
        <f t="shared" si="266"/>
        <v>5.1946009340250392E-2</v>
      </c>
      <c r="AF87" s="568">
        <f t="shared" ref="AF87" ca="1" si="267">AF30/AF$10</f>
        <v>4.6238406572183803E-2</v>
      </c>
      <c r="AG87" s="568">
        <f t="shared" ca="1" si="266"/>
        <v>4.2719919350854778E-2</v>
      </c>
      <c r="AH87" s="568">
        <f t="shared" ref="AH87" ca="1" si="268">AH30/AH$10</f>
        <v>3.975731412770641E-2</v>
      </c>
    </row>
    <row r="88" spans="1:50" s="439" customFormat="1">
      <c r="A88" s="283"/>
      <c r="B88" s="574"/>
      <c r="C88" s="574" t="s">
        <v>320</v>
      </c>
      <c r="D88" s="575"/>
      <c r="E88" s="568">
        <f t="shared" ref="E88:Q88" si="269">E31/E$10</f>
        <v>0</v>
      </c>
      <c r="F88" s="568">
        <f t="shared" si="269"/>
        <v>0</v>
      </c>
      <c r="G88" s="568">
        <f t="shared" si="269"/>
        <v>2.5061086398095353E-4</v>
      </c>
      <c r="H88" s="568">
        <f t="shared" si="269"/>
        <v>-1.4649868151186642E-5</v>
      </c>
      <c r="I88" s="568">
        <f t="shared" si="269"/>
        <v>0</v>
      </c>
      <c r="J88" s="568">
        <f t="shared" si="269"/>
        <v>0</v>
      </c>
      <c r="K88" s="568">
        <f t="shared" si="269"/>
        <v>-5.7388009806106531E-3</v>
      </c>
      <c r="L88" s="568">
        <f t="shared" si="269"/>
        <v>1.7782124519326951E-5</v>
      </c>
      <c r="M88" s="568">
        <f t="shared" si="269"/>
        <v>0</v>
      </c>
      <c r="N88" s="568">
        <f t="shared" si="269"/>
        <v>0</v>
      </c>
      <c r="O88" s="568">
        <f t="shared" si="269"/>
        <v>0</v>
      </c>
      <c r="P88" s="568">
        <f t="shared" si="269"/>
        <v>0</v>
      </c>
      <c r="Q88" s="568">
        <f t="shared" si="269"/>
        <v>-5.492003870013089E-3</v>
      </c>
      <c r="R88" s="568">
        <f t="shared" ref="R88:S88" si="270">R31/R$10</f>
        <v>0</v>
      </c>
      <c r="S88" s="568">
        <f t="shared" si="270"/>
        <v>0</v>
      </c>
      <c r="T88" s="568">
        <f t="shared" ref="T88:U88" si="271">T31/T$10</f>
        <v>0</v>
      </c>
      <c r="U88" s="568">
        <f t="shared" si="271"/>
        <v>0</v>
      </c>
      <c r="V88" s="333">
        <v>0</v>
      </c>
      <c r="W88" s="333">
        <v>0</v>
      </c>
      <c r="X88" s="333">
        <v>0</v>
      </c>
      <c r="Y88" s="283"/>
      <c r="Z88" s="568">
        <f t="shared" ref="Z88:AE90" si="272">Z31/Z$10</f>
        <v>0</v>
      </c>
      <c r="AA88" s="568">
        <f t="shared" si="272"/>
        <v>2.8730907360131544E-4</v>
      </c>
      <c r="AB88" s="568">
        <f t="shared" si="272"/>
        <v>5.9950241299721232E-5</v>
      </c>
      <c r="AC88" s="568">
        <f t="shared" si="272"/>
        <v>-1.3709291721251335E-3</v>
      </c>
      <c r="AD88" s="568">
        <f t="shared" si="272"/>
        <v>0</v>
      </c>
      <c r="AE88" s="568">
        <f t="shared" si="272"/>
        <v>-1.4341036790084622E-3</v>
      </c>
      <c r="AF88" s="568">
        <f t="shared" ref="AF88" ca="1" si="273">AF31/AF$10</f>
        <v>0</v>
      </c>
      <c r="AG88" s="333">
        <v>0</v>
      </c>
      <c r="AH88" s="333">
        <v>0</v>
      </c>
    </row>
    <row r="89" spans="1:50" s="439" customFormat="1">
      <c r="A89" s="283"/>
      <c r="B89" s="574"/>
      <c r="C89" s="574" t="s">
        <v>321</v>
      </c>
      <c r="D89" s="575"/>
      <c r="E89" s="568">
        <f t="shared" ref="E89:Q89" si="274">E32/E$10</f>
        <v>4.0083316035473737E-4</v>
      </c>
      <c r="F89" s="568">
        <f t="shared" si="274"/>
        <v>-7.3340169361465167E-4</v>
      </c>
      <c r="G89" s="568">
        <f t="shared" si="274"/>
        <v>2.4086488593724979E-3</v>
      </c>
      <c r="H89" s="568">
        <f t="shared" si="274"/>
        <v>4.4901845883387054E-3</v>
      </c>
      <c r="I89" s="568">
        <f t="shared" si="274"/>
        <v>7.3648414003682416E-3</v>
      </c>
      <c r="J89" s="568">
        <f t="shared" si="274"/>
        <v>8.8468532927883613E-3</v>
      </c>
      <c r="K89" s="568">
        <f t="shared" si="274"/>
        <v>6.7850333060941485E-3</v>
      </c>
      <c r="L89" s="568">
        <f t="shared" si="274"/>
        <v>4.5433328146880364E-3</v>
      </c>
      <c r="M89" s="568">
        <f t="shared" si="274"/>
        <v>3.0892824538981192E-3</v>
      </c>
      <c r="N89" s="568">
        <f t="shared" si="274"/>
        <v>3.9012954224399632E-3</v>
      </c>
      <c r="O89" s="568">
        <f t="shared" si="274"/>
        <v>2.0330190332643982E-3</v>
      </c>
      <c r="P89" s="568">
        <f t="shared" si="274"/>
        <v>3.5682143046217381E-3</v>
      </c>
      <c r="Q89" s="568">
        <f t="shared" si="274"/>
        <v>7.6356875912962651E-4</v>
      </c>
      <c r="R89" s="568">
        <f t="shared" ref="R89:S89" si="275">R32/R$10</f>
        <v>1.2753288100448201E-3</v>
      </c>
      <c r="S89" s="568">
        <f t="shared" si="275"/>
        <v>-1.276090101260591E-3</v>
      </c>
      <c r="T89" s="568">
        <f t="shared" ref="T89:U89" si="276">T32/T$10</f>
        <v>2.0639946400976884E-3</v>
      </c>
      <c r="U89" s="568">
        <f t="shared" si="276"/>
        <v>-8.4236376602555511E-3</v>
      </c>
      <c r="V89" s="333">
        <f t="shared" ref="V89:X89" si="277">+U89</f>
        <v>-8.4236376602555511E-3</v>
      </c>
      <c r="W89" s="333">
        <f t="shared" si="277"/>
        <v>-8.4236376602555511E-3</v>
      </c>
      <c r="X89" s="333">
        <f t="shared" si="277"/>
        <v>-8.4236376602555511E-3</v>
      </c>
      <c r="Y89" s="283"/>
      <c r="Z89" s="568">
        <f t="shared" si="272"/>
        <v>-7.8488196582744674E-4</v>
      </c>
      <c r="AA89" s="568">
        <f t="shared" si="272"/>
        <v>-2.9284756176712386E-3</v>
      </c>
      <c r="AB89" s="568">
        <f t="shared" si="272"/>
        <v>1.5992608487896225E-3</v>
      </c>
      <c r="AC89" s="568">
        <f t="shared" si="272"/>
        <v>6.5783806103382626E-3</v>
      </c>
      <c r="AD89" s="568">
        <f t="shared" si="272"/>
        <v>3.1103974284297847E-3</v>
      </c>
      <c r="AE89" s="568">
        <f t="shared" si="272"/>
        <v>7.1085968199555909E-4</v>
      </c>
      <c r="AF89" s="568">
        <f t="shared" ref="AF89" ca="1" si="278">AF32/AF$10</f>
        <v>-8.4236376602555511E-3</v>
      </c>
      <c r="AG89" s="333">
        <v>5.0000000000000001E-3</v>
      </c>
      <c r="AH89" s="333">
        <v>5.0000000000000001E-3</v>
      </c>
    </row>
    <row r="90" spans="1:50" s="439" customFormat="1">
      <c r="A90" s="283"/>
      <c r="B90" s="574"/>
      <c r="C90" s="576" t="s">
        <v>323</v>
      </c>
      <c r="D90" s="575"/>
      <c r="E90" s="570">
        <f t="shared" ref="E90:Q90" si="279">E33/E$10</f>
        <v>6.9344136741369536E-2</v>
      </c>
      <c r="F90" s="570">
        <f t="shared" si="279"/>
        <v>2.7685913933953209E-2</v>
      </c>
      <c r="G90" s="570">
        <f t="shared" si="279"/>
        <v>-0.21450897674191954</v>
      </c>
      <c r="H90" s="570">
        <f t="shared" si="279"/>
        <v>-0.23537943158511607</v>
      </c>
      <c r="I90" s="570">
        <f t="shared" si="279"/>
        <v>-0.16804156810840201</v>
      </c>
      <c r="J90" s="570">
        <f t="shared" si="279"/>
        <v>-0.35379214739289877</v>
      </c>
      <c r="K90" s="570">
        <f t="shared" si="279"/>
        <v>-8.5116261793328762E-2</v>
      </c>
      <c r="L90" s="570">
        <f t="shared" si="279"/>
        <v>-1.2345239947543113E-2</v>
      </c>
      <c r="M90" s="570">
        <f t="shared" si="279"/>
        <v>-0.10903779441299968</v>
      </c>
      <c r="N90" s="570">
        <f t="shared" si="279"/>
        <v>7.2573712843016405E-2</v>
      </c>
      <c r="O90" s="570">
        <f t="shared" si="279"/>
        <v>0.15625704170693466</v>
      </c>
      <c r="P90" s="570">
        <f t="shared" si="279"/>
        <v>8.6643019746942787E-2</v>
      </c>
      <c r="Q90" s="570">
        <f t="shared" si="279"/>
        <v>0.16630622427105263</v>
      </c>
      <c r="R90" s="570">
        <f t="shared" ref="R90:S90" si="280">R33/R$10</f>
        <v>9.7681929324763855E-2</v>
      </c>
      <c r="S90" s="570">
        <f t="shared" si="280"/>
        <v>-6.1768960529034855E-2</v>
      </c>
      <c r="T90" s="570">
        <f t="shared" ref="T90:U90" ca="1" si="281">T33/T$10</f>
        <v>6.2968045904970057E-2</v>
      </c>
      <c r="U90" s="570">
        <f t="shared" ca="1" si="281"/>
        <v>5.8718813505702336E-2</v>
      </c>
      <c r="V90" s="570">
        <f t="shared" ref="V90:X90" ca="1" si="282">V33/V$10</f>
        <v>0.19371669128069094</v>
      </c>
      <c r="W90" s="570">
        <f t="shared" ca="1" si="282"/>
        <v>9.9989774035665502E-2</v>
      </c>
      <c r="X90" s="570">
        <f t="shared" ca="1" si="282"/>
        <v>0.26509988505115312</v>
      </c>
      <c r="Y90" s="283"/>
      <c r="Z90" s="570">
        <f t="shared" si="272"/>
        <v>0.14182987412474823</v>
      </c>
      <c r="AA90" s="570">
        <f t="shared" si="272"/>
        <v>6.7585132620829963E-2</v>
      </c>
      <c r="AB90" s="570">
        <f t="shared" si="272"/>
        <v>-8.6721550524829272E-2</v>
      </c>
      <c r="AC90" s="570">
        <f t="shared" si="272"/>
        <v>-0.13314351237103927</v>
      </c>
      <c r="AD90" s="570">
        <f t="shared" si="272"/>
        <v>6.4627467757811044E-2</v>
      </c>
      <c r="AE90" s="570">
        <f t="shared" ca="1" si="272"/>
        <v>6.9422754692726518E-2</v>
      </c>
      <c r="AF90" s="570">
        <f t="shared" ref="AF90" ca="1" si="283">AF33/AF$10</f>
        <v>0.16045562210299424</v>
      </c>
      <c r="AG90" s="570">
        <f ca="1">AG33/AG$10</f>
        <v>0.15515851860005206</v>
      </c>
      <c r="AH90" s="570">
        <f ca="1">AH33/AH$10</f>
        <v>0.15919489528862588</v>
      </c>
    </row>
    <row r="91" spans="1:50" s="439" customFormat="1">
      <c r="A91" s="283"/>
      <c r="B91" s="574"/>
      <c r="C91" s="574"/>
      <c r="D91" s="575"/>
      <c r="E91" s="568"/>
      <c r="F91" s="568"/>
      <c r="G91" s="568"/>
      <c r="H91" s="568"/>
      <c r="I91" s="568"/>
      <c r="J91" s="568"/>
      <c r="K91" s="568"/>
      <c r="L91" s="568"/>
      <c r="M91" s="568"/>
      <c r="N91" s="568"/>
      <c r="O91" s="568"/>
      <c r="P91" s="568"/>
      <c r="Q91" s="568"/>
      <c r="R91" s="568"/>
      <c r="S91" s="568"/>
      <c r="T91" s="568"/>
      <c r="U91" s="568"/>
      <c r="V91" s="568"/>
      <c r="W91" s="568"/>
      <c r="X91" s="568"/>
      <c r="Y91" s="283"/>
      <c r="Z91" s="568"/>
      <c r="AA91" s="568"/>
      <c r="AB91" s="568"/>
      <c r="AC91" s="568"/>
      <c r="AD91" s="568"/>
      <c r="AE91" s="568"/>
      <c r="AF91" s="568"/>
      <c r="AG91" s="568"/>
      <c r="AH91" s="568"/>
    </row>
    <row r="92" spans="1:50" s="439" customFormat="1">
      <c r="A92" s="283"/>
      <c r="B92" s="574"/>
      <c r="C92" s="574" t="s">
        <v>541</v>
      </c>
      <c r="D92" s="575"/>
      <c r="E92" s="568">
        <f t="shared" ref="E92:Q92" si="284">E35/E$10</f>
        <v>5.4971404848649695E-3</v>
      </c>
      <c r="F92" s="568">
        <f t="shared" si="284"/>
        <v>2.8996529923468171E-3</v>
      </c>
      <c r="G92" s="568">
        <f t="shared" si="284"/>
        <v>-1.8649625127915962E-2</v>
      </c>
      <c r="H92" s="568">
        <f t="shared" si="284"/>
        <v>-3.3731321418107238E-2</v>
      </c>
      <c r="I92" s="568">
        <f t="shared" si="284"/>
        <v>-4.7281757602364083E-2</v>
      </c>
      <c r="J92" s="568">
        <f t="shared" si="284"/>
        <v>-8.3318427093581379E-2</v>
      </c>
      <c r="K92" s="568">
        <f t="shared" si="284"/>
        <v>-1.2913849887328828E-2</v>
      </c>
      <c r="L92" s="568">
        <f t="shared" si="284"/>
        <v>-1.8191113383271468E-2</v>
      </c>
      <c r="M92" s="568">
        <f t="shared" si="284"/>
        <v>-2.9578236260726673E-3</v>
      </c>
      <c r="N92" s="568">
        <f t="shared" si="284"/>
        <v>1.5905743740795286E-2</v>
      </c>
      <c r="O92" s="568">
        <f t="shared" si="284"/>
        <v>2.5943526136312428E-2</v>
      </c>
      <c r="P92" s="568">
        <f t="shared" si="284"/>
        <v>4.113505214675209E-3</v>
      </c>
      <c r="Q92" s="568">
        <f t="shared" si="284"/>
        <v>8.826096029442454E-3</v>
      </c>
      <c r="R92" s="568">
        <f t="shared" ref="R92:S92" si="285">R35/R$10</f>
        <v>-1.8964781657285202E-2</v>
      </c>
      <c r="S92" s="568">
        <f t="shared" si="285"/>
        <v>-2.3419094854308743E-2</v>
      </c>
      <c r="T92" s="568">
        <f t="shared" ref="T92:U92" si="286">T35/T$10</f>
        <v>-0.13856320038038014</v>
      </c>
      <c r="U92" s="568">
        <f t="shared" si="286"/>
        <v>3.0193191384404208E-2</v>
      </c>
      <c r="V92" s="568">
        <f t="shared" ref="V92:X92" ca="1" si="287">V35/V$10</f>
        <v>4.0680505168945093E-2</v>
      </c>
      <c r="W92" s="568">
        <f t="shared" ca="1" si="287"/>
        <v>2.0997852547489756E-2</v>
      </c>
      <c r="X92" s="568">
        <f t="shared" ca="1" si="287"/>
        <v>5.5670975860742156E-2</v>
      </c>
      <c r="Y92" s="283"/>
      <c r="Z92" s="568">
        <f t="shared" ref="Z92:AG92" si="288">Z35/Z$10</f>
        <v>5.963709658692451E-2</v>
      </c>
      <c r="AA92" s="568">
        <f t="shared" si="288"/>
        <v>8.7023495305265895E-3</v>
      </c>
      <c r="AB92" s="568">
        <f t="shared" si="288"/>
        <v>-1.0736382919823605E-2</v>
      </c>
      <c r="AC92" s="568">
        <f t="shared" si="288"/>
        <v>-3.6498204275873136E-2</v>
      </c>
      <c r="AD92" s="568">
        <f t="shared" si="288"/>
        <v>1.1850440760081692E-2</v>
      </c>
      <c r="AE92" s="568">
        <f t="shared" si="288"/>
        <v>-4.0188340662783775E-2</v>
      </c>
      <c r="AF92" s="568">
        <f t="shared" ref="AF92" ca="1" si="289">AF35/AF$10</f>
        <v>3.7736385662136759E-2</v>
      </c>
      <c r="AG92" s="568">
        <f t="shared" ca="1" si="288"/>
        <v>3.2583288906010928E-2</v>
      </c>
      <c r="AH92" s="568">
        <f t="shared" ref="AH92" ca="1" si="290">AH35/AH$10</f>
        <v>3.3430928010611434E-2</v>
      </c>
    </row>
    <row r="93" spans="1:50" s="439" customFormat="1">
      <c r="A93" s="283"/>
      <c r="B93" s="574"/>
      <c r="C93" s="576" t="s">
        <v>616</v>
      </c>
      <c r="D93" s="575"/>
      <c r="E93" s="570">
        <f t="shared" ref="E93:Q93" si="291">E37/E$10</f>
        <v>6.3846996256504571E-2</v>
      </c>
      <c r="F93" s="570">
        <f t="shared" si="291"/>
        <v>2.4786260941606391E-2</v>
      </c>
      <c r="G93" s="570">
        <f t="shared" si="291"/>
        <v>-0.19585935161400359</v>
      </c>
      <c r="H93" s="570">
        <f t="shared" si="291"/>
        <v>-0.20164811016700884</v>
      </c>
      <c r="I93" s="570">
        <f t="shared" si="291"/>
        <v>-0.12075981050603793</v>
      </c>
      <c r="J93" s="570">
        <f t="shared" si="291"/>
        <v>-0.27047372029931738</v>
      </c>
      <c r="K93" s="570">
        <f t="shared" si="291"/>
        <v>-7.2202411905999936E-2</v>
      </c>
      <c r="L93" s="570">
        <f t="shared" si="291"/>
        <v>5.8458734357283576E-3</v>
      </c>
      <c r="M93" s="570">
        <f t="shared" si="291"/>
        <v>-0.10607997078692702</v>
      </c>
      <c r="N93" s="570">
        <f t="shared" si="291"/>
        <v>5.6667969102221112E-2</v>
      </c>
      <c r="O93" s="570">
        <f t="shared" si="291"/>
        <v>0.13031351557062223</v>
      </c>
      <c r="P93" s="570">
        <f t="shared" si="291"/>
        <v>8.2529514532267575E-2</v>
      </c>
      <c r="Q93" s="570">
        <f t="shared" si="291"/>
        <v>0.15748012824161017</v>
      </c>
      <c r="R93" s="570">
        <f t="shared" ref="R93:S93" si="292">R37/R$10</f>
        <v>0.11664671098204905</v>
      </c>
      <c r="S93" s="570">
        <f t="shared" si="292"/>
        <v>-3.8349865674726112E-2</v>
      </c>
      <c r="T93" s="570">
        <f t="shared" ref="T93:U93" ca="1" si="293">T37/T$10</f>
        <v>0.20153124628535019</v>
      </c>
      <c r="U93" s="570">
        <f t="shared" ca="1" si="293"/>
        <v>2.8525622121298125E-2</v>
      </c>
      <c r="V93" s="570">
        <f t="shared" ref="V93:X93" ca="1" si="294">V37/V$10</f>
        <v>0.15303618611174585</v>
      </c>
      <c r="W93" s="570">
        <f t="shared" ca="1" si="294"/>
        <v>7.8991921488175743E-2</v>
      </c>
      <c r="X93" s="570">
        <f t="shared" ca="1" si="294"/>
        <v>0.20942890919041096</v>
      </c>
      <c r="Y93" s="283"/>
      <c r="Z93" s="570">
        <f t="shared" ref="Z93:AG93" si="295">Z37/Z$10</f>
        <v>8.2192777537823725E-2</v>
      </c>
      <c r="AA93" s="570">
        <f t="shared" si="295"/>
        <v>5.888278309030337E-2</v>
      </c>
      <c r="AB93" s="570">
        <f t="shared" si="295"/>
        <v>-7.5985167605005663E-2</v>
      </c>
      <c r="AC93" s="570">
        <f t="shared" si="295"/>
        <v>-9.6645308095166138E-2</v>
      </c>
      <c r="AD93" s="570">
        <f t="shared" si="295"/>
        <v>5.2777026997729348E-2</v>
      </c>
      <c r="AE93" s="570">
        <f t="shared" ca="1" si="295"/>
        <v>0.10961109535551029</v>
      </c>
      <c r="AF93" s="570">
        <f t="shared" ref="AF93" ca="1" si="296">AF37/AF$10</f>
        <v>0.12271923644085748</v>
      </c>
      <c r="AG93" s="570">
        <f t="shared" ca="1" si="295"/>
        <v>0.12257522969404112</v>
      </c>
      <c r="AH93" s="570">
        <f t="shared" ref="AH93" ca="1" si="297">AH37/AH$10</f>
        <v>0.12576396727801442</v>
      </c>
    </row>
    <row r="94" spans="1:50">
      <c r="Y94" s="283"/>
      <c r="AI94" s="439"/>
      <c r="AJ94" s="439"/>
      <c r="AK94" s="439"/>
      <c r="AL94" s="439"/>
      <c r="AM94" s="439"/>
      <c r="AN94" s="439"/>
      <c r="AO94" s="439"/>
      <c r="AP94" s="439"/>
      <c r="AQ94" s="439"/>
      <c r="AR94" s="439"/>
      <c r="AS94" s="439"/>
      <c r="AT94" s="439"/>
      <c r="AU94" s="439"/>
      <c r="AV94" s="439"/>
      <c r="AW94" s="439"/>
      <c r="AX94" s="439"/>
    </row>
    <row r="95" spans="1:50" s="283" customFormat="1">
      <c r="B95" s="286" t="s">
        <v>137</v>
      </c>
      <c r="C95" s="287" t="s">
        <v>522</v>
      </c>
      <c r="D95" s="485"/>
      <c r="E95" s="286"/>
      <c r="F95" s="286"/>
      <c r="G95" s="286"/>
      <c r="H95" s="286"/>
      <c r="I95" s="286"/>
      <c r="J95" s="286"/>
      <c r="K95" s="286"/>
      <c r="L95" s="286"/>
      <c r="M95" s="286"/>
      <c r="N95" s="286"/>
      <c r="O95" s="286"/>
      <c r="P95" s="286"/>
      <c r="Q95" s="286"/>
      <c r="R95" s="286"/>
      <c r="S95" s="286"/>
      <c r="T95" s="286"/>
      <c r="U95" s="286"/>
      <c r="V95" s="286"/>
      <c r="W95" s="286"/>
      <c r="X95" s="286"/>
      <c r="Z95" s="286"/>
      <c r="AA95" s="286"/>
      <c r="AB95" s="286"/>
      <c r="AC95" s="286"/>
      <c r="AD95" s="286"/>
      <c r="AE95" s="286"/>
      <c r="AF95" s="286"/>
      <c r="AG95" s="286"/>
      <c r="AH95" s="286"/>
      <c r="AI95" s="439"/>
      <c r="AJ95" s="439"/>
      <c r="AK95" s="439"/>
      <c r="AL95" s="439"/>
      <c r="AM95" s="439"/>
      <c r="AN95" s="439"/>
      <c r="AO95" s="439"/>
      <c r="AP95" s="439"/>
      <c r="AQ95" s="439"/>
      <c r="AR95" s="439"/>
      <c r="AS95" s="439"/>
      <c r="AT95" s="439"/>
      <c r="AU95" s="439"/>
      <c r="AV95" s="439"/>
      <c r="AW95" s="439"/>
      <c r="AX95" s="439"/>
    </row>
    <row r="96" spans="1:50" s="281" customFormat="1">
      <c r="A96" s="283"/>
      <c r="C96" s="320"/>
      <c r="D96" s="293"/>
      <c r="E96" s="423"/>
      <c r="F96" s="423"/>
      <c r="G96" s="423"/>
      <c r="H96" s="423"/>
      <c r="I96" s="423"/>
      <c r="J96" s="423"/>
      <c r="K96" s="423"/>
      <c r="L96" s="423"/>
      <c r="M96" s="423"/>
      <c r="N96" s="423"/>
      <c r="O96" s="423"/>
      <c r="P96" s="423"/>
      <c r="Q96" s="423"/>
      <c r="R96" s="313"/>
      <c r="S96" s="313"/>
      <c r="T96" s="313"/>
      <c r="U96" s="313"/>
      <c r="V96" s="313"/>
      <c r="W96" s="313"/>
      <c r="X96" s="313"/>
      <c r="Y96" s="283"/>
      <c r="Z96" s="313"/>
      <c r="AA96" s="313"/>
      <c r="AB96" s="313"/>
      <c r="AC96" s="313"/>
      <c r="AD96" s="313"/>
      <c r="AE96" s="313"/>
      <c r="AI96" s="439"/>
      <c r="AJ96" s="439"/>
      <c r="AK96" s="439"/>
      <c r="AL96" s="439"/>
      <c r="AM96" s="439"/>
      <c r="AN96" s="439"/>
      <c r="AO96" s="439"/>
      <c r="AP96" s="439"/>
      <c r="AQ96" s="439"/>
      <c r="AR96" s="439"/>
      <c r="AS96" s="439"/>
      <c r="AT96" s="439"/>
      <c r="AU96" s="439"/>
      <c r="AV96" s="439"/>
      <c r="AW96" s="439"/>
      <c r="AX96" s="439"/>
    </row>
    <row r="97" spans="1:50" s="281" customFormat="1">
      <c r="A97" s="283"/>
      <c r="C97" s="414" t="s">
        <v>311</v>
      </c>
      <c r="D97" s="293"/>
      <c r="E97" s="282">
        <f t="shared" ref="E97:T97" si="298">E199+E287+E375+E511+E599</f>
        <v>72.869</v>
      </c>
      <c r="F97" s="282">
        <f t="shared" si="298"/>
        <v>80.44</v>
      </c>
      <c r="G97" s="282">
        <f t="shared" si="298"/>
        <v>93.609000000000009</v>
      </c>
      <c r="H97" s="282">
        <f t="shared" si="298"/>
        <v>102.19200000000001</v>
      </c>
      <c r="I97" s="282">
        <f t="shared" si="298"/>
        <v>110.38600000000001</v>
      </c>
      <c r="J97" s="282">
        <f t="shared" si="298"/>
        <v>104.938</v>
      </c>
      <c r="K97" s="282">
        <f t="shared" si="298"/>
        <v>95.877999999999986</v>
      </c>
      <c r="L97" s="282">
        <f t="shared" si="298"/>
        <v>139.14700000000002</v>
      </c>
      <c r="M97" s="282">
        <f t="shared" si="298"/>
        <v>85.72</v>
      </c>
      <c r="N97" s="282">
        <f t="shared" si="298"/>
        <v>91.557999999999993</v>
      </c>
      <c r="O97" s="282">
        <f t="shared" si="298"/>
        <v>103.02500000000001</v>
      </c>
      <c r="P97" s="282">
        <f t="shared" si="298"/>
        <v>102.35999999999997</v>
      </c>
      <c r="Q97" s="282">
        <f t="shared" ref="Q97:R97" si="299">Q199+Q287+Q375+Q511+Q599</f>
        <v>96.709000000000003</v>
      </c>
      <c r="R97" s="282">
        <f t="shared" si="299"/>
        <v>110.32000000000001</v>
      </c>
      <c r="S97" s="282">
        <f t="shared" si="298"/>
        <v>112.54199999999999</v>
      </c>
      <c r="T97" s="282">
        <f t="shared" si="298"/>
        <v>98.961999999999989</v>
      </c>
      <c r="U97" s="282">
        <f t="shared" ref="U97" si="300">U199+U287+U375+U511+U599</f>
        <v>105.77200000000001</v>
      </c>
      <c r="V97" s="282">
        <f t="shared" ref="V97:X97" ca="1" si="301">V100-SUM(V98:V99)</f>
        <v>101.7010419640813</v>
      </c>
      <c r="W97" s="282">
        <f t="shared" ca="1" si="301"/>
        <v>101.0947013502539</v>
      </c>
      <c r="X97" s="282">
        <f t="shared" ca="1" si="301"/>
        <v>101.1322566856648</v>
      </c>
      <c r="Y97" s="283"/>
      <c r="Z97" s="282">
        <f>Z199+Z287+Z375+Z511+Z599</f>
        <v>338.32499999999999</v>
      </c>
      <c r="AA97" s="282">
        <f>AA199+AA287+AA375+AA511+AA599</f>
        <v>304.72699999999998</v>
      </c>
      <c r="AB97" s="282">
        <f t="shared" ref="AB97:AF99" si="302">SUMIF($E$5:$X$5,AB$5,$E97:$X97)</f>
        <v>349.11</v>
      </c>
      <c r="AC97" s="282">
        <f t="shared" si="302"/>
        <v>450.34900000000005</v>
      </c>
      <c r="AD97" s="282">
        <f t="shared" si="302"/>
        <v>382.66299999999995</v>
      </c>
      <c r="AE97" s="282">
        <f t="shared" si="302"/>
        <v>418.53299999999996</v>
      </c>
      <c r="AF97" s="282">
        <f t="shared" ca="1" si="302"/>
        <v>409.7</v>
      </c>
      <c r="AG97" s="282">
        <f>AG100-SUM(AG98:AG99)</f>
        <v>432.2</v>
      </c>
      <c r="AH97" s="282">
        <f>AH100-SUM(AH98:AH99)</f>
        <v>466.2</v>
      </c>
      <c r="AI97" s="439"/>
      <c r="AJ97" s="439"/>
      <c r="AK97" s="439"/>
      <c r="AL97" s="439"/>
      <c r="AM97" s="439"/>
      <c r="AN97" s="439"/>
      <c r="AO97" s="439"/>
      <c r="AP97" s="439"/>
      <c r="AQ97" s="439"/>
      <c r="AR97" s="439"/>
      <c r="AS97" s="439"/>
      <c r="AT97" s="439"/>
      <c r="AU97" s="439"/>
      <c r="AV97" s="439"/>
      <c r="AW97" s="439"/>
      <c r="AX97" s="439"/>
    </row>
    <row r="98" spans="1:50" s="281" customFormat="1">
      <c r="A98" s="283"/>
      <c r="C98" s="430" t="s">
        <v>524</v>
      </c>
      <c r="D98" s="293"/>
      <c r="E98" s="317">
        <f>Financials!E66</f>
        <v>-2.6470000000000002</v>
      </c>
      <c r="F98" s="317">
        <f>Financials!F66</f>
        <v>0</v>
      </c>
      <c r="G98" s="317">
        <f>Financials!G66</f>
        <v>37.713000000000001</v>
      </c>
      <c r="H98" s="317">
        <f>Financials!H66</f>
        <v>0</v>
      </c>
      <c r="I98" s="317">
        <f>Financials!I66</f>
        <v>0</v>
      </c>
      <c r="J98" s="317">
        <f>Financials!J66</f>
        <v>-0.40299999999999958</v>
      </c>
      <c r="K98" s="317">
        <f>Financials!K66</f>
        <v>7.2070000000000007</v>
      </c>
      <c r="L98" s="317">
        <f>Financials!L66</f>
        <v>-1.4630000000000001</v>
      </c>
      <c r="M98" s="317">
        <f>Financials!M66</f>
        <v>-2.5439999999999996</v>
      </c>
      <c r="N98" s="317">
        <f>Financials!N66</f>
        <v>-1.4080000000000013</v>
      </c>
      <c r="O98" s="317">
        <f>Financials!O66</f>
        <v>-6.0720000000000001</v>
      </c>
      <c r="P98" s="317">
        <f>Financials!P66</f>
        <v>-8.2039999999999988</v>
      </c>
      <c r="Q98" s="317">
        <f>Financials!Q66</f>
        <v>-10.488999999999999</v>
      </c>
      <c r="R98" s="317">
        <f>Financials!R66</f>
        <v>-4.2349999999999994</v>
      </c>
      <c r="S98" s="317">
        <f>Financials!S66</f>
        <v>-3.9050000000000011</v>
      </c>
      <c r="T98" s="317">
        <f>Financials!T66</f>
        <v>-2.1229999999999976</v>
      </c>
      <c r="U98" s="317">
        <f>Financials!U66</f>
        <v>0.20100000000000001</v>
      </c>
      <c r="V98" s="317">
        <f ca="1">Financials!V66</f>
        <v>0</v>
      </c>
      <c r="W98" s="317">
        <f ca="1">Financials!W66</f>
        <v>0</v>
      </c>
      <c r="X98" s="317">
        <f ca="1">Financials!X66</f>
        <v>0</v>
      </c>
      <c r="Y98" s="283"/>
      <c r="Z98" s="317">
        <f>Financials!Z66</f>
        <v>0</v>
      </c>
      <c r="AA98" s="317">
        <f>Financials!AA66</f>
        <v>-3.1870000000000012</v>
      </c>
      <c r="AB98" s="282">
        <f t="shared" si="302"/>
        <v>35.066000000000003</v>
      </c>
      <c r="AC98" s="282">
        <f t="shared" si="302"/>
        <v>5.3410000000000011</v>
      </c>
      <c r="AD98" s="282">
        <f t="shared" si="302"/>
        <v>-18.228000000000002</v>
      </c>
      <c r="AE98" s="282">
        <f t="shared" si="302"/>
        <v>-20.751999999999995</v>
      </c>
      <c r="AF98" s="282">
        <f t="shared" ca="1" si="302"/>
        <v>0.20100000000000001</v>
      </c>
      <c r="AG98" s="317">
        <f>Financials!AG66</f>
        <v>0</v>
      </c>
      <c r="AH98" s="317">
        <f>Financials!AH66</f>
        <v>0</v>
      </c>
      <c r="AI98" s="439"/>
      <c r="AJ98" s="439"/>
      <c r="AK98" s="439"/>
      <c r="AL98" s="439"/>
      <c r="AM98" s="439"/>
      <c r="AN98" s="439"/>
      <c r="AO98" s="439"/>
      <c r="AP98" s="439"/>
      <c r="AQ98" s="439"/>
      <c r="AR98" s="439"/>
      <c r="AS98" s="439"/>
      <c r="AT98" s="439"/>
      <c r="AU98" s="439"/>
      <c r="AV98" s="439"/>
      <c r="AW98" s="439"/>
      <c r="AX98" s="439"/>
    </row>
    <row r="99" spans="1:50" s="281" customFormat="1">
      <c r="A99" s="283"/>
      <c r="C99" s="430" t="s">
        <v>527</v>
      </c>
      <c r="D99" s="293"/>
      <c r="E99" s="317">
        <f>Financials!E67</f>
        <v>0</v>
      </c>
      <c r="F99" s="317">
        <f>Financials!F67</f>
        <v>0</v>
      </c>
      <c r="G99" s="317">
        <f>Financials!G67</f>
        <v>0</v>
      </c>
      <c r="H99" s="317">
        <f>Financials!H67</f>
        <v>0</v>
      </c>
      <c r="I99" s="317">
        <f>Financials!I67</f>
        <v>0</v>
      </c>
      <c r="J99" s="317">
        <f>Financials!J67</f>
        <v>0</v>
      </c>
      <c r="K99" s="317">
        <f>Financials!K67</f>
        <v>10.912000000000001</v>
      </c>
      <c r="L99" s="317">
        <f>Financials!L67</f>
        <v>-10.912000000000001</v>
      </c>
      <c r="M99" s="317">
        <f>Financials!M67</f>
        <v>0</v>
      </c>
      <c r="N99" s="317">
        <f>Financials!N67</f>
        <v>0</v>
      </c>
      <c r="O99" s="317">
        <f>Financials!O67</f>
        <v>0</v>
      </c>
      <c r="P99" s="317">
        <f>Financials!P67</f>
        <v>0</v>
      </c>
      <c r="Q99" s="317">
        <f>Financials!Q67</f>
        <v>0</v>
      </c>
      <c r="R99" s="317">
        <f>Financials!R67</f>
        <v>0</v>
      </c>
      <c r="S99" s="317">
        <f>Financials!S67</f>
        <v>0</v>
      </c>
      <c r="T99" s="317">
        <f ca="1">Financials!T67</f>
        <v>0</v>
      </c>
      <c r="U99" s="317">
        <f ca="1">Financials!U67</f>
        <v>0</v>
      </c>
      <c r="V99" s="317">
        <f ca="1">Financials!V67</f>
        <v>0</v>
      </c>
      <c r="W99" s="317">
        <f ca="1">Financials!W67</f>
        <v>0</v>
      </c>
      <c r="X99" s="317">
        <f ca="1">Financials!X67</f>
        <v>0</v>
      </c>
      <c r="Y99" s="283"/>
      <c r="Z99" s="317">
        <f>Financials!Z67</f>
        <v>0</v>
      </c>
      <c r="AA99" s="317">
        <f>Financials!AA67</f>
        <v>0</v>
      </c>
      <c r="AB99" s="282">
        <f t="shared" si="302"/>
        <v>0</v>
      </c>
      <c r="AC99" s="282">
        <f t="shared" si="302"/>
        <v>0</v>
      </c>
      <c r="AD99" s="282">
        <f t="shared" si="302"/>
        <v>0</v>
      </c>
      <c r="AE99" s="282">
        <f t="shared" ca="1" si="302"/>
        <v>0</v>
      </c>
      <c r="AF99" s="282">
        <f t="shared" ca="1" si="302"/>
        <v>0</v>
      </c>
      <c r="AG99" s="317">
        <f>Financials!AG67</f>
        <v>0</v>
      </c>
      <c r="AH99" s="317">
        <f>Financials!AH67</f>
        <v>0</v>
      </c>
      <c r="AI99" s="439"/>
      <c r="AJ99" s="439"/>
      <c r="AK99" s="439"/>
      <c r="AL99" s="439"/>
      <c r="AM99" s="439"/>
      <c r="AN99" s="439"/>
      <c r="AO99" s="439"/>
      <c r="AP99" s="439"/>
      <c r="AQ99" s="439"/>
      <c r="AR99" s="439"/>
      <c r="AS99" s="439"/>
      <c r="AT99" s="439"/>
      <c r="AU99" s="439"/>
      <c r="AV99" s="439"/>
      <c r="AW99" s="439"/>
      <c r="AX99" s="439"/>
    </row>
    <row r="100" spans="1:50" s="281" customFormat="1">
      <c r="A100" s="283"/>
      <c r="C100" s="320" t="s">
        <v>530</v>
      </c>
      <c r="D100" s="293"/>
      <c r="E100" s="379">
        <f t="shared" ref="E100:P100" si="303">E97-SUM(E98:E99)</f>
        <v>75.516000000000005</v>
      </c>
      <c r="F100" s="379">
        <f t="shared" si="303"/>
        <v>80.44</v>
      </c>
      <c r="G100" s="379">
        <f t="shared" si="303"/>
        <v>55.896000000000008</v>
      </c>
      <c r="H100" s="379">
        <f t="shared" si="303"/>
        <v>102.19200000000001</v>
      </c>
      <c r="I100" s="379">
        <f t="shared" si="303"/>
        <v>110.38600000000001</v>
      </c>
      <c r="J100" s="379">
        <f t="shared" si="303"/>
        <v>105.34100000000001</v>
      </c>
      <c r="K100" s="379">
        <f t="shared" si="303"/>
        <v>77.758999999999986</v>
      </c>
      <c r="L100" s="379">
        <f t="shared" si="303"/>
        <v>151.52200000000002</v>
      </c>
      <c r="M100" s="379">
        <f t="shared" si="303"/>
        <v>88.263999999999996</v>
      </c>
      <c r="N100" s="379">
        <f t="shared" si="303"/>
        <v>92.965999999999994</v>
      </c>
      <c r="O100" s="379">
        <f t="shared" si="303"/>
        <v>109.09700000000001</v>
      </c>
      <c r="P100" s="379">
        <f t="shared" si="303"/>
        <v>110.56399999999996</v>
      </c>
      <c r="Q100" s="379">
        <f t="shared" ref="Q100:R100" si="304">Q97-SUM(Q98:Q99)</f>
        <v>107.19800000000001</v>
      </c>
      <c r="R100" s="379">
        <f t="shared" si="304"/>
        <v>114.55500000000001</v>
      </c>
      <c r="S100" s="379">
        <f t="shared" ref="S100:T100" si="305">S97-SUM(S98:S99)</f>
        <v>116.44699999999999</v>
      </c>
      <c r="T100" s="379">
        <f t="shared" ca="1" si="305"/>
        <v>101.08499999999998</v>
      </c>
      <c r="U100" s="379">
        <f t="shared" ref="U100" ca="1" si="306">U97-SUM(U98:U99)</f>
        <v>105.57100000000001</v>
      </c>
      <c r="V100" s="379">
        <f>V199+V287+V375+V511+V599</f>
        <v>101.7010419640813</v>
      </c>
      <c r="W100" s="379">
        <f>W199+W287+W375+W511+W599</f>
        <v>101.0947013502539</v>
      </c>
      <c r="X100" s="379">
        <f>X199+X287+X375+X511+X599</f>
        <v>101.1322566856648</v>
      </c>
      <c r="Y100" s="283"/>
      <c r="Z100" s="379">
        <f t="shared" ref="Z100:AE100" si="307">Z97-SUM(Z98:Z99)</f>
        <v>338.32499999999999</v>
      </c>
      <c r="AA100" s="379">
        <f t="shared" si="307"/>
        <v>307.91399999999999</v>
      </c>
      <c r="AB100" s="379">
        <f t="shared" si="307"/>
        <v>314.04399999999998</v>
      </c>
      <c r="AC100" s="379">
        <f t="shared" si="307"/>
        <v>445.00800000000004</v>
      </c>
      <c r="AD100" s="379">
        <f t="shared" si="307"/>
        <v>400.89099999999996</v>
      </c>
      <c r="AE100" s="379">
        <f t="shared" ca="1" si="307"/>
        <v>439.28499999999997</v>
      </c>
      <c r="AF100" s="379">
        <f t="shared" ref="AF100" ca="1" si="308">AF97-SUM(AF98:AF99)</f>
        <v>409.49899999999997</v>
      </c>
      <c r="AG100" s="379">
        <f>AG199+AG287+AG375+AG511+AG599</f>
        <v>432.2</v>
      </c>
      <c r="AH100" s="379">
        <f>AH199+AH287+AH375+AH511+AH599</f>
        <v>466.2</v>
      </c>
      <c r="AI100" s="439"/>
      <c r="AJ100" s="439"/>
      <c r="AK100" s="439"/>
      <c r="AL100" s="439"/>
      <c r="AM100" s="439"/>
      <c r="AN100" s="439"/>
      <c r="AO100" s="439"/>
      <c r="AP100" s="439"/>
      <c r="AQ100" s="439"/>
      <c r="AR100" s="439"/>
      <c r="AS100" s="439"/>
      <c r="AT100" s="439"/>
      <c r="AU100" s="439"/>
      <c r="AV100" s="439"/>
      <c r="AW100" s="439"/>
      <c r="AX100" s="439"/>
    </row>
    <row r="101" spans="1:50" s="281" customFormat="1">
      <c r="A101" s="283"/>
      <c r="C101" s="393"/>
      <c r="D101" s="29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439"/>
      <c r="AJ101" s="439"/>
      <c r="AK101" s="439"/>
      <c r="AL101" s="439"/>
      <c r="AM101" s="439"/>
      <c r="AN101" s="439"/>
      <c r="AO101" s="439"/>
      <c r="AP101" s="439"/>
      <c r="AQ101" s="439"/>
      <c r="AR101" s="439"/>
      <c r="AS101" s="439"/>
      <c r="AT101" s="439"/>
      <c r="AU101" s="439"/>
      <c r="AV101" s="439"/>
      <c r="AW101" s="439"/>
      <c r="AX101" s="439"/>
    </row>
    <row r="102" spans="1:50" s="281" customFormat="1">
      <c r="A102" s="283"/>
      <c r="C102" s="414" t="s">
        <v>523</v>
      </c>
      <c r="D102" s="293"/>
      <c r="E102" s="317">
        <f>Financials!E15</f>
        <v>7.7350000000000003</v>
      </c>
      <c r="F102" s="317">
        <f>Financials!F15</f>
        <v>9.7870000000000008</v>
      </c>
      <c r="G102" s="317">
        <f>Financials!G15</f>
        <v>10.327</v>
      </c>
      <c r="H102" s="317">
        <f>Financials!H15</f>
        <v>8.6929999999999996</v>
      </c>
      <c r="I102" s="317">
        <f>Financials!I15</f>
        <v>9.9589999999999996</v>
      </c>
      <c r="J102" s="317">
        <f>Financials!J15</f>
        <v>8.9179999999999993</v>
      </c>
      <c r="K102" s="317">
        <f>Financials!K15</f>
        <v>7.9779999999999998</v>
      </c>
      <c r="L102" s="317">
        <f>Financials!L15</f>
        <v>8.9770000000000003</v>
      </c>
      <c r="M102" s="317">
        <f>Financials!M15</f>
        <v>8.9390000000000001</v>
      </c>
      <c r="N102" s="317">
        <f>Financials!N15</f>
        <v>6.9790000000000001</v>
      </c>
      <c r="O102" s="317">
        <f>Financials!O15</f>
        <v>11.712999999999999</v>
      </c>
      <c r="P102" s="317">
        <f>Financials!P15</f>
        <v>7.93</v>
      </c>
      <c r="Q102" s="317">
        <f>Financials!Q15</f>
        <v>8.0069999999999997</v>
      </c>
      <c r="R102" s="317">
        <f>Financials!R15</f>
        <v>11.103999999999999</v>
      </c>
      <c r="S102" s="317">
        <f>Financials!S15</f>
        <v>8.8740000000000006</v>
      </c>
      <c r="T102" s="317">
        <f>Financials!T15</f>
        <v>6.585</v>
      </c>
      <c r="U102" s="317">
        <f>Financials!U15</f>
        <v>8.2940000000000005</v>
      </c>
      <c r="V102" s="283">
        <f t="shared" ref="V102:X102" si="309">V427</f>
        <v>12.417852802770769</v>
      </c>
      <c r="W102" s="283">
        <f t="shared" si="309"/>
        <v>9.9239936754131683</v>
      </c>
      <c r="X102" s="283">
        <f t="shared" si="309"/>
        <v>7.3641535218160596</v>
      </c>
      <c r="Y102" s="283"/>
      <c r="Z102" s="283">
        <f>Financials!Z15</f>
        <v>45.04</v>
      </c>
      <c r="AA102" s="283">
        <f>Financials!AA15</f>
        <v>35.610999999999997</v>
      </c>
      <c r="AB102" s="282">
        <f t="shared" ref="AB102:AF103" si="310">SUMIF($E$5:$X$5,AB$5,$E102:$X102)</f>
        <v>36.542000000000002</v>
      </c>
      <c r="AC102" s="282">
        <f t="shared" si="310"/>
        <v>35.831999999999994</v>
      </c>
      <c r="AD102" s="282">
        <f t="shared" si="310"/>
        <v>35.561</v>
      </c>
      <c r="AE102" s="282">
        <f t="shared" si="310"/>
        <v>34.57</v>
      </c>
      <c r="AF102" s="282">
        <f t="shared" si="310"/>
        <v>38</v>
      </c>
      <c r="AG102" s="283">
        <f>AG427</f>
        <v>38</v>
      </c>
      <c r="AH102" s="283">
        <f>AH427</f>
        <v>38</v>
      </c>
      <c r="AI102" s="439"/>
      <c r="AJ102" s="439"/>
      <c r="AK102" s="439"/>
      <c r="AL102" s="439"/>
      <c r="AM102" s="439"/>
      <c r="AN102" s="439"/>
      <c r="AO102" s="439"/>
      <c r="AP102" s="439"/>
      <c r="AQ102" s="439"/>
      <c r="AR102" s="439"/>
      <c r="AS102" s="439"/>
      <c r="AT102" s="439"/>
      <c r="AU102" s="439"/>
      <c r="AV102" s="439"/>
      <c r="AW102" s="439"/>
      <c r="AX102" s="439"/>
    </row>
    <row r="103" spans="1:50" s="281" customFormat="1">
      <c r="A103" s="283"/>
      <c r="C103" s="435" t="s">
        <v>535</v>
      </c>
      <c r="D103" s="293"/>
      <c r="E103" s="317">
        <f>Financials!E64</f>
        <v>1.127</v>
      </c>
      <c r="F103" s="317">
        <f>Financials!F64</f>
        <v>1.3139999999999998</v>
      </c>
      <c r="G103" s="317">
        <f>Financials!G64</f>
        <v>2.2309999999999999</v>
      </c>
      <c r="H103" s="317">
        <f>Financials!H64</f>
        <v>1.6059999999999999</v>
      </c>
      <c r="I103" s="317">
        <f>Financials!I64</f>
        <v>1.58</v>
      </c>
      <c r="J103" s="317">
        <f>Financials!J64</f>
        <v>1.972</v>
      </c>
      <c r="K103" s="317">
        <f>Financials!K64</f>
        <v>1.206</v>
      </c>
      <c r="L103" s="317">
        <f>Financials!L64</f>
        <v>0.91000000000000014</v>
      </c>
      <c r="M103" s="317">
        <f>Financials!M64</f>
        <v>1.2190000000000001</v>
      </c>
      <c r="N103" s="317">
        <f>Financials!N64</f>
        <v>1.2089999999999999</v>
      </c>
      <c r="O103" s="317">
        <f>Financials!O64</f>
        <v>2.8010000000000002</v>
      </c>
      <c r="P103" s="317">
        <f>Financials!P64</f>
        <v>1.2290000000000001</v>
      </c>
      <c r="Q103" s="317">
        <f>Financials!Q64</f>
        <v>0.5</v>
      </c>
      <c r="R103" s="317">
        <f>Financials!R64</f>
        <v>2.802</v>
      </c>
      <c r="S103" s="317">
        <f>Financials!S64</f>
        <v>1.472</v>
      </c>
      <c r="T103" s="317">
        <f>Financials!T64</f>
        <v>1.3079999999999998</v>
      </c>
      <c r="U103" s="317">
        <f>Financials!U64</f>
        <v>1.2709999999999999</v>
      </c>
      <c r="V103" s="317">
        <f ca="1">Financials!V64</f>
        <v>1.116784176813076</v>
      </c>
      <c r="W103" s="317">
        <f ca="1">Financials!W64</f>
        <v>0.96415601563238373</v>
      </c>
      <c r="X103" s="317">
        <f ca="1">Financials!X64</f>
        <v>1.1087291119179818</v>
      </c>
      <c r="Y103" s="283"/>
      <c r="Z103" s="317">
        <f>Financials!Z64</f>
        <v>5.9320000000000004</v>
      </c>
      <c r="AA103" s="317">
        <f>Financials!AA64</f>
        <v>6.3310000000000004</v>
      </c>
      <c r="AB103" s="282">
        <f t="shared" si="310"/>
        <v>6.2779999999999996</v>
      </c>
      <c r="AC103" s="282">
        <f t="shared" si="310"/>
        <v>5.6680000000000001</v>
      </c>
      <c r="AD103" s="282">
        <f t="shared" si="310"/>
        <v>6.4580000000000002</v>
      </c>
      <c r="AE103" s="282">
        <f t="shared" si="310"/>
        <v>6.0819999999999999</v>
      </c>
      <c r="AF103" s="282">
        <f t="shared" ca="1" si="310"/>
        <v>4.4606693043634422</v>
      </c>
      <c r="AG103" s="317">
        <f ca="1">Financials!AG64</f>
        <v>4.3249866001046913</v>
      </c>
      <c r="AH103" s="317">
        <f ca="1">Financials!AH64</f>
        <v>4.6472726541967475</v>
      </c>
      <c r="AI103" s="439"/>
      <c r="AJ103" s="439"/>
      <c r="AK103" s="439"/>
      <c r="AL103" s="439"/>
      <c r="AM103" s="439"/>
      <c r="AN103" s="439"/>
      <c r="AO103" s="439"/>
      <c r="AP103" s="439"/>
      <c r="AQ103" s="439"/>
      <c r="AR103" s="439"/>
      <c r="AS103" s="439"/>
      <c r="AT103" s="439"/>
      <c r="AU103" s="439"/>
      <c r="AV103" s="439"/>
      <c r="AW103" s="439"/>
      <c r="AX103" s="439"/>
    </row>
    <row r="104" spans="1:50" s="281" customFormat="1">
      <c r="A104" s="283"/>
      <c r="C104" s="320" t="s">
        <v>528</v>
      </c>
      <c r="D104" s="293"/>
      <c r="E104" s="379">
        <f>E102-E103</f>
        <v>6.6080000000000005</v>
      </c>
      <c r="F104" s="379">
        <f t="shared" ref="F104:P104" si="311">F102-F103</f>
        <v>8.4730000000000008</v>
      </c>
      <c r="G104" s="379">
        <f t="shared" si="311"/>
        <v>8.0960000000000001</v>
      </c>
      <c r="H104" s="379">
        <f t="shared" si="311"/>
        <v>7.0869999999999997</v>
      </c>
      <c r="I104" s="379">
        <f t="shared" si="311"/>
        <v>8.3789999999999996</v>
      </c>
      <c r="J104" s="379">
        <f t="shared" si="311"/>
        <v>6.9459999999999997</v>
      </c>
      <c r="K104" s="379">
        <f t="shared" si="311"/>
        <v>6.7720000000000002</v>
      </c>
      <c r="L104" s="379">
        <f t="shared" si="311"/>
        <v>8.0670000000000002</v>
      </c>
      <c r="M104" s="379">
        <f t="shared" si="311"/>
        <v>7.72</v>
      </c>
      <c r="N104" s="379">
        <f t="shared" si="311"/>
        <v>5.7700000000000005</v>
      </c>
      <c r="O104" s="379">
        <f t="shared" si="311"/>
        <v>8.911999999999999</v>
      </c>
      <c r="P104" s="379">
        <f t="shared" si="311"/>
        <v>6.7009999999999996</v>
      </c>
      <c r="Q104" s="379">
        <f t="shared" ref="Q104:R104" si="312">Q102-Q103</f>
        <v>7.5069999999999997</v>
      </c>
      <c r="R104" s="379">
        <f t="shared" si="312"/>
        <v>8.3019999999999996</v>
      </c>
      <c r="S104" s="379">
        <f t="shared" ref="S104:T104" si="313">S102-S103</f>
        <v>7.402000000000001</v>
      </c>
      <c r="T104" s="379">
        <f t="shared" si="313"/>
        <v>5.2770000000000001</v>
      </c>
      <c r="U104" s="379">
        <f t="shared" ref="U104" si="314">U102-U103</f>
        <v>7.0230000000000006</v>
      </c>
      <c r="V104" s="379">
        <f t="shared" ref="V104:X104" ca="1" si="315">V102-V103</f>
        <v>11.301068625957694</v>
      </c>
      <c r="W104" s="379">
        <f t="shared" ca="1" si="315"/>
        <v>8.9598376597807849</v>
      </c>
      <c r="X104" s="379">
        <f t="shared" ca="1" si="315"/>
        <v>6.2554244098980778</v>
      </c>
      <c r="Y104" s="283"/>
      <c r="Z104" s="379">
        <f t="shared" ref="Z104:AE104" si="316">Z102-Z103</f>
        <v>39.107999999999997</v>
      </c>
      <c r="AA104" s="379">
        <f t="shared" si="316"/>
        <v>29.279999999999998</v>
      </c>
      <c r="AB104" s="379">
        <f t="shared" si="316"/>
        <v>30.264000000000003</v>
      </c>
      <c r="AC104" s="379">
        <f t="shared" si="316"/>
        <v>30.163999999999994</v>
      </c>
      <c r="AD104" s="379">
        <f t="shared" si="316"/>
        <v>29.103000000000002</v>
      </c>
      <c r="AE104" s="379">
        <f t="shared" si="316"/>
        <v>28.488</v>
      </c>
      <c r="AF104" s="379">
        <f t="shared" ref="AF104" ca="1" si="317">AF102-AF103</f>
        <v>33.539330695636558</v>
      </c>
      <c r="AG104" s="379">
        <f ca="1">AG102-AG103</f>
        <v>33.675013399895306</v>
      </c>
      <c r="AH104" s="379">
        <f ca="1">AH102-AH103</f>
        <v>33.352727345803252</v>
      </c>
      <c r="AI104" s="439"/>
      <c r="AJ104" s="439"/>
      <c r="AK104" s="439"/>
      <c r="AL104" s="439"/>
      <c r="AM104" s="439"/>
      <c r="AN104" s="439"/>
      <c r="AO104" s="439"/>
      <c r="AP104" s="439"/>
      <c r="AQ104" s="439"/>
      <c r="AR104" s="439"/>
      <c r="AS104" s="439"/>
      <c r="AT104" s="439"/>
      <c r="AU104" s="439"/>
      <c r="AV104" s="439"/>
      <c r="AW104" s="439"/>
      <c r="AX104" s="439"/>
    </row>
    <row r="105" spans="1:50" s="281" customFormat="1">
      <c r="A105" s="283"/>
      <c r="C105" s="393"/>
      <c r="D105" s="29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439"/>
      <c r="AJ105" s="439"/>
      <c r="AK105" s="439"/>
      <c r="AL105" s="439"/>
      <c r="AM105" s="439"/>
      <c r="AN105" s="439"/>
      <c r="AO105" s="439"/>
      <c r="AP105" s="439"/>
      <c r="AQ105" s="439"/>
      <c r="AR105" s="439"/>
      <c r="AS105" s="439"/>
      <c r="AT105" s="439"/>
      <c r="AU105" s="439"/>
      <c r="AV105" s="439"/>
      <c r="AW105" s="439"/>
      <c r="AX105" s="439"/>
    </row>
    <row r="106" spans="1:50" s="281" customFormat="1">
      <c r="A106" s="283"/>
      <c r="C106" s="414" t="s">
        <v>316</v>
      </c>
      <c r="D106" s="293"/>
      <c r="E106" s="317">
        <f>Financials!E19</f>
        <v>0.51500000000000001</v>
      </c>
      <c r="F106" s="317">
        <f>Financials!F19</f>
        <v>0.67400000000000004</v>
      </c>
      <c r="G106" s="317">
        <f>Financials!G19</f>
        <v>0.44800000000000001</v>
      </c>
      <c r="H106" s="317">
        <f>Financials!H19</f>
        <v>-0.17100000000000001</v>
      </c>
      <c r="I106" s="317">
        <f>Financials!I19</f>
        <v>0.58699999999999997</v>
      </c>
      <c r="J106" s="317">
        <f>Financials!J19</f>
        <v>0.65700000000000003</v>
      </c>
      <c r="K106" s="317">
        <f>Financials!K19</f>
        <v>0.437</v>
      </c>
      <c r="L106" s="317">
        <f>Financials!L19</f>
        <v>1.3620000000000001</v>
      </c>
      <c r="M106" s="317">
        <f>Financials!M19</f>
        <v>1.024</v>
      </c>
      <c r="N106" s="317">
        <f>Financials!N19</f>
        <v>1.4390000000000001</v>
      </c>
      <c r="O106" s="317">
        <f>Financials!O19</f>
        <v>3.4969999999999999</v>
      </c>
      <c r="P106" s="317">
        <f>Financials!P19</f>
        <v>3.0129999999999999</v>
      </c>
      <c r="Q106" s="317">
        <f>Financials!Q19</f>
        <v>3.63</v>
      </c>
      <c r="R106" s="317">
        <f>Financials!R19</f>
        <v>3.6429999999999998</v>
      </c>
      <c r="S106" s="317">
        <f>Financials!S19</f>
        <v>3.3439999999999999</v>
      </c>
      <c r="T106" s="317">
        <f>Financials!T19</f>
        <v>3.375</v>
      </c>
      <c r="U106" s="317">
        <f>Financials!U19</f>
        <v>2.4630000000000001</v>
      </c>
      <c r="V106" s="283">
        <f t="shared" ref="V106:X106" ca="1" si="318">V109+SUM(V107:V108)</f>
        <v>5.3557783184087198</v>
      </c>
      <c r="W106" s="283">
        <f t="shared" ca="1" si="318"/>
        <v>4.6238171987921728</v>
      </c>
      <c r="X106" s="283">
        <f t="shared" ca="1" si="318"/>
        <v>5.3171485251019863</v>
      </c>
      <c r="Y106" s="283"/>
      <c r="Z106" s="317">
        <f>Financials!Z19</f>
        <v>3.153</v>
      </c>
      <c r="AA106" s="317">
        <f>Financials!AA19</f>
        <v>2.5129999999999999</v>
      </c>
      <c r="AB106" s="282">
        <f t="shared" ref="AB106:AF108" si="319">SUMIF($E$5:$X$5,AB$5,$E106:$X106)</f>
        <v>1.466</v>
      </c>
      <c r="AC106" s="282">
        <f t="shared" si="319"/>
        <v>3.0430000000000001</v>
      </c>
      <c r="AD106" s="282">
        <f t="shared" si="319"/>
        <v>8.972999999999999</v>
      </c>
      <c r="AE106" s="282">
        <f t="shared" si="319"/>
        <v>13.991999999999999</v>
      </c>
      <c r="AF106" s="282">
        <f t="shared" ca="1" si="319"/>
        <v>17.759744042302877</v>
      </c>
      <c r="AG106" s="283">
        <f ca="1">AG109+SUM(AG107:AG108)</f>
        <v>20.741401912006154</v>
      </c>
      <c r="AH106" s="283">
        <f ca="1">AH109+SUM(AH107:AH108)</f>
        <v>22.286993886417378</v>
      </c>
      <c r="AI106" s="439"/>
      <c r="AJ106" s="439"/>
      <c r="AK106" s="439"/>
      <c r="AL106" s="439"/>
      <c r="AM106" s="439"/>
      <c r="AN106" s="439"/>
      <c r="AO106" s="439"/>
      <c r="AP106" s="439"/>
      <c r="AQ106" s="439"/>
      <c r="AR106" s="439"/>
      <c r="AS106" s="439"/>
      <c r="AT106" s="439"/>
      <c r="AU106" s="439"/>
      <c r="AV106" s="439"/>
      <c r="AW106" s="439"/>
      <c r="AX106" s="439"/>
    </row>
    <row r="107" spans="1:50" s="281" customFormat="1">
      <c r="A107" s="283"/>
      <c r="C107" s="392" t="s">
        <v>526</v>
      </c>
      <c r="D107" s="293"/>
      <c r="E107" s="317">
        <f>Financials!E65</f>
        <v>6.0999999999999943E-2</v>
      </c>
      <c r="F107" s="317">
        <f>Financials!F65</f>
        <v>-0.10299999999999998</v>
      </c>
      <c r="G107" s="317">
        <f>Financials!G65</f>
        <v>-0.53500000000000014</v>
      </c>
      <c r="H107" s="317">
        <f>Financials!H65</f>
        <v>0.54800000000000004</v>
      </c>
      <c r="I107" s="317">
        <f>Financials!I65</f>
        <v>1.024</v>
      </c>
      <c r="J107" s="317">
        <f>Financials!J65</f>
        <v>0.56299999999999994</v>
      </c>
      <c r="K107" s="317">
        <f>Financials!K65</f>
        <v>0.18199999999999994</v>
      </c>
      <c r="L107" s="317">
        <f>Financials!L65</f>
        <v>0.45500000000000007</v>
      </c>
      <c r="M107" s="317">
        <f>Financials!M65</f>
        <v>1.032</v>
      </c>
      <c r="N107" s="317">
        <f>Financials!N65</f>
        <v>0.50800000000000001</v>
      </c>
      <c r="O107" s="317">
        <f>Financials!O65</f>
        <v>0.29099999999999993</v>
      </c>
      <c r="P107" s="317">
        <f>Financials!P65</f>
        <v>0.53299999999999992</v>
      </c>
      <c r="Q107" s="317">
        <f>Financials!Q65</f>
        <v>0.81999999999999984</v>
      </c>
      <c r="R107" s="317">
        <f>Financials!R65</f>
        <v>0.62999999999999989</v>
      </c>
      <c r="S107" s="317">
        <f>Financials!S65</f>
        <v>0.52399999999999913</v>
      </c>
      <c r="T107" s="317">
        <f>Financials!T65</f>
        <v>1.4180000000000001</v>
      </c>
      <c r="U107" s="317">
        <f>Financials!U65</f>
        <v>0.74199999999999999</v>
      </c>
      <c r="V107" s="317">
        <f ca="1">Financials!V65</f>
        <v>0.88864161115641627</v>
      </c>
      <c r="W107" s="317">
        <f ca="1">Financials!W65</f>
        <v>0.76719313626263819</v>
      </c>
      <c r="X107" s="317">
        <f ca="1">Financials!X65</f>
        <v>0.88223207743005871</v>
      </c>
      <c r="Y107" s="283"/>
      <c r="Z107" s="317">
        <f>Financials!Z65</f>
        <v>-0.90800000000000036</v>
      </c>
      <c r="AA107" s="317">
        <f>Financials!AA65</f>
        <v>-2.1929999999999996</v>
      </c>
      <c r="AB107" s="282">
        <f t="shared" si="319"/>
        <v>-2.9000000000000137E-2</v>
      </c>
      <c r="AC107" s="282">
        <f t="shared" si="319"/>
        <v>2.2240000000000002</v>
      </c>
      <c r="AD107" s="282">
        <f t="shared" si="319"/>
        <v>2.3639999999999999</v>
      </c>
      <c r="AE107" s="282">
        <f t="shared" si="319"/>
        <v>3.391999999999999</v>
      </c>
      <c r="AF107" s="282">
        <f t="shared" ca="1" si="319"/>
        <v>3.2800668248491132</v>
      </c>
      <c r="AG107" s="317">
        <f ca="1">Financials!AG65</f>
        <v>3.4414555115873879</v>
      </c>
      <c r="AH107" s="317">
        <f ca="1">Financials!AH65</f>
        <v>3.6979032696303862</v>
      </c>
      <c r="AI107" s="439"/>
      <c r="AJ107" s="439"/>
      <c r="AK107" s="439"/>
      <c r="AL107" s="439"/>
      <c r="AM107" s="439"/>
      <c r="AN107" s="439"/>
      <c r="AO107" s="439"/>
      <c r="AP107" s="439"/>
      <c r="AQ107" s="439"/>
      <c r="AR107" s="439"/>
      <c r="AS107" s="439"/>
      <c r="AT107" s="439"/>
      <c r="AU107" s="439"/>
      <c r="AV107" s="439"/>
      <c r="AW107" s="439"/>
      <c r="AX107" s="439"/>
    </row>
    <row r="108" spans="1:50" s="281" customFormat="1">
      <c r="A108" s="283"/>
      <c r="C108" s="392" t="s">
        <v>525</v>
      </c>
      <c r="D108" s="293"/>
      <c r="E108" s="317">
        <f>Financials!E68</f>
        <v>6.5000000000000002E-2</v>
      </c>
      <c r="F108" s="317">
        <f>Financials!F68</f>
        <v>2.5169999999999999</v>
      </c>
      <c r="G108" s="317">
        <f>Financials!G68</f>
        <v>0.64</v>
      </c>
      <c r="H108" s="317">
        <f>Financials!H68</f>
        <v>0.53100000000000003</v>
      </c>
      <c r="I108" s="317">
        <f>Financials!I68</f>
        <v>-0.52400000000000002</v>
      </c>
      <c r="J108" s="317">
        <f>Financials!J68</f>
        <v>1.2250000000000001</v>
      </c>
      <c r="K108" s="317">
        <f>Financials!K68</f>
        <v>-0.61899999999999999</v>
      </c>
      <c r="L108" s="317">
        <f>Financials!L68</f>
        <v>-0.85499999999999998</v>
      </c>
      <c r="M108" s="317">
        <f>Financials!M68</f>
        <v>-2.61</v>
      </c>
      <c r="N108" s="317">
        <f>Financials!N68</f>
        <v>-1.579</v>
      </c>
      <c r="O108" s="317">
        <f>Financials!O68</f>
        <v>4.3319999999999999</v>
      </c>
      <c r="P108" s="317">
        <f>Financials!P68</f>
        <v>-2.722</v>
      </c>
      <c r="Q108" s="317">
        <f>Financials!Q68</f>
        <v>-0.55200000000000005</v>
      </c>
      <c r="R108" s="317">
        <f>Financials!R68</f>
        <v>-3.077</v>
      </c>
      <c r="S108" s="317">
        <f>Financials!S68</f>
        <v>-7.1999999999999995E-2</v>
      </c>
      <c r="T108" s="317">
        <f>Financials!T68</f>
        <v>-5.6479999999999997</v>
      </c>
      <c r="U108" s="317">
        <f>Financials!U68</f>
        <v>-0.96799999999999997</v>
      </c>
      <c r="V108" s="317">
        <f>Financials!V68</f>
        <v>0</v>
      </c>
      <c r="W108" s="317">
        <f>Financials!W68</f>
        <v>0</v>
      </c>
      <c r="X108" s="317">
        <f>Financials!X68</f>
        <v>0</v>
      </c>
      <c r="Y108" s="283"/>
      <c r="Z108" s="317">
        <f>Financials!Z68</f>
        <v>0.91800000000000004</v>
      </c>
      <c r="AA108" s="317">
        <f>Financials!AA68</f>
        <v>-0.74199999999999999</v>
      </c>
      <c r="AB108" s="282">
        <f t="shared" si="319"/>
        <v>3.7530000000000001</v>
      </c>
      <c r="AC108" s="282">
        <f t="shared" si="319"/>
        <v>-0.77299999999999991</v>
      </c>
      <c r="AD108" s="282">
        <f t="shared" si="319"/>
        <v>-2.5790000000000002</v>
      </c>
      <c r="AE108" s="282">
        <f t="shared" si="319"/>
        <v>-9.3490000000000002</v>
      </c>
      <c r="AF108" s="282">
        <f t="shared" si="319"/>
        <v>-0.96799999999999997</v>
      </c>
      <c r="AG108" s="317">
        <f>Financials!AG68</f>
        <v>0</v>
      </c>
      <c r="AH108" s="317">
        <f>Financials!AH68</f>
        <v>0</v>
      </c>
      <c r="AI108" s="439"/>
      <c r="AJ108" s="439"/>
      <c r="AK108" s="439"/>
      <c r="AL108" s="439"/>
      <c r="AM108" s="439"/>
      <c r="AN108" s="439"/>
      <c r="AO108" s="439"/>
      <c r="AP108" s="439"/>
      <c r="AQ108" s="439"/>
      <c r="AR108" s="439"/>
      <c r="AS108" s="439"/>
      <c r="AT108" s="439"/>
      <c r="AU108" s="439"/>
      <c r="AV108" s="439"/>
      <c r="AW108" s="439"/>
      <c r="AX108" s="439"/>
    </row>
    <row r="109" spans="1:50" s="281" customFormat="1">
      <c r="A109" s="283"/>
      <c r="C109" s="320" t="s">
        <v>316</v>
      </c>
      <c r="D109" s="293"/>
      <c r="E109" s="379">
        <f>E106-SUM(E107:E108)</f>
        <v>0.38900000000000007</v>
      </c>
      <c r="F109" s="379">
        <f t="shared" ref="F109:P109" si="320">F106-SUM(F107:F108)</f>
        <v>-1.7399999999999998</v>
      </c>
      <c r="G109" s="379">
        <f t="shared" si="320"/>
        <v>0.34300000000000014</v>
      </c>
      <c r="H109" s="379">
        <f t="shared" si="320"/>
        <v>-1.2500000000000002</v>
      </c>
      <c r="I109" s="379">
        <f t="shared" si="320"/>
        <v>8.6999999999999966E-2</v>
      </c>
      <c r="J109" s="379">
        <f t="shared" si="320"/>
        <v>-1.131</v>
      </c>
      <c r="K109" s="379">
        <f t="shared" si="320"/>
        <v>0.87400000000000011</v>
      </c>
      <c r="L109" s="379">
        <f t="shared" si="320"/>
        <v>1.762</v>
      </c>
      <c r="M109" s="379">
        <f t="shared" si="320"/>
        <v>2.6019999999999999</v>
      </c>
      <c r="N109" s="379">
        <f t="shared" si="320"/>
        <v>2.5099999999999998</v>
      </c>
      <c r="O109" s="379">
        <f t="shared" si="320"/>
        <v>-1.1259999999999994</v>
      </c>
      <c r="P109" s="379">
        <f t="shared" si="320"/>
        <v>5.202</v>
      </c>
      <c r="Q109" s="379">
        <f t="shared" ref="Q109:R109" si="321">Q106-SUM(Q107:Q108)</f>
        <v>3.3620000000000001</v>
      </c>
      <c r="R109" s="379">
        <f t="shared" si="321"/>
        <v>6.09</v>
      </c>
      <c r="S109" s="379">
        <f t="shared" ref="S109:T109" si="322">S106-SUM(S107:S108)</f>
        <v>2.8920000000000008</v>
      </c>
      <c r="T109" s="379">
        <f t="shared" si="322"/>
        <v>7.6049999999999995</v>
      </c>
      <c r="U109" s="379">
        <f t="shared" ref="U109" si="323">U106-SUM(U107:U108)</f>
        <v>2.6890000000000001</v>
      </c>
      <c r="V109" s="379">
        <f t="shared" ref="V109:X109" ca="1" si="324">V19</f>
        <v>4.4671367072523038</v>
      </c>
      <c r="W109" s="379">
        <f t="shared" ca="1" si="324"/>
        <v>3.8566240625295349</v>
      </c>
      <c r="X109" s="379">
        <f t="shared" ca="1" si="324"/>
        <v>4.4349164476719274</v>
      </c>
      <c r="Y109" s="283"/>
      <c r="Z109" s="379">
        <f t="shared" ref="Z109:AE109" si="325">Z106-SUM(Z107:Z108)</f>
        <v>3.1430000000000002</v>
      </c>
      <c r="AA109" s="379">
        <f t="shared" si="325"/>
        <v>5.4479999999999995</v>
      </c>
      <c r="AB109" s="379">
        <f t="shared" si="325"/>
        <v>-2.258</v>
      </c>
      <c r="AC109" s="379">
        <f t="shared" si="325"/>
        <v>1.5919999999999999</v>
      </c>
      <c r="AD109" s="379">
        <f t="shared" si="325"/>
        <v>9.1879999999999988</v>
      </c>
      <c r="AE109" s="379">
        <f t="shared" si="325"/>
        <v>19.948999999999998</v>
      </c>
      <c r="AF109" s="379">
        <f t="shared" ref="AF109" ca="1" si="326">AF106-SUM(AF107:AF108)</f>
        <v>15.447677217453764</v>
      </c>
      <c r="AG109" s="379">
        <f ca="1">AG19</f>
        <v>17.299946400418765</v>
      </c>
      <c r="AH109" s="379">
        <f ca="1">AH19</f>
        <v>18.58909061678699</v>
      </c>
      <c r="AI109" s="439"/>
      <c r="AJ109" s="439"/>
      <c r="AK109" s="439"/>
      <c r="AL109" s="439"/>
      <c r="AM109" s="439"/>
      <c r="AN109" s="439"/>
      <c r="AO109" s="439"/>
      <c r="AP109" s="439"/>
      <c r="AQ109" s="439"/>
      <c r="AR109" s="439"/>
      <c r="AS109" s="439"/>
      <c r="AT109" s="439"/>
      <c r="AU109" s="439"/>
      <c r="AV109" s="439"/>
      <c r="AW109" s="439"/>
      <c r="AX109" s="439"/>
    </row>
    <row r="110" spans="1:50" s="281" customFormat="1">
      <c r="A110" s="283"/>
      <c r="C110" s="393"/>
      <c r="D110" s="29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439"/>
      <c r="AJ110" s="439"/>
      <c r="AK110" s="439"/>
      <c r="AL110" s="439"/>
      <c r="AM110" s="439"/>
      <c r="AN110" s="439"/>
      <c r="AO110" s="439"/>
      <c r="AP110" s="439"/>
      <c r="AQ110" s="439"/>
      <c r="AR110" s="439"/>
      <c r="AS110" s="439"/>
      <c r="AT110" s="439"/>
      <c r="AU110" s="439"/>
      <c r="AV110" s="439"/>
      <c r="AW110" s="439"/>
      <c r="AX110" s="439"/>
    </row>
    <row r="111" spans="1:50" s="281" customFormat="1">
      <c r="A111" s="283"/>
      <c r="C111" s="414" t="s">
        <v>322</v>
      </c>
      <c r="D111" s="293"/>
      <c r="E111" s="317">
        <f>Financials!E32</f>
        <v>9.7940000000000005</v>
      </c>
      <c r="F111" s="317">
        <f>Financials!F32</f>
        <v>10.079000000000001</v>
      </c>
      <c r="G111" s="317">
        <f>Financials!G32</f>
        <v>10.146000000000001</v>
      </c>
      <c r="H111" s="317">
        <f>Financials!H32</f>
        <v>10.925000000000001</v>
      </c>
      <c r="I111" s="317">
        <f>Financials!I32</f>
        <v>10.664999999999999</v>
      </c>
      <c r="J111" s="317">
        <f>Financials!J32</f>
        <v>11.335000000000001</v>
      </c>
      <c r="K111" s="317">
        <f>Financials!K32</f>
        <v>11.776999999999999</v>
      </c>
      <c r="L111" s="317">
        <f>Financials!L32</f>
        <v>14.67</v>
      </c>
      <c r="M111" s="317">
        <f>Financials!M32</f>
        <v>16.311</v>
      </c>
      <c r="N111" s="317">
        <f>Financials!N32</f>
        <v>11.829000000000001</v>
      </c>
      <c r="O111" s="317">
        <f>Financials!O32</f>
        <v>10.779</v>
      </c>
      <c r="P111" s="317">
        <f>Financials!P32</f>
        <v>10.65</v>
      </c>
      <c r="Q111" s="317">
        <f>Financials!Q32</f>
        <v>10.744</v>
      </c>
      <c r="R111" s="317">
        <f>Financials!R32</f>
        <v>10.271000000000001</v>
      </c>
      <c r="S111" s="317">
        <f>Financials!S32</f>
        <v>10.468999999999999</v>
      </c>
      <c r="T111" s="317">
        <f>Financials!T32</f>
        <v>10.461</v>
      </c>
      <c r="U111" s="317">
        <f>Financials!U32</f>
        <v>10.406000000000001</v>
      </c>
      <c r="V111" s="283">
        <f t="shared" ref="V111:X111" ca="1" si="327">+SUM(V112:V116)</f>
        <v>9.2381539374999999</v>
      </c>
      <c r="W111" s="283">
        <f t="shared" ca="1" si="327"/>
        <v>9.2381539374999999</v>
      </c>
      <c r="X111" s="283">
        <f t="shared" ca="1" si="327"/>
        <v>9.2381539374999999</v>
      </c>
      <c r="Y111" s="283"/>
      <c r="Z111" s="317">
        <f>Financials!Z32</f>
        <v>21.795999999999999</v>
      </c>
      <c r="AA111" s="317">
        <f>Financials!AA32</f>
        <v>38.012</v>
      </c>
      <c r="AB111" s="282">
        <f t="shared" ref="AB111:AF115" si="328">SUMIF($E$5:$X$5,AB$5,$E111:$X111)</f>
        <v>40.944000000000003</v>
      </c>
      <c r="AC111" s="282">
        <f t="shared" si="328"/>
        <v>48.447000000000003</v>
      </c>
      <c r="AD111" s="282">
        <f t="shared" si="328"/>
        <v>49.568999999999996</v>
      </c>
      <c r="AE111" s="282">
        <f t="shared" si="328"/>
        <v>41.945</v>
      </c>
      <c r="AF111" s="282">
        <f t="shared" ca="1" si="328"/>
        <v>38.120461812500004</v>
      </c>
      <c r="AG111" s="283">
        <f ca="1">+SUM(AG112:AG116)</f>
        <v>36.95261575</v>
      </c>
      <c r="AH111" s="283">
        <f ca="1">+SUM(AH112:AH116)</f>
        <v>36.95261575</v>
      </c>
      <c r="AI111" s="439"/>
      <c r="AJ111" s="439"/>
      <c r="AK111" s="439"/>
      <c r="AL111" s="439"/>
      <c r="AM111" s="439"/>
      <c r="AN111" s="439"/>
      <c r="AO111" s="439"/>
      <c r="AP111" s="439"/>
      <c r="AQ111" s="439"/>
      <c r="AR111" s="439"/>
      <c r="AS111" s="439"/>
      <c r="AT111" s="439"/>
      <c r="AU111" s="439"/>
      <c r="AV111" s="439"/>
      <c r="AW111" s="439"/>
      <c r="AX111" s="439"/>
    </row>
    <row r="112" spans="1:50" s="283" customFormat="1">
      <c r="C112" s="432" t="s">
        <v>536</v>
      </c>
      <c r="D112" s="486"/>
      <c r="E112" s="317">
        <f>Financials!E80</f>
        <v>0</v>
      </c>
      <c r="F112" s="317">
        <f>Financials!F80</f>
        <v>0</v>
      </c>
      <c r="G112" s="317">
        <f>Financials!G80</f>
        <v>0</v>
      </c>
      <c r="H112" s="317">
        <f>Financials!H80</f>
        <v>0</v>
      </c>
      <c r="I112" s="317">
        <f>Financials!I80</f>
        <v>0</v>
      </c>
      <c r="J112" s="317">
        <f>Financials!J80</f>
        <v>0</v>
      </c>
      <c r="K112" s="317">
        <f>Financials!K80</f>
        <v>0</v>
      </c>
      <c r="L112" s="317">
        <f>Financials!L80</f>
        <v>2.855</v>
      </c>
      <c r="M112" s="317">
        <f>Financials!M80</f>
        <v>0</v>
      </c>
      <c r="N112" s="317">
        <f>Financials!N80</f>
        <v>0</v>
      </c>
      <c r="O112" s="317">
        <f>Financials!O80</f>
        <v>0</v>
      </c>
      <c r="P112" s="317">
        <f>Financials!P80</f>
        <v>0</v>
      </c>
      <c r="Q112" s="317">
        <f>Financials!Q80</f>
        <v>0</v>
      </c>
      <c r="R112" s="317">
        <f>Financials!R80</f>
        <v>0</v>
      </c>
      <c r="S112" s="317">
        <f>Financials!S80</f>
        <v>0</v>
      </c>
      <c r="T112" s="317">
        <f>Financials!T80</f>
        <v>0</v>
      </c>
      <c r="U112" s="317">
        <f>Financials!U80</f>
        <v>0</v>
      </c>
      <c r="V112" s="317">
        <f>Financials!V80</f>
        <v>0</v>
      </c>
      <c r="W112" s="317">
        <f>Financials!W80</f>
        <v>0</v>
      </c>
      <c r="X112" s="317">
        <f>Financials!X80</f>
        <v>0</v>
      </c>
      <c r="Z112" s="317">
        <f>Financials!Z80</f>
        <v>0</v>
      </c>
      <c r="AA112" s="317">
        <f>Financials!AA80</f>
        <v>0</v>
      </c>
      <c r="AB112" s="282">
        <f t="shared" si="328"/>
        <v>0</v>
      </c>
      <c r="AC112" s="282">
        <f t="shared" si="328"/>
        <v>2.855</v>
      </c>
      <c r="AD112" s="282">
        <f t="shared" si="328"/>
        <v>0</v>
      </c>
      <c r="AE112" s="282">
        <f t="shared" si="328"/>
        <v>0</v>
      </c>
      <c r="AF112" s="282">
        <f t="shared" si="328"/>
        <v>0</v>
      </c>
      <c r="AG112" s="317">
        <f>Financials!AG80</f>
        <v>0</v>
      </c>
      <c r="AH112" s="317">
        <f>Financials!AH80</f>
        <v>0</v>
      </c>
      <c r="AI112" s="439"/>
      <c r="AJ112" s="439"/>
      <c r="AK112" s="439"/>
      <c r="AL112" s="439"/>
      <c r="AM112" s="439"/>
      <c r="AN112" s="439"/>
      <c r="AO112" s="439"/>
      <c r="AP112" s="439"/>
      <c r="AQ112" s="439"/>
      <c r="AR112" s="439"/>
      <c r="AS112" s="439"/>
      <c r="AT112" s="439"/>
      <c r="AU112" s="439"/>
      <c r="AV112" s="439"/>
      <c r="AW112" s="439"/>
      <c r="AX112" s="439"/>
    </row>
    <row r="113" spans="1:50" s="283" customFormat="1">
      <c r="C113" s="432" t="s">
        <v>631</v>
      </c>
      <c r="D113" s="486"/>
      <c r="E113" s="317">
        <f>Financials!E83</f>
        <v>0</v>
      </c>
      <c r="F113" s="317">
        <f>Financials!F83</f>
        <v>0</v>
      </c>
      <c r="G113" s="317">
        <f>Financials!G83</f>
        <v>0</v>
      </c>
      <c r="H113" s="317">
        <f>Financials!H83</f>
        <v>0</v>
      </c>
      <c r="I113" s="317">
        <f>Financials!I83</f>
        <v>0</v>
      </c>
      <c r="J113" s="317">
        <f>Financials!J83</f>
        <v>0</v>
      </c>
      <c r="K113" s="317">
        <f>Financials!K83</f>
        <v>0</v>
      </c>
      <c r="L113" s="317">
        <f>Financials!L83</f>
        <v>0</v>
      </c>
      <c r="M113" s="317">
        <f>Financials!M83</f>
        <v>0</v>
      </c>
      <c r="N113" s="317">
        <f>Financials!N83</f>
        <v>0</v>
      </c>
      <c r="O113" s="317">
        <f>Financials!O83</f>
        <v>0</v>
      </c>
      <c r="P113" s="317">
        <f>Financials!P83</f>
        <v>0</v>
      </c>
      <c r="Q113" s="317">
        <f>Financials!Q83</f>
        <v>0</v>
      </c>
      <c r="R113" s="317">
        <f>Financials!R83</f>
        <v>0</v>
      </c>
      <c r="S113" s="317">
        <f>Financials!S83</f>
        <v>0</v>
      </c>
      <c r="T113" s="317">
        <f>Financials!T83</f>
        <v>0</v>
      </c>
      <c r="U113" s="317">
        <f>Financials!U83</f>
        <v>0</v>
      </c>
      <c r="V113" s="317">
        <f>Financials!V83</f>
        <v>0</v>
      </c>
      <c r="W113" s="317">
        <f>Financials!W83</f>
        <v>0</v>
      </c>
      <c r="X113" s="317">
        <f>Financials!X83</f>
        <v>0</v>
      </c>
      <c r="Z113" s="317">
        <f>Financials!Z83</f>
        <v>0</v>
      </c>
      <c r="AA113" s="317">
        <f>Financials!AA83</f>
        <v>0.88700000000000001</v>
      </c>
      <c r="AB113" s="282">
        <f t="shared" si="328"/>
        <v>0</v>
      </c>
      <c r="AC113" s="282">
        <f t="shared" si="328"/>
        <v>0</v>
      </c>
      <c r="AD113" s="282">
        <f t="shared" si="328"/>
        <v>0</v>
      </c>
      <c r="AE113" s="282">
        <f t="shared" si="328"/>
        <v>0</v>
      </c>
      <c r="AF113" s="282">
        <f t="shared" si="328"/>
        <v>0</v>
      </c>
      <c r="AG113" s="317">
        <f>Financials!AG83</f>
        <v>0</v>
      </c>
      <c r="AH113" s="317">
        <f>Financials!AH83</f>
        <v>0</v>
      </c>
      <c r="AI113" s="439"/>
      <c r="AJ113" s="439"/>
      <c r="AK113" s="439"/>
      <c r="AL113" s="439"/>
      <c r="AM113" s="439"/>
      <c r="AN113" s="439"/>
      <c r="AO113" s="439"/>
      <c r="AP113" s="439"/>
      <c r="AQ113" s="439"/>
      <c r="AR113" s="439"/>
      <c r="AS113" s="439"/>
      <c r="AT113" s="439"/>
      <c r="AU113" s="439"/>
      <c r="AV113" s="439"/>
      <c r="AW113" s="439"/>
      <c r="AX113" s="439"/>
    </row>
    <row r="114" spans="1:50" s="283" customFormat="1">
      <c r="C114" s="432" t="s">
        <v>537</v>
      </c>
      <c r="D114" s="486"/>
      <c r="E114" s="317">
        <f>Financials!E87</f>
        <v>0</v>
      </c>
      <c r="F114" s="317">
        <f>Financials!F87</f>
        <v>0</v>
      </c>
      <c r="G114" s="317">
        <f>Financials!G87</f>
        <v>0</v>
      </c>
      <c r="H114" s="317">
        <f>Financials!H87</f>
        <v>0</v>
      </c>
      <c r="I114" s="317">
        <f>Financials!I87</f>
        <v>0</v>
      </c>
      <c r="J114" s="317">
        <f>Financials!J87</f>
        <v>0</v>
      </c>
      <c r="K114" s="317">
        <f>Financials!K87</f>
        <v>0</v>
      </c>
      <c r="L114" s="317">
        <f>Financials!L87</f>
        <v>0</v>
      </c>
      <c r="M114" s="317">
        <f>Financials!M87</f>
        <v>2.9020000000000001</v>
      </c>
      <c r="N114" s="317">
        <f>Financials!N87</f>
        <v>0</v>
      </c>
      <c r="O114" s="317">
        <f>Financials!O87</f>
        <v>0</v>
      </c>
      <c r="P114" s="317">
        <f>Financials!P87</f>
        <v>0</v>
      </c>
      <c r="Q114" s="317">
        <f>Financials!Q87</f>
        <v>0</v>
      </c>
      <c r="R114" s="317">
        <f>Financials!R87</f>
        <v>0</v>
      </c>
      <c r="S114" s="317">
        <f>Financials!S87</f>
        <v>0</v>
      </c>
      <c r="T114" s="317">
        <f>Financials!T87</f>
        <v>0</v>
      </c>
      <c r="U114" s="317">
        <f>Financials!U87</f>
        <v>0</v>
      </c>
      <c r="V114" s="317">
        <f>Financials!V87</f>
        <v>0</v>
      </c>
      <c r="W114" s="317">
        <f>Financials!W87</f>
        <v>0</v>
      </c>
      <c r="X114" s="317">
        <f>Financials!X87</f>
        <v>0</v>
      </c>
      <c r="Z114" s="317">
        <f>Financials!Z87</f>
        <v>0</v>
      </c>
      <c r="AA114" s="317">
        <f>Financials!AA87</f>
        <v>0</v>
      </c>
      <c r="AB114" s="282">
        <f t="shared" si="328"/>
        <v>0</v>
      </c>
      <c r="AC114" s="282">
        <f t="shared" si="328"/>
        <v>0</v>
      </c>
      <c r="AD114" s="282">
        <f t="shared" si="328"/>
        <v>2.9020000000000001</v>
      </c>
      <c r="AE114" s="282">
        <f t="shared" si="328"/>
        <v>0</v>
      </c>
      <c r="AF114" s="282">
        <f t="shared" si="328"/>
        <v>0</v>
      </c>
      <c r="AG114" s="317">
        <f>Financials!AG87</f>
        <v>0</v>
      </c>
      <c r="AH114" s="317">
        <f>Financials!AH87</f>
        <v>0</v>
      </c>
      <c r="AI114" s="439"/>
      <c r="AJ114" s="439"/>
      <c r="AK114" s="439"/>
      <c r="AL114" s="439"/>
      <c r="AM114" s="439"/>
      <c r="AN114" s="439"/>
      <c r="AO114" s="439"/>
      <c r="AP114" s="439"/>
      <c r="AQ114" s="439"/>
      <c r="AR114" s="439"/>
      <c r="AS114" s="439"/>
      <c r="AT114" s="439"/>
      <c r="AU114" s="439"/>
      <c r="AV114" s="439"/>
      <c r="AW114" s="439"/>
      <c r="AX114" s="439"/>
    </row>
    <row r="115" spans="1:50" s="283" customFormat="1">
      <c r="C115" s="432" t="s">
        <v>538</v>
      </c>
      <c r="D115" s="486"/>
      <c r="E115" s="317">
        <f>Financials!E85</f>
        <v>0</v>
      </c>
      <c r="F115" s="317">
        <f>Financials!F85</f>
        <v>0</v>
      </c>
      <c r="G115" s="317">
        <f>Financials!G85</f>
        <v>0</v>
      </c>
      <c r="H115" s="317">
        <f>Financials!H85</f>
        <v>0</v>
      </c>
      <c r="I115" s="317">
        <f>Financials!I85</f>
        <v>0</v>
      </c>
      <c r="J115" s="317">
        <f>Financials!J85</f>
        <v>0</v>
      </c>
      <c r="K115" s="317">
        <f>Financials!K85</f>
        <v>0</v>
      </c>
      <c r="L115" s="317">
        <f>Financials!L85</f>
        <v>0</v>
      </c>
      <c r="M115" s="317">
        <f>Financials!M85</f>
        <v>1.6659999999999999</v>
      </c>
      <c r="N115" s="317">
        <f>Financials!N85</f>
        <v>0</v>
      </c>
      <c r="O115" s="317">
        <f>Financials!O85</f>
        <v>0</v>
      </c>
      <c r="P115" s="317">
        <f>Financials!P85</f>
        <v>0</v>
      </c>
      <c r="Q115" s="317">
        <f>Financials!Q85</f>
        <v>0</v>
      </c>
      <c r="R115" s="317">
        <f>Financials!R85</f>
        <v>0</v>
      </c>
      <c r="S115" s="317">
        <f>Financials!S85</f>
        <v>0</v>
      </c>
      <c r="T115" s="317">
        <f>Financials!T85</f>
        <v>0</v>
      </c>
      <c r="U115" s="317">
        <f>Financials!U85</f>
        <v>0</v>
      </c>
      <c r="V115" s="317">
        <f>Financials!V85</f>
        <v>0</v>
      </c>
      <c r="W115" s="317">
        <f>Financials!W85</f>
        <v>0</v>
      </c>
      <c r="X115" s="317">
        <f>Financials!X85</f>
        <v>0</v>
      </c>
      <c r="Z115" s="317">
        <f>Financials!Z85</f>
        <v>0</v>
      </c>
      <c r="AA115" s="317">
        <f>Financials!AA85</f>
        <v>0</v>
      </c>
      <c r="AB115" s="282">
        <f t="shared" si="328"/>
        <v>0</v>
      </c>
      <c r="AC115" s="282">
        <f t="shared" si="328"/>
        <v>0</v>
      </c>
      <c r="AD115" s="282">
        <f t="shared" si="328"/>
        <v>1.6659999999999999</v>
      </c>
      <c r="AE115" s="282">
        <f t="shared" si="328"/>
        <v>0</v>
      </c>
      <c r="AF115" s="282">
        <f t="shared" si="328"/>
        <v>0</v>
      </c>
      <c r="AG115" s="317">
        <f>Financials!AG85</f>
        <v>0</v>
      </c>
      <c r="AH115" s="317">
        <f>Financials!AH85</f>
        <v>0</v>
      </c>
      <c r="AI115" s="439"/>
      <c r="AJ115" s="439"/>
      <c r="AK115" s="439"/>
      <c r="AL115" s="439"/>
      <c r="AM115" s="439"/>
      <c r="AN115" s="439"/>
      <c r="AO115" s="439"/>
      <c r="AP115" s="439"/>
      <c r="AQ115" s="439"/>
      <c r="AR115" s="439"/>
      <c r="AS115" s="439"/>
      <c r="AT115" s="439"/>
      <c r="AU115" s="439"/>
      <c r="AV115" s="439"/>
      <c r="AW115" s="439"/>
      <c r="AX115" s="439"/>
    </row>
    <row r="116" spans="1:50" s="283" customFormat="1">
      <c r="C116" s="316" t="s">
        <v>542</v>
      </c>
      <c r="D116" s="486"/>
      <c r="E116" s="379">
        <f>E111-SUM(E112:E115)</f>
        <v>9.7940000000000005</v>
      </c>
      <c r="F116" s="379">
        <f t="shared" ref="F116:P116" si="329">F111-SUM(F112:F115)</f>
        <v>10.079000000000001</v>
      </c>
      <c r="G116" s="379">
        <f t="shared" si="329"/>
        <v>10.146000000000001</v>
      </c>
      <c r="H116" s="379">
        <f t="shared" si="329"/>
        <v>10.925000000000001</v>
      </c>
      <c r="I116" s="379">
        <f t="shared" si="329"/>
        <v>10.664999999999999</v>
      </c>
      <c r="J116" s="379">
        <f t="shared" si="329"/>
        <v>11.335000000000001</v>
      </c>
      <c r="K116" s="379">
        <f t="shared" si="329"/>
        <v>11.776999999999999</v>
      </c>
      <c r="L116" s="379">
        <f t="shared" si="329"/>
        <v>11.815</v>
      </c>
      <c r="M116" s="379">
        <f t="shared" si="329"/>
        <v>11.743</v>
      </c>
      <c r="N116" s="379">
        <f t="shared" si="329"/>
        <v>11.829000000000001</v>
      </c>
      <c r="O116" s="379">
        <f t="shared" si="329"/>
        <v>10.779</v>
      </c>
      <c r="P116" s="379">
        <f t="shared" si="329"/>
        <v>10.65</v>
      </c>
      <c r="Q116" s="379">
        <f t="shared" ref="Q116:R116" si="330">Q111-SUM(Q112:Q115)</f>
        <v>10.744</v>
      </c>
      <c r="R116" s="379">
        <f t="shared" si="330"/>
        <v>10.271000000000001</v>
      </c>
      <c r="S116" s="379">
        <f t="shared" ref="S116:T116" si="331">S111-SUM(S112:S115)</f>
        <v>10.468999999999999</v>
      </c>
      <c r="T116" s="379">
        <f t="shared" si="331"/>
        <v>10.461</v>
      </c>
      <c r="U116" s="379">
        <f t="shared" ref="U116" si="332">U111-SUM(U112:U115)</f>
        <v>10.406000000000001</v>
      </c>
      <c r="V116" s="694">
        <f ca="1">+Debt!V37</f>
        <v>9.2381539374999999</v>
      </c>
      <c r="W116" s="694">
        <f ca="1">+Debt!W37</f>
        <v>9.2381539374999999</v>
      </c>
      <c r="X116" s="694">
        <f ca="1">+Debt!X37</f>
        <v>9.2381539374999999</v>
      </c>
      <c r="Z116" s="379">
        <f t="shared" ref="Z116:AE116" si="333">Z111-SUM(Z112:Z115)</f>
        <v>21.795999999999999</v>
      </c>
      <c r="AA116" s="379">
        <f t="shared" si="333"/>
        <v>37.125</v>
      </c>
      <c r="AB116" s="379">
        <f t="shared" si="333"/>
        <v>40.944000000000003</v>
      </c>
      <c r="AC116" s="379">
        <f t="shared" si="333"/>
        <v>45.592000000000006</v>
      </c>
      <c r="AD116" s="379">
        <f t="shared" si="333"/>
        <v>45.000999999999998</v>
      </c>
      <c r="AE116" s="379">
        <f t="shared" si="333"/>
        <v>41.945</v>
      </c>
      <c r="AF116" s="379">
        <f t="shared" ref="AF116" ca="1" si="334">AF111-SUM(AF112:AF115)</f>
        <v>38.120461812500004</v>
      </c>
      <c r="AG116" s="694">
        <f ca="1">+Debt!AG37</f>
        <v>36.95261575</v>
      </c>
      <c r="AH116" s="694">
        <f ca="1">+Debt!AH37</f>
        <v>36.95261575</v>
      </c>
      <c r="AI116" s="439"/>
      <c r="AJ116" s="439"/>
      <c r="AK116" s="439"/>
      <c r="AL116" s="439"/>
      <c r="AM116" s="439"/>
      <c r="AN116" s="439"/>
      <c r="AO116" s="439"/>
      <c r="AP116" s="439"/>
      <c r="AQ116" s="439"/>
      <c r="AR116" s="439"/>
      <c r="AS116" s="439"/>
      <c r="AT116" s="439"/>
      <c r="AU116" s="439"/>
      <c r="AV116" s="439"/>
      <c r="AW116" s="439"/>
      <c r="AX116" s="439"/>
    </row>
    <row r="117" spans="1:50" s="283" customFormat="1">
      <c r="C117" s="312"/>
      <c r="D117" s="486"/>
      <c r="AI117" s="439"/>
      <c r="AJ117" s="439"/>
      <c r="AK117" s="439"/>
      <c r="AL117" s="439"/>
      <c r="AM117" s="439"/>
      <c r="AN117" s="439"/>
      <c r="AO117" s="439"/>
      <c r="AP117" s="439"/>
      <c r="AQ117" s="439"/>
      <c r="AR117" s="439"/>
      <c r="AS117" s="439"/>
      <c r="AT117" s="439"/>
      <c r="AU117" s="439"/>
      <c r="AV117" s="439"/>
      <c r="AW117" s="439"/>
      <c r="AX117" s="439"/>
    </row>
    <row r="118" spans="1:50" s="283" customFormat="1">
      <c r="C118" s="471" t="s">
        <v>324</v>
      </c>
      <c r="D118" s="486"/>
      <c r="E118" s="317">
        <f>Financials!E35</f>
        <v>0.76800000000000002</v>
      </c>
      <c r="F118" s="317">
        <f>Financials!F35</f>
        <v>0.42699999999999999</v>
      </c>
      <c r="G118" s="317">
        <f>Financials!G35</f>
        <v>-2.6789999999999998</v>
      </c>
      <c r="H118" s="317">
        <f>Financials!H35</f>
        <v>-5.2169999999999996</v>
      </c>
      <c r="I118" s="317">
        <f>Financials!I35</f>
        <v>-7.2160000000000002</v>
      </c>
      <c r="J118" s="317">
        <f>Financials!J35</f>
        <v>-11.179</v>
      </c>
      <c r="K118" s="317">
        <f>Financials!K35</f>
        <v>-1.6140000000000001</v>
      </c>
      <c r="L118" s="317">
        <f>Financials!L35</f>
        <v>-4.0919999999999996</v>
      </c>
      <c r="M118" s="317">
        <f>Financials!M35</f>
        <v>-0.40500000000000003</v>
      </c>
      <c r="N118" s="317">
        <f>Financials!N35</f>
        <v>2.6459999999999999</v>
      </c>
      <c r="O118" s="317">
        <f>Financials!O35</f>
        <v>5.181</v>
      </c>
      <c r="P118" s="317">
        <f>Financials!P35</f>
        <v>0.77700000000000014</v>
      </c>
      <c r="Q118" s="317">
        <f>Financials!Q35</f>
        <v>4.7430000000000003</v>
      </c>
      <c r="R118" s="317">
        <f>Financials!R35</f>
        <v>-4.1340000000000003</v>
      </c>
      <c r="S118" s="317">
        <f>Financials!S35</f>
        <v>-4.5330000000000004</v>
      </c>
      <c r="T118" s="317">
        <f>Financials!T35</f>
        <v>-25.645</v>
      </c>
      <c r="U118" s="317">
        <f>Financials!U35</f>
        <v>5.6310000000000002</v>
      </c>
      <c r="V118" s="283">
        <f t="shared" ref="V118:X118" ca="1" si="335">V122-SUM(V119:V121)</f>
        <v>9.0862688954880859</v>
      </c>
      <c r="W118" s="283">
        <f t="shared" ca="1" si="335"/>
        <v>4.0490411698048039</v>
      </c>
      <c r="X118" s="283">
        <f t="shared" ca="1" si="335"/>
        <v>12.344806325137611</v>
      </c>
      <c r="Z118" s="317">
        <f>Financials!Z35</f>
        <v>28.09</v>
      </c>
      <c r="AA118" s="317">
        <f>Financials!AA35</f>
        <v>20.963000000000001</v>
      </c>
      <c r="AB118" s="282">
        <f t="shared" ref="AB118:AF121" si="336">SUMIF($E$5:$X$5,AB$5,$E118:$X118)</f>
        <v>-6.7009999999999996</v>
      </c>
      <c r="AC118" s="282">
        <f t="shared" si="336"/>
        <v>-24.100999999999999</v>
      </c>
      <c r="AD118" s="282">
        <f t="shared" si="336"/>
        <v>8.1989999999999998</v>
      </c>
      <c r="AE118" s="282">
        <f t="shared" si="336"/>
        <v>-29.568999999999999</v>
      </c>
      <c r="AF118" s="282">
        <f t="shared" ca="1" si="336"/>
        <v>31.111116390430503</v>
      </c>
      <c r="AG118" s="283">
        <f ca="1">AG122-SUM(AG119:AG121)</f>
        <v>28.184457581167422</v>
      </c>
      <c r="AH118" s="283">
        <f ca="1">AH122-SUM(AH119:AH121)</f>
        <v>31.072527509626916</v>
      </c>
      <c r="AI118" s="439"/>
      <c r="AJ118" s="439"/>
      <c r="AK118" s="439"/>
      <c r="AL118" s="439"/>
      <c r="AM118" s="439"/>
      <c r="AN118" s="439"/>
      <c r="AO118" s="439"/>
      <c r="AP118" s="439"/>
      <c r="AQ118" s="439"/>
      <c r="AR118" s="439"/>
      <c r="AS118" s="439"/>
      <c r="AT118" s="439"/>
      <c r="AU118" s="439"/>
      <c r="AV118" s="439"/>
      <c r="AW118" s="439"/>
      <c r="AX118" s="439"/>
    </row>
    <row r="119" spans="1:50" s="283" customFormat="1">
      <c r="C119" s="432" t="s">
        <v>539</v>
      </c>
      <c r="D119" s="486"/>
      <c r="E119" s="317">
        <f>Financials!E81</f>
        <v>0</v>
      </c>
      <c r="F119" s="317">
        <f>Financials!F81</f>
        <v>0</v>
      </c>
      <c r="G119" s="317">
        <f>Financials!G81</f>
        <v>0</v>
      </c>
      <c r="H119" s="317">
        <f>Financials!H81</f>
        <v>0.25</v>
      </c>
      <c r="I119" s="317">
        <f>Financials!I81</f>
        <v>0</v>
      </c>
      <c r="J119" s="317">
        <f>Financials!J81</f>
        <v>0</v>
      </c>
      <c r="K119" s="317">
        <f>Financials!K81</f>
        <v>0.47199999999999998</v>
      </c>
      <c r="L119" s="317">
        <f>Financials!L81</f>
        <v>0</v>
      </c>
      <c r="M119" s="317">
        <f>Financials!M81</f>
        <v>0</v>
      </c>
      <c r="N119" s="317">
        <f>Financials!N81</f>
        <v>0</v>
      </c>
      <c r="O119" s="317">
        <f>Financials!O81</f>
        <v>0</v>
      </c>
      <c r="P119" s="317">
        <f>Financials!P81</f>
        <v>0</v>
      </c>
      <c r="Q119" s="317">
        <f>Financials!Q81</f>
        <v>2.8820000000000001</v>
      </c>
      <c r="R119" s="317">
        <f>Financials!R81</f>
        <v>0</v>
      </c>
      <c r="S119" s="317">
        <f>Financials!S81</f>
        <v>0</v>
      </c>
      <c r="T119" s="317">
        <f>Financials!T81</f>
        <v>0</v>
      </c>
      <c r="U119" s="317">
        <f>Financials!U81</f>
        <v>0</v>
      </c>
      <c r="V119" s="317">
        <f>Financials!V81</f>
        <v>0</v>
      </c>
      <c r="W119" s="317">
        <f>Financials!W81</f>
        <v>0</v>
      </c>
      <c r="X119" s="317">
        <f>Financials!X81</f>
        <v>0</v>
      </c>
      <c r="Z119" s="317">
        <f>Financials!Z81</f>
        <v>1.351</v>
      </c>
      <c r="AA119" s="317">
        <f>Financials!AA81</f>
        <v>0</v>
      </c>
      <c r="AB119" s="282">
        <f t="shared" si="336"/>
        <v>0.25</v>
      </c>
      <c r="AC119" s="282">
        <f t="shared" si="336"/>
        <v>0.47199999999999998</v>
      </c>
      <c r="AD119" s="282">
        <f t="shared" si="336"/>
        <v>0</v>
      </c>
      <c r="AE119" s="282">
        <f t="shared" si="336"/>
        <v>2.8820000000000001</v>
      </c>
      <c r="AF119" s="282">
        <f t="shared" si="336"/>
        <v>0</v>
      </c>
      <c r="AG119" s="317">
        <f>Financials!AG81</f>
        <v>0</v>
      </c>
      <c r="AH119" s="317">
        <f>Financials!AH81</f>
        <v>0</v>
      </c>
      <c r="AI119" s="439"/>
      <c r="AJ119" s="439"/>
      <c r="AK119" s="439"/>
      <c r="AL119" s="439"/>
      <c r="AM119" s="439"/>
      <c r="AN119" s="439"/>
      <c r="AO119" s="439"/>
      <c r="AP119" s="439"/>
      <c r="AQ119" s="439"/>
      <c r="AR119" s="439"/>
      <c r="AS119" s="439"/>
      <c r="AT119" s="439"/>
      <c r="AU119" s="439"/>
      <c r="AV119" s="439"/>
      <c r="AW119" s="439"/>
      <c r="AX119" s="439"/>
    </row>
    <row r="120" spans="1:50" s="283" customFormat="1">
      <c r="C120" s="432" t="s">
        <v>632</v>
      </c>
      <c r="D120" s="486"/>
      <c r="E120" s="317">
        <f>Financials!E86</f>
        <v>0</v>
      </c>
      <c r="F120" s="317">
        <f>Financials!F86</f>
        <v>0</v>
      </c>
      <c r="G120" s="317">
        <f>Financials!G86</f>
        <v>0</v>
      </c>
      <c r="H120" s="317">
        <f>Financials!H86</f>
        <v>0</v>
      </c>
      <c r="I120" s="317">
        <f>Financials!I86</f>
        <v>0</v>
      </c>
      <c r="J120" s="317">
        <f>Financials!J86</f>
        <v>0</v>
      </c>
      <c r="K120" s="317">
        <f>Financials!K86</f>
        <v>0</v>
      </c>
      <c r="L120" s="317">
        <f>Financials!L86</f>
        <v>0</v>
      </c>
      <c r="M120" s="317">
        <f>Financials!M86</f>
        <v>0</v>
      </c>
      <c r="N120" s="317">
        <f>Financials!N86</f>
        <v>0</v>
      </c>
      <c r="O120" s="317">
        <f>Financials!O86</f>
        <v>0</v>
      </c>
      <c r="P120" s="317">
        <f>Financials!P86</f>
        <v>0</v>
      </c>
      <c r="Q120" s="317">
        <f>Financials!Q86</f>
        <v>0</v>
      </c>
      <c r="R120" s="317">
        <f>Financials!R86</f>
        <v>0</v>
      </c>
      <c r="S120" s="317">
        <f>Financials!S86</f>
        <v>0</v>
      </c>
      <c r="T120" s="317">
        <f>Financials!T86</f>
        <v>0</v>
      </c>
      <c r="U120" s="317">
        <f>Financials!U86</f>
        <v>0</v>
      </c>
      <c r="V120" s="317">
        <f>Financials!V86</f>
        <v>0</v>
      </c>
      <c r="W120" s="317">
        <f>Financials!W86</f>
        <v>0</v>
      </c>
      <c r="X120" s="317">
        <f>Financials!X86</f>
        <v>0</v>
      </c>
      <c r="Z120" s="317">
        <f>Financials!Z86</f>
        <v>-0.216</v>
      </c>
      <c r="AA120" s="317">
        <f>Financials!AA86</f>
        <v>0</v>
      </c>
      <c r="AB120" s="282">
        <f t="shared" si="336"/>
        <v>0</v>
      </c>
      <c r="AC120" s="282">
        <f t="shared" si="336"/>
        <v>0</v>
      </c>
      <c r="AD120" s="282">
        <f t="shared" si="336"/>
        <v>0</v>
      </c>
      <c r="AE120" s="282">
        <f t="shared" si="336"/>
        <v>0</v>
      </c>
      <c r="AF120" s="282">
        <f t="shared" si="336"/>
        <v>0</v>
      </c>
      <c r="AG120" s="317">
        <f>Financials!AG86</f>
        <v>0</v>
      </c>
      <c r="AH120" s="317">
        <f>Financials!AH86</f>
        <v>0</v>
      </c>
      <c r="AI120" s="439"/>
      <c r="AJ120" s="439"/>
      <c r="AK120" s="439"/>
      <c r="AL120" s="439"/>
      <c r="AM120" s="439"/>
      <c r="AN120" s="439"/>
      <c r="AO120" s="439"/>
      <c r="AP120" s="439"/>
      <c r="AQ120" s="439"/>
      <c r="AR120" s="439"/>
      <c r="AS120" s="439"/>
      <c r="AT120" s="439"/>
      <c r="AU120" s="439"/>
      <c r="AV120" s="439"/>
      <c r="AW120" s="439"/>
      <c r="AX120" s="439"/>
    </row>
    <row r="121" spans="1:50" s="283" customFormat="1">
      <c r="C121" s="432" t="s">
        <v>540</v>
      </c>
      <c r="D121" s="486"/>
      <c r="E121" s="317">
        <f>Financials!E82</f>
        <v>0</v>
      </c>
      <c r="F121" s="317">
        <f>Financials!F82</f>
        <v>0</v>
      </c>
      <c r="G121" s="317">
        <f>Financials!G82</f>
        <v>0</v>
      </c>
      <c r="H121" s="317">
        <f>Financials!H82</f>
        <v>-0.86199999999999999</v>
      </c>
      <c r="I121" s="317">
        <f>Financials!I82</f>
        <v>0</v>
      </c>
      <c r="J121" s="317">
        <f>Financials!J82</f>
        <v>0</v>
      </c>
      <c r="K121" s="317">
        <f>Financials!K82</f>
        <v>0</v>
      </c>
      <c r="L121" s="317">
        <f>Financials!L82</f>
        <v>0</v>
      </c>
      <c r="M121" s="317">
        <f>Financials!M82</f>
        <v>0</v>
      </c>
      <c r="N121" s="317">
        <f>Financials!N82</f>
        <v>0</v>
      </c>
      <c r="O121" s="317">
        <f>Financials!O82</f>
        <v>0</v>
      </c>
      <c r="P121" s="317">
        <f>Financials!P82</f>
        <v>0</v>
      </c>
      <c r="Q121" s="317">
        <f>Financials!Q82</f>
        <v>0</v>
      </c>
      <c r="R121" s="317">
        <f>Financials!R82</f>
        <v>0</v>
      </c>
      <c r="S121" s="317">
        <f>Financials!S82</f>
        <v>0</v>
      </c>
      <c r="T121" s="317">
        <f>Financials!T82</f>
        <v>0</v>
      </c>
      <c r="U121" s="317">
        <f>Financials!U82</f>
        <v>0</v>
      </c>
      <c r="V121" s="317">
        <f>Financials!V82</f>
        <v>0</v>
      </c>
      <c r="W121" s="317">
        <f>Financials!W82</f>
        <v>0</v>
      </c>
      <c r="X121" s="317">
        <f>Financials!X82</f>
        <v>0</v>
      </c>
      <c r="Z121" s="317">
        <f>Financials!Z82</f>
        <v>-11.568</v>
      </c>
      <c r="AA121" s="317">
        <f>Financials!AA82</f>
        <v>15.935</v>
      </c>
      <c r="AB121" s="282">
        <f t="shared" si="336"/>
        <v>-0.86199999999999999</v>
      </c>
      <c r="AC121" s="282">
        <f t="shared" si="336"/>
        <v>0</v>
      </c>
      <c r="AD121" s="282">
        <f t="shared" si="336"/>
        <v>0</v>
      </c>
      <c r="AE121" s="282">
        <f t="shared" si="336"/>
        <v>0</v>
      </c>
      <c r="AF121" s="282">
        <f t="shared" si="336"/>
        <v>0</v>
      </c>
      <c r="AG121" s="317">
        <f>Financials!AG82</f>
        <v>0</v>
      </c>
      <c r="AH121" s="317">
        <f>Financials!AH82</f>
        <v>0</v>
      </c>
      <c r="AI121" s="439"/>
      <c r="AJ121" s="439"/>
      <c r="AK121" s="439"/>
      <c r="AL121" s="439"/>
      <c r="AM121" s="439"/>
      <c r="AN121" s="439"/>
      <c r="AO121" s="439"/>
      <c r="AP121" s="439"/>
      <c r="AQ121" s="439"/>
      <c r="AR121" s="439"/>
      <c r="AS121" s="439"/>
      <c r="AT121" s="439"/>
      <c r="AU121" s="439"/>
      <c r="AV121" s="439"/>
      <c r="AW121" s="439"/>
      <c r="AX121" s="439"/>
    </row>
    <row r="122" spans="1:50" s="283" customFormat="1">
      <c r="C122" s="316" t="s">
        <v>541</v>
      </c>
      <c r="D122" s="486"/>
      <c r="E122" s="379">
        <f>E118-SUM(E119:E121)</f>
        <v>0.76800000000000002</v>
      </c>
      <c r="F122" s="379">
        <f t="shared" ref="F122:P122" si="337">F118-SUM(F119:F121)</f>
        <v>0.42699999999999999</v>
      </c>
      <c r="G122" s="379">
        <f t="shared" si="337"/>
        <v>-2.6789999999999998</v>
      </c>
      <c r="H122" s="379">
        <f t="shared" si="337"/>
        <v>-4.6049999999999995</v>
      </c>
      <c r="I122" s="379">
        <f t="shared" si="337"/>
        <v>-7.2160000000000002</v>
      </c>
      <c r="J122" s="379">
        <f t="shared" si="337"/>
        <v>-11.179</v>
      </c>
      <c r="K122" s="379">
        <f t="shared" si="337"/>
        <v>-2.0860000000000003</v>
      </c>
      <c r="L122" s="379">
        <f t="shared" si="337"/>
        <v>-4.0919999999999996</v>
      </c>
      <c r="M122" s="379">
        <f t="shared" si="337"/>
        <v>-0.40500000000000003</v>
      </c>
      <c r="N122" s="379">
        <f t="shared" si="337"/>
        <v>2.6459999999999999</v>
      </c>
      <c r="O122" s="379">
        <f t="shared" si="337"/>
        <v>5.181</v>
      </c>
      <c r="P122" s="379">
        <f t="shared" si="337"/>
        <v>0.77700000000000014</v>
      </c>
      <c r="Q122" s="379">
        <f t="shared" ref="Q122:R122" si="338">Q118-SUM(Q119:Q121)</f>
        <v>1.8610000000000002</v>
      </c>
      <c r="R122" s="379">
        <f t="shared" si="338"/>
        <v>-4.1340000000000003</v>
      </c>
      <c r="S122" s="379">
        <f t="shared" ref="S122:T122" si="339">S118-SUM(S119:S121)</f>
        <v>-4.5330000000000004</v>
      </c>
      <c r="T122" s="379">
        <f t="shared" si="339"/>
        <v>-25.645</v>
      </c>
      <c r="U122" s="379">
        <f t="shared" ref="U122" si="340">U118-SUM(U119:U121)</f>
        <v>5.6310000000000002</v>
      </c>
      <c r="V122" s="379">
        <f t="shared" ref="V122:X122" ca="1" si="341">V35</f>
        <v>9.0862688954880859</v>
      </c>
      <c r="W122" s="379">
        <f t="shared" ca="1" si="341"/>
        <v>4.0490411698048039</v>
      </c>
      <c r="X122" s="379">
        <f t="shared" ca="1" si="341"/>
        <v>12.344806325137611</v>
      </c>
      <c r="Z122" s="379">
        <f t="shared" ref="Z122:AE122" si="342">Z118-SUM(Z119:Z121)</f>
        <v>38.522999999999996</v>
      </c>
      <c r="AA122" s="379">
        <f t="shared" si="342"/>
        <v>5.0280000000000005</v>
      </c>
      <c r="AB122" s="379">
        <f t="shared" si="342"/>
        <v>-6.0889999999999995</v>
      </c>
      <c r="AC122" s="379">
        <f t="shared" si="342"/>
        <v>-24.573</v>
      </c>
      <c r="AD122" s="379">
        <f t="shared" si="342"/>
        <v>8.1989999999999998</v>
      </c>
      <c r="AE122" s="379">
        <f t="shared" si="342"/>
        <v>-32.451000000000001</v>
      </c>
      <c r="AF122" s="379">
        <f t="shared" ref="AF122" ca="1" si="343">AF118-SUM(AF119:AF121)</f>
        <v>31.111116390430503</v>
      </c>
      <c r="AG122" s="379">
        <f ca="1">AG35</f>
        <v>28.184457581167422</v>
      </c>
      <c r="AH122" s="379">
        <f ca="1">AH35</f>
        <v>31.072527509626916</v>
      </c>
      <c r="AI122" s="439"/>
      <c r="AJ122" s="439"/>
      <c r="AK122" s="439"/>
      <c r="AL122" s="439"/>
      <c r="AM122" s="439"/>
      <c r="AN122" s="439"/>
      <c r="AO122" s="439"/>
      <c r="AP122" s="439"/>
      <c r="AQ122" s="439"/>
      <c r="AR122" s="439"/>
      <c r="AS122" s="439"/>
      <c r="AT122" s="439"/>
      <c r="AU122" s="439"/>
      <c r="AV122" s="439"/>
      <c r="AW122" s="439"/>
      <c r="AX122" s="439"/>
    </row>
    <row r="123" spans="1:50">
      <c r="Y123" s="283"/>
    </row>
    <row r="124" spans="1:50" s="283" customFormat="1">
      <c r="A124" s="286" t="s">
        <v>137</v>
      </c>
      <c r="B124" s="286" t="s">
        <v>137</v>
      </c>
      <c r="C124" s="287" t="s">
        <v>580</v>
      </c>
      <c r="D124" s="485"/>
      <c r="E124" s="286"/>
      <c r="F124" s="286"/>
      <c r="G124" s="286"/>
      <c r="H124" s="286"/>
      <c r="I124" s="286"/>
      <c r="J124" s="286"/>
      <c r="K124" s="286"/>
      <c r="L124" s="286"/>
      <c r="M124" s="286"/>
      <c r="N124" s="286"/>
      <c r="O124" s="286"/>
      <c r="P124" s="286"/>
      <c r="Q124" s="286"/>
      <c r="R124" s="286"/>
      <c r="S124" s="286"/>
      <c r="T124" s="286"/>
      <c r="U124" s="286"/>
      <c r="V124" s="286"/>
      <c r="W124" s="286"/>
      <c r="X124" s="286"/>
      <c r="Z124" s="286"/>
      <c r="AA124" s="286"/>
      <c r="AB124" s="286"/>
      <c r="AC124" s="286"/>
      <c r="AD124" s="286"/>
      <c r="AE124" s="286"/>
      <c r="AF124" s="286"/>
      <c r="AG124" s="286"/>
      <c r="AH124" s="286"/>
    </row>
    <row r="125" spans="1:50">
      <c r="Y125" s="283"/>
    </row>
    <row r="126" spans="1:50">
      <c r="C126" s="414" t="s">
        <v>593</v>
      </c>
      <c r="S126" s="384"/>
      <c r="Y126" s="283"/>
      <c r="AB126" s="282"/>
      <c r="AC126" s="282"/>
      <c r="AD126" s="282"/>
      <c r="AE126" s="329"/>
      <c r="AF126" s="329"/>
      <c r="AG126" s="329"/>
      <c r="AH126" s="329"/>
    </row>
    <row r="127" spans="1:50">
      <c r="C127" s="281" t="s">
        <v>444</v>
      </c>
      <c r="D127" s="293" t="s">
        <v>590</v>
      </c>
      <c r="E127" s="282">
        <f t="shared" ref="E127:X127" si="344">+E174+E262+E350+E486+E574</f>
        <v>2534.0949999999998</v>
      </c>
      <c r="F127" s="282">
        <f t="shared" si="344"/>
        <v>2596.4229999999998</v>
      </c>
      <c r="G127" s="282">
        <f t="shared" si="344"/>
        <v>2523.6910000000003</v>
      </c>
      <c r="H127" s="282">
        <f t="shared" si="344"/>
        <v>2715.3850000000002</v>
      </c>
      <c r="I127" s="282">
        <f t="shared" si="344"/>
        <v>2923.1309999999999</v>
      </c>
      <c r="J127" s="282">
        <f t="shared" si="344"/>
        <v>3018.7650000000003</v>
      </c>
      <c r="K127" s="282">
        <f t="shared" si="344"/>
        <v>3251.35</v>
      </c>
      <c r="L127" s="282">
        <f t="shared" si="344"/>
        <v>3411.9879999999998</v>
      </c>
      <c r="M127" s="282">
        <f t="shared" si="344"/>
        <v>3245.4690000000001</v>
      </c>
      <c r="N127" s="282">
        <f t="shared" si="344"/>
        <v>3403.7809999999995</v>
      </c>
      <c r="O127" s="282">
        <f t="shared" si="344"/>
        <v>3541.3710000000001</v>
      </c>
      <c r="P127" s="282">
        <f t="shared" si="344"/>
        <v>3352.3360000000007</v>
      </c>
      <c r="Q127" s="282">
        <f t="shared" si="344"/>
        <v>3459.4459999999999</v>
      </c>
      <c r="R127" s="282">
        <f t="shared" si="344"/>
        <v>3524.7829999999999</v>
      </c>
      <c r="S127" s="282">
        <f t="shared" si="344"/>
        <v>2676.0839999999998</v>
      </c>
      <c r="T127" s="282">
        <f t="shared" si="344"/>
        <v>3227.1970000000001</v>
      </c>
      <c r="U127" s="282">
        <f t="shared" si="344"/>
        <v>3324.7080000000005</v>
      </c>
      <c r="V127" s="282">
        <f t="shared" si="344"/>
        <v>3633.2181124796361</v>
      </c>
      <c r="W127" s="282">
        <f t="shared" si="344"/>
        <v>2841.1713846482007</v>
      </c>
      <c r="X127" s="282">
        <f t="shared" si="344"/>
        <v>3407.9705028721623</v>
      </c>
      <c r="Y127" s="283"/>
      <c r="Z127" s="282">
        <f>+Z174+Z262+Z350+Z486+Z574</f>
        <v>17177.316999999999</v>
      </c>
      <c r="AA127" s="282">
        <f>+AA174+AA262+AA350+AA486+AA574</f>
        <v>12484.843999999999</v>
      </c>
      <c r="AB127" s="282">
        <f t="shared" ref="AB127:AB130" si="345">SUMIF($E$5:$X$5,AB$5,$E127:$X127)</f>
        <v>10369.594000000001</v>
      </c>
      <c r="AC127" s="282">
        <f t="shared" ref="AC127:AF130" si="346">SUMIF($E$5:$X$5,AC$5,$E127:$X127)</f>
        <v>12605.234</v>
      </c>
      <c r="AD127" s="282">
        <f t="shared" si="346"/>
        <v>13542.957</v>
      </c>
      <c r="AE127" s="282">
        <f t="shared" si="346"/>
        <v>12887.509999999998</v>
      </c>
      <c r="AF127" s="282">
        <f t="shared" si="346"/>
        <v>13207.067999999999</v>
      </c>
      <c r="AG127" s="377">
        <f>+AVERAGE(13.5,14.5)*10^3</f>
        <v>14000</v>
      </c>
      <c r="AH127" s="377">
        <f>+AVERAGE(14.5,15.1)*10^3</f>
        <v>14800</v>
      </c>
      <c r="AI127" s="329"/>
    </row>
    <row r="128" spans="1:50">
      <c r="C128" s="281" t="s">
        <v>440</v>
      </c>
      <c r="D128" s="293" t="s">
        <v>590</v>
      </c>
      <c r="E128" s="282">
        <f t="shared" ref="E128:X128" si="347">E175+E351+E487+E575</f>
        <v>57.808</v>
      </c>
      <c r="F128" s="282">
        <f t="shared" si="347"/>
        <v>60.313000000000002</v>
      </c>
      <c r="G128" s="282">
        <f t="shared" si="347"/>
        <v>72.99499999999999</v>
      </c>
      <c r="H128" s="282">
        <f t="shared" si="347"/>
        <v>70.986999999999995</v>
      </c>
      <c r="I128" s="282">
        <f t="shared" si="347"/>
        <v>60.021000000000001</v>
      </c>
      <c r="J128" s="282">
        <f t="shared" si="347"/>
        <v>60.768000000000001</v>
      </c>
      <c r="K128" s="282">
        <f t="shared" si="347"/>
        <v>77.310999999999993</v>
      </c>
      <c r="L128" s="282">
        <f t="shared" si="347"/>
        <v>74.772999999999996</v>
      </c>
      <c r="M128" s="282">
        <f t="shared" si="347"/>
        <v>58.792000000000002</v>
      </c>
      <c r="N128" s="282">
        <f t="shared" si="347"/>
        <v>59.981999999999999</v>
      </c>
      <c r="O128" s="282">
        <f t="shared" si="347"/>
        <v>41.173999999999999</v>
      </c>
      <c r="P128" s="282">
        <f t="shared" si="347"/>
        <v>49.015000000000001</v>
      </c>
      <c r="Q128" s="282">
        <f t="shared" si="347"/>
        <v>52.003999999999998</v>
      </c>
      <c r="R128" s="282">
        <f t="shared" si="347"/>
        <v>59.131999999999998</v>
      </c>
      <c r="S128" s="282">
        <f t="shared" si="347"/>
        <v>42.207000000000001</v>
      </c>
      <c r="T128" s="282">
        <f t="shared" si="347"/>
        <v>47.976999999999997</v>
      </c>
      <c r="U128" s="282">
        <f t="shared" si="347"/>
        <v>41.641999999999996</v>
      </c>
      <c r="V128" s="282">
        <f t="shared" si="347"/>
        <v>43.105352022725285</v>
      </c>
      <c r="W128" s="282">
        <f t="shared" si="347"/>
        <v>38.629704996607252</v>
      </c>
      <c r="X128" s="282">
        <f t="shared" si="347"/>
        <v>46.62294298066746</v>
      </c>
      <c r="Y128" s="283"/>
      <c r="Z128" s="282">
        <f>Z175+Z351+Z487+Z575</f>
        <v>233.929</v>
      </c>
      <c r="AA128" s="282">
        <f>AA175+AA351+AA487+AA575</f>
        <v>232.684</v>
      </c>
      <c r="AB128" s="282">
        <f t="shared" si="345"/>
        <v>262.10299999999995</v>
      </c>
      <c r="AC128" s="282">
        <f t="shared" si="346"/>
        <v>272.87299999999999</v>
      </c>
      <c r="AD128" s="282">
        <f t="shared" si="346"/>
        <v>208.96300000000002</v>
      </c>
      <c r="AE128" s="282">
        <f t="shared" si="346"/>
        <v>201.32</v>
      </c>
      <c r="AF128" s="282">
        <f t="shared" si="346"/>
        <v>170</v>
      </c>
      <c r="AG128" s="377">
        <f>+AVERAGE(175,185)</f>
        <v>180</v>
      </c>
      <c r="AH128" s="377">
        <f>+AVERAGE(185,195)</f>
        <v>190</v>
      </c>
      <c r="AI128" s="329"/>
    </row>
    <row r="129" spans="2:38">
      <c r="C129" s="281" t="s">
        <v>439</v>
      </c>
      <c r="D129" s="293" t="s">
        <v>587</v>
      </c>
      <c r="E129" s="305">
        <v>15.211</v>
      </c>
      <c r="F129" s="305">
        <v>14.298999999999999</v>
      </c>
      <c r="G129" s="305">
        <v>12.795</v>
      </c>
      <c r="H129" s="305">
        <v>13.711</v>
      </c>
      <c r="I129" s="305">
        <v>13.944000000000001</v>
      </c>
      <c r="J129" s="305">
        <v>13.315</v>
      </c>
      <c r="K129" s="305">
        <v>15.413</v>
      </c>
      <c r="L129" s="305">
        <v>16.184999999999999</v>
      </c>
      <c r="M129" s="305">
        <v>12.847</v>
      </c>
      <c r="N129" s="305">
        <v>17.855</v>
      </c>
      <c r="O129" s="305">
        <v>17.997</v>
      </c>
      <c r="P129" s="305">
        <v>14.413</v>
      </c>
      <c r="Q129" s="305">
        <v>16.106999999999999</v>
      </c>
      <c r="R129" s="305">
        <v>17.210999999999999</v>
      </c>
      <c r="S129" s="305">
        <v>15.545999999999999</v>
      </c>
      <c r="T129" s="305">
        <v>14.753</v>
      </c>
      <c r="U129" s="305">
        <v>14.946</v>
      </c>
      <c r="V129" s="282">
        <f t="shared" ref="V129:X130" ca="1" si="348">V183+V271</f>
        <v>15.110565735529196</v>
      </c>
      <c r="W129" s="282">
        <f t="shared" ca="1" si="348"/>
        <v>13.698255711804062</v>
      </c>
      <c r="X129" s="282">
        <f t="shared" ca="1" si="348"/>
        <v>13.527475902026588</v>
      </c>
      <c r="Y129" s="283"/>
      <c r="Z129" s="282">
        <f>Z183+Z271</f>
        <v>49.802</v>
      </c>
      <c r="AA129" s="282">
        <f>AA183+AA271</f>
        <v>39.336000000000006</v>
      </c>
      <c r="AB129" s="282">
        <f t="shared" si="345"/>
        <v>56.015999999999998</v>
      </c>
      <c r="AC129" s="282">
        <f t="shared" si="346"/>
        <v>58.856999999999999</v>
      </c>
      <c r="AD129" s="422">
        <f t="shared" si="346"/>
        <v>63.111999999999995</v>
      </c>
      <c r="AE129" s="282">
        <f t="shared" si="346"/>
        <v>63.616999999999997</v>
      </c>
      <c r="AF129" s="282">
        <f t="shared" ca="1" si="346"/>
        <v>57.282297349359844</v>
      </c>
      <c r="AG129" s="282">
        <f ca="1">AG183+AG271</f>
        <v>55.95203686200378</v>
      </c>
      <c r="AH129" s="282">
        <f ca="1">AH183+AH271</f>
        <v>59.149296111261144</v>
      </c>
      <c r="AI129" s="329"/>
    </row>
    <row r="130" spans="2:38">
      <c r="C130" s="281" t="s">
        <v>441</v>
      </c>
      <c r="D130" s="293" t="s">
        <v>587</v>
      </c>
      <c r="E130" s="305">
        <v>5.6269999999999998</v>
      </c>
      <c r="F130" s="305">
        <v>5.5220000000000002</v>
      </c>
      <c r="G130" s="305">
        <v>4.2380000000000004</v>
      </c>
      <c r="H130" s="305">
        <v>4.7039999999999997</v>
      </c>
      <c r="I130" s="305">
        <v>5.7839999999999998</v>
      </c>
      <c r="J130" s="305">
        <v>5.5149999999999997</v>
      </c>
      <c r="K130" s="305">
        <v>6.1070000000000002</v>
      </c>
      <c r="L130" s="305">
        <v>6.8040000000000003</v>
      </c>
      <c r="M130" s="305">
        <v>5.8929999999999998</v>
      </c>
      <c r="N130" s="305">
        <v>8.9770000000000003</v>
      </c>
      <c r="O130" s="305">
        <v>9.75</v>
      </c>
      <c r="P130" s="305">
        <v>9.5069999999999997</v>
      </c>
      <c r="Q130" s="305">
        <v>10.704000000000001</v>
      </c>
      <c r="R130" s="305">
        <v>11.54</v>
      </c>
      <c r="S130" s="305">
        <v>9.9039999999999999</v>
      </c>
      <c r="T130" s="305">
        <v>10.862000000000002</v>
      </c>
      <c r="U130" s="305">
        <v>10.863</v>
      </c>
      <c r="V130" s="282">
        <f t="shared" ca="1" si="348"/>
        <v>12.89498747828317</v>
      </c>
      <c r="W130" s="282">
        <f t="shared" ca="1" si="348"/>
        <v>11.290748875062874</v>
      </c>
      <c r="X130" s="282">
        <f t="shared" ca="1" si="348"/>
        <v>12.50779529069192</v>
      </c>
      <c r="Y130" s="283"/>
      <c r="Z130" s="282">
        <f>Z184+Z272</f>
        <v>37.519000000000005</v>
      </c>
      <c r="AA130" s="282">
        <f>AA184+AA272</f>
        <v>17.960999999999999</v>
      </c>
      <c r="AB130" s="282">
        <f t="shared" si="345"/>
        <v>20.091000000000001</v>
      </c>
      <c r="AC130" s="282">
        <f t="shared" si="346"/>
        <v>24.21</v>
      </c>
      <c r="AD130" s="282">
        <f t="shared" si="346"/>
        <v>34.127000000000002</v>
      </c>
      <c r="AE130" s="282">
        <f t="shared" si="346"/>
        <v>43.01</v>
      </c>
      <c r="AF130" s="282">
        <f t="shared" ca="1" si="346"/>
        <v>47.55653164403796</v>
      </c>
      <c r="AG130" s="282">
        <f ca="1">AG184+AG272</f>
        <v>48.547738829857572</v>
      </c>
      <c r="AH130" s="282">
        <f ca="1">AH184+AH272</f>
        <v>51.321895334420873</v>
      </c>
      <c r="AI130" s="329"/>
    </row>
    <row r="131" spans="2:38">
      <c r="S131" s="794"/>
      <c r="Y131" s="283"/>
      <c r="AB131" s="282"/>
      <c r="AC131" s="282"/>
      <c r="AD131" s="282"/>
      <c r="AE131" s="282"/>
      <c r="AI131" s="329"/>
    </row>
    <row r="132" spans="2:38">
      <c r="C132" s="414" t="s">
        <v>592</v>
      </c>
      <c r="Y132" s="283"/>
      <c r="AB132" s="282"/>
      <c r="AC132" s="282"/>
      <c r="AD132" s="282"/>
      <c r="AE132" s="282"/>
      <c r="AI132" s="329"/>
    </row>
    <row r="133" spans="2:38">
      <c r="C133" s="281" t="s">
        <v>444</v>
      </c>
      <c r="D133" s="293" t="s">
        <v>590</v>
      </c>
      <c r="E133" s="282">
        <f t="shared" ref="E133:X133" si="349">E181+E269+E357+E493+E581</f>
        <v>2091.4639999999999</v>
      </c>
      <c r="F133" s="282">
        <f t="shared" si="349"/>
        <v>2313.7539999999999</v>
      </c>
      <c r="G133" s="282">
        <f t="shared" si="349"/>
        <v>2588.4779999999996</v>
      </c>
      <c r="H133" s="282">
        <f t="shared" si="349"/>
        <v>2260.6890000000003</v>
      </c>
      <c r="I133" s="282">
        <f t="shared" si="349"/>
        <v>2898.0830000000001</v>
      </c>
      <c r="J133" s="282">
        <f t="shared" si="349"/>
        <v>2418.5860000000002</v>
      </c>
      <c r="K133" s="282">
        <f t="shared" si="349"/>
        <v>2232.6909999999998</v>
      </c>
      <c r="L133" s="282">
        <f t="shared" si="349"/>
        <v>3999.0129999999999</v>
      </c>
      <c r="M133" s="282">
        <f t="shared" si="349"/>
        <v>2582.2799999999993</v>
      </c>
      <c r="N133" s="282">
        <f t="shared" si="349"/>
        <v>3348.6389999999997</v>
      </c>
      <c r="O133" s="282">
        <f t="shared" si="349"/>
        <v>3147.0479999999998</v>
      </c>
      <c r="P133" s="282">
        <f t="shared" si="349"/>
        <v>3227.9500000000007</v>
      </c>
      <c r="Q133" s="282">
        <f t="shared" si="349"/>
        <v>3030.0249999999996</v>
      </c>
      <c r="R133" s="282">
        <f t="shared" si="349"/>
        <v>3415.4640000000004</v>
      </c>
      <c r="S133" s="282">
        <f t="shared" si="349"/>
        <v>2581.69</v>
      </c>
      <c r="T133" s="282">
        <f t="shared" si="349"/>
        <v>2606.6229999999991</v>
      </c>
      <c r="U133" s="282">
        <f t="shared" si="349"/>
        <v>2687.2620000000002</v>
      </c>
      <c r="V133" s="282">
        <f t="shared" si="349"/>
        <v>3633.2181124796361</v>
      </c>
      <c r="W133" s="282">
        <f t="shared" si="349"/>
        <v>2841.1713846482007</v>
      </c>
      <c r="X133" s="282">
        <f t="shared" si="349"/>
        <v>3407.9705028721623</v>
      </c>
      <c r="Y133" s="283"/>
      <c r="Z133" s="282">
        <f>Z181+Z269+Z357+Z493+Z581</f>
        <v>15997.086000000001</v>
      </c>
      <c r="AA133" s="282">
        <f>AA181+AA269+AA357+AA493+AA581</f>
        <v>11308.958000000001</v>
      </c>
      <c r="AB133" s="282">
        <f t="shared" ref="AB133:AF136" si="350">SUMIF($E$5:$X$5,AB$5,$E133:$X133)</f>
        <v>9254.3850000000002</v>
      </c>
      <c r="AC133" s="282">
        <f t="shared" si="350"/>
        <v>11548.373</v>
      </c>
      <c r="AD133" s="282">
        <f t="shared" si="350"/>
        <v>12305.916999999999</v>
      </c>
      <c r="AE133" s="282">
        <f t="shared" si="350"/>
        <v>11633.802</v>
      </c>
      <c r="AF133" s="282">
        <f t="shared" si="350"/>
        <v>12569.621999999999</v>
      </c>
      <c r="AG133" s="282">
        <f>AG181+AG269+AG357+AG493+AG581</f>
        <v>13064.97399725662</v>
      </c>
      <c r="AH133" s="282">
        <f>AH181+AH269+AH357+AH493+AH581</f>
        <v>13811.543939956999</v>
      </c>
      <c r="AI133" s="329"/>
    </row>
    <row r="134" spans="2:38">
      <c r="C134" s="281" t="s">
        <v>440</v>
      </c>
      <c r="D134" s="293" t="s">
        <v>590</v>
      </c>
      <c r="E134" s="282">
        <f t="shared" ref="E134:X134" si="351">E182+E358+E494+E582</f>
        <v>54.838999999999999</v>
      </c>
      <c r="F134" s="282">
        <f t="shared" si="351"/>
        <v>59.643000000000001</v>
      </c>
      <c r="G134" s="282">
        <f t="shared" si="351"/>
        <v>68.567999999999998</v>
      </c>
      <c r="H134" s="282">
        <f t="shared" si="351"/>
        <v>64.477999999999994</v>
      </c>
      <c r="I134" s="282">
        <f t="shared" si="351"/>
        <v>60.936</v>
      </c>
      <c r="J134" s="282">
        <f t="shared" si="351"/>
        <v>59.126999999999995</v>
      </c>
      <c r="K134" s="282">
        <f t="shared" si="351"/>
        <v>69.759999999999991</v>
      </c>
      <c r="L134" s="282">
        <f t="shared" si="351"/>
        <v>85.236000000000004</v>
      </c>
      <c r="M134" s="282">
        <f t="shared" si="351"/>
        <v>57.103000000000002</v>
      </c>
      <c r="N134" s="282">
        <f t="shared" si="351"/>
        <v>51.396999999999998</v>
      </c>
      <c r="O134" s="282">
        <f t="shared" si="351"/>
        <v>51.05</v>
      </c>
      <c r="P134" s="282">
        <f t="shared" si="351"/>
        <v>43.144000000000005</v>
      </c>
      <c r="Q134" s="282">
        <f t="shared" si="351"/>
        <v>57.286000000000001</v>
      </c>
      <c r="R134" s="282">
        <f t="shared" si="351"/>
        <v>47.167000000000002</v>
      </c>
      <c r="S134" s="282">
        <f t="shared" si="351"/>
        <v>53.001000000000005</v>
      </c>
      <c r="T134" s="282">
        <f t="shared" si="351"/>
        <v>44.154999999999987</v>
      </c>
      <c r="U134" s="282">
        <f t="shared" si="351"/>
        <v>41.052999999999997</v>
      </c>
      <c r="V134" s="282">
        <f t="shared" si="351"/>
        <v>43.105352022725285</v>
      </c>
      <c r="W134" s="282">
        <f t="shared" si="351"/>
        <v>38.629704996607252</v>
      </c>
      <c r="X134" s="282">
        <f t="shared" si="351"/>
        <v>46.62294298066746</v>
      </c>
      <c r="Y134" s="283"/>
      <c r="Z134" s="282">
        <f>Z182+Z358+Z494+Z582</f>
        <v>222.10499999999999</v>
      </c>
      <c r="AA134" s="282">
        <f>AA182+AA358+AA494+AA582</f>
        <v>219.929</v>
      </c>
      <c r="AB134" s="282">
        <f t="shared" si="350"/>
        <v>247.52800000000002</v>
      </c>
      <c r="AC134" s="282">
        <f t="shared" si="350"/>
        <v>275.05899999999997</v>
      </c>
      <c r="AD134" s="282">
        <f t="shared" si="350"/>
        <v>202.69400000000002</v>
      </c>
      <c r="AE134" s="282">
        <f t="shared" si="350"/>
        <v>201.60899999999998</v>
      </c>
      <c r="AF134" s="282">
        <f t="shared" si="350"/>
        <v>169.411</v>
      </c>
      <c r="AG134" s="282">
        <f>AG182+AG358+AG494+AG582</f>
        <v>175.80737829168442</v>
      </c>
      <c r="AH134" s="282">
        <f>AH182+AH358+AH494+AH582</f>
        <v>185.85351419406641</v>
      </c>
      <c r="AI134" s="329"/>
    </row>
    <row r="135" spans="2:38">
      <c r="C135" s="281" t="s">
        <v>439</v>
      </c>
      <c r="D135" s="293" t="s">
        <v>587</v>
      </c>
      <c r="E135" s="282">
        <f t="shared" ref="E135:X135" si="352">E183+E271</f>
        <v>10.103999999999999</v>
      </c>
      <c r="F135" s="282">
        <f t="shared" si="352"/>
        <v>10.684999999999999</v>
      </c>
      <c r="G135" s="282">
        <f t="shared" si="352"/>
        <v>9.282</v>
      </c>
      <c r="H135" s="282">
        <f t="shared" si="352"/>
        <v>9.2020000000000017</v>
      </c>
      <c r="I135" s="282">
        <f t="shared" si="352"/>
        <v>9.5329999999999995</v>
      </c>
      <c r="J135" s="282">
        <f t="shared" si="352"/>
        <v>9.8230000000000004</v>
      </c>
      <c r="K135" s="282">
        <f t="shared" si="352"/>
        <v>7.8780000000000001</v>
      </c>
      <c r="L135" s="282">
        <f t="shared" si="352"/>
        <v>12.146000000000001</v>
      </c>
      <c r="M135" s="282">
        <f t="shared" si="352"/>
        <v>9.8359999999999985</v>
      </c>
      <c r="N135" s="282">
        <f t="shared" si="352"/>
        <v>11.989000000000001</v>
      </c>
      <c r="O135" s="282">
        <f t="shared" si="352"/>
        <v>12.891999999999999</v>
      </c>
      <c r="P135" s="282">
        <f t="shared" si="352"/>
        <v>11.632000000000001</v>
      </c>
      <c r="Q135" s="282">
        <f t="shared" si="352"/>
        <v>11.026999999999999</v>
      </c>
      <c r="R135" s="282">
        <f t="shared" si="352"/>
        <v>11.144</v>
      </c>
      <c r="S135" s="282">
        <f t="shared" si="352"/>
        <v>11.173999999999999</v>
      </c>
      <c r="T135" s="282">
        <f t="shared" si="352"/>
        <v>10.282000000000004</v>
      </c>
      <c r="U135" s="282">
        <f t="shared" si="352"/>
        <v>9.947000000000001</v>
      </c>
      <c r="V135" s="282">
        <f t="shared" ca="1" si="352"/>
        <v>15.110565735529196</v>
      </c>
      <c r="W135" s="282">
        <f t="shared" ca="1" si="352"/>
        <v>13.698255711804062</v>
      </c>
      <c r="X135" s="282">
        <f t="shared" ca="1" si="352"/>
        <v>13.527475902026588</v>
      </c>
      <c r="Y135" s="283"/>
      <c r="Z135" s="282">
        <f>Z183+Z271</f>
        <v>49.802</v>
      </c>
      <c r="AA135" s="282">
        <f>AA183+AA271</f>
        <v>39.336000000000006</v>
      </c>
      <c r="AB135" s="282">
        <f t="shared" si="350"/>
        <v>39.272999999999996</v>
      </c>
      <c r="AC135" s="282">
        <f t="shared" si="350"/>
        <v>39.380000000000003</v>
      </c>
      <c r="AD135" s="282">
        <f t="shared" si="350"/>
        <v>46.349000000000004</v>
      </c>
      <c r="AE135" s="282">
        <f t="shared" si="350"/>
        <v>43.627000000000002</v>
      </c>
      <c r="AF135" s="282">
        <f t="shared" ca="1" si="350"/>
        <v>52.283297349359849</v>
      </c>
      <c r="AG135" s="282">
        <f ca="1">AG183+AG271</f>
        <v>55.95203686200378</v>
      </c>
      <c r="AH135" s="282">
        <f ca="1">AH183+AH271</f>
        <v>59.149296111261144</v>
      </c>
      <c r="AI135" s="329"/>
    </row>
    <row r="136" spans="2:38">
      <c r="C136" s="281" t="s">
        <v>441</v>
      </c>
      <c r="D136" s="293" t="s">
        <v>587</v>
      </c>
      <c r="E136" s="282">
        <f t="shared" ref="E136:X136" si="353">E184+E272</f>
        <v>3.8679999999999999</v>
      </c>
      <c r="F136" s="282">
        <f t="shared" si="353"/>
        <v>4.7459999999999996</v>
      </c>
      <c r="G136" s="282">
        <f t="shared" si="353"/>
        <v>3.9860000000000002</v>
      </c>
      <c r="H136" s="282">
        <f t="shared" si="353"/>
        <v>3.6139999999999999</v>
      </c>
      <c r="I136" s="282">
        <f t="shared" si="353"/>
        <v>4.8480000000000008</v>
      </c>
      <c r="J136" s="282">
        <f t="shared" si="353"/>
        <v>3.9630000000000001</v>
      </c>
      <c r="K136" s="282">
        <f t="shared" si="353"/>
        <v>3.8159999999999998</v>
      </c>
      <c r="L136" s="282">
        <f t="shared" si="353"/>
        <v>7.1190000000000015</v>
      </c>
      <c r="M136" s="282">
        <f t="shared" si="353"/>
        <v>4.13</v>
      </c>
      <c r="N136" s="282">
        <f t="shared" si="353"/>
        <v>8.0259999999999998</v>
      </c>
      <c r="O136" s="282">
        <f t="shared" si="353"/>
        <v>7.793000000000001</v>
      </c>
      <c r="P136" s="282">
        <f t="shared" si="353"/>
        <v>9.1579999999999995</v>
      </c>
      <c r="Q136" s="282">
        <f t="shared" si="353"/>
        <v>8.6679999999999993</v>
      </c>
      <c r="R136" s="282">
        <f t="shared" si="353"/>
        <v>10.664</v>
      </c>
      <c r="S136" s="282">
        <f t="shared" si="353"/>
        <v>8.8350000000000009</v>
      </c>
      <c r="T136" s="282">
        <f t="shared" si="353"/>
        <v>8.5400000000000027</v>
      </c>
      <c r="U136" s="282">
        <f t="shared" si="353"/>
        <v>9.0540000000000003</v>
      </c>
      <c r="V136" s="282">
        <f t="shared" ca="1" si="353"/>
        <v>12.89498747828317</v>
      </c>
      <c r="W136" s="282">
        <f t="shared" ca="1" si="353"/>
        <v>11.290748875062874</v>
      </c>
      <c r="X136" s="282">
        <f t="shared" ca="1" si="353"/>
        <v>12.50779529069192</v>
      </c>
      <c r="Y136" s="283"/>
      <c r="Z136" s="282">
        <f>Z184+Z272</f>
        <v>37.519000000000005</v>
      </c>
      <c r="AA136" s="282">
        <f>AA184+AA272</f>
        <v>17.960999999999999</v>
      </c>
      <c r="AB136" s="282">
        <f t="shared" si="350"/>
        <v>16.213999999999999</v>
      </c>
      <c r="AC136" s="282">
        <f t="shared" si="350"/>
        <v>19.746000000000002</v>
      </c>
      <c r="AD136" s="282">
        <f t="shared" si="350"/>
        <v>29.106999999999999</v>
      </c>
      <c r="AE136" s="282">
        <f t="shared" si="350"/>
        <v>36.707000000000008</v>
      </c>
      <c r="AF136" s="282">
        <f t="shared" ca="1" si="350"/>
        <v>45.747531644037963</v>
      </c>
      <c r="AG136" s="282">
        <f ca="1">AG184+AG272</f>
        <v>48.547738829857572</v>
      </c>
      <c r="AH136" s="282">
        <f ca="1">AH184+AH272</f>
        <v>51.321895334420873</v>
      </c>
      <c r="AI136" s="329"/>
    </row>
    <row r="137" spans="2:38">
      <c r="Y137" s="283"/>
      <c r="AB137" s="282"/>
      <c r="AC137" s="282"/>
      <c r="AD137" s="282"/>
      <c r="AE137" s="282"/>
      <c r="AI137" s="329"/>
    </row>
    <row r="138" spans="2:38">
      <c r="C138" s="281" t="s">
        <v>444</v>
      </c>
      <c r="D138" s="293" t="s">
        <v>588</v>
      </c>
      <c r="E138" s="452"/>
      <c r="F138" s="452"/>
      <c r="G138" s="452"/>
      <c r="H138" s="426">
        <v>14.55</v>
      </c>
      <c r="I138" s="426">
        <v>15.57</v>
      </c>
      <c r="J138" s="426">
        <v>14.89</v>
      </c>
      <c r="K138" s="426">
        <v>17.02</v>
      </c>
      <c r="L138" s="426">
        <v>17.3</v>
      </c>
      <c r="M138" s="426">
        <v>16.940000000000001</v>
      </c>
      <c r="N138" s="426">
        <v>16.329999999999998</v>
      </c>
      <c r="O138" s="426">
        <v>24.4</v>
      </c>
      <c r="P138" s="426">
        <v>24.39</v>
      </c>
      <c r="Q138" s="426">
        <v>26.29</v>
      </c>
      <c r="R138" s="426">
        <v>26.69</v>
      </c>
      <c r="S138" s="426">
        <v>24.36</v>
      </c>
      <c r="T138" s="426">
        <v>25.17</v>
      </c>
      <c r="U138" s="426">
        <v>23.95</v>
      </c>
      <c r="V138" s="479">
        <v>17</v>
      </c>
      <c r="W138" s="479">
        <v>17</v>
      </c>
      <c r="X138" s="479">
        <v>17</v>
      </c>
      <c r="Y138" s="283"/>
      <c r="Z138" s="426">
        <v>17.100000000000001</v>
      </c>
      <c r="AA138" s="426">
        <v>17.05</v>
      </c>
      <c r="AB138" s="426">
        <v>15.71</v>
      </c>
      <c r="AC138" s="426">
        <v>16.2</v>
      </c>
      <c r="AD138" s="426">
        <v>20.51</v>
      </c>
      <c r="AE138" s="426">
        <v>25.17</v>
      </c>
      <c r="AF138" s="479">
        <f>+AE138</f>
        <v>25.17</v>
      </c>
      <c r="AG138" s="479">
        <f>+AF138</f>
        <v>25.17</v>
      </c>
      <c r="AH138" s="479">
        <f>+AG138</f>
        <v>25.17</v>
      </c>
    </row>
    <row r="139" spans="2:38">
      <c r="C139" s="281" t="s">
        <v>440</v>
      </c>
      <c r="D139" s="293" t="s">
        <v>588</v>
      </c>
      <c r="E139" s="452"/>
      <c r="F139" s="452"/>
      <c r="G139" s="452"/>
      <c r="H139" s="426">
        <v>1228</v>
      </c>
      <c r="I139" s="426">
        <v>1304</v>
      </c>
      <c r="J139" s="426">
        <v>1310</v>
      </c>
      <c r="K139" s="426">
        <v>1474</v>
      </c>
      <c r="L139" s="426">
        <v>1480</v>
      </c>
      <c r="M139" s="426">
        <v>1583</v>
      </c>
      <c r="N139" s="426">
        <v>1711</v>
      </c>
      <c r="O139" s="426">
        <v>1911</v>
      </c>
      <c r="P139" s="426">
        <v>1873</v>
      </c>
      <c r="Q139" s="426">
        <v>1798</v>
      </c>
      <c r="R139" s="426">
        <v>1816</v>
      </c>
      <c r="S139" s="426">
        <v>1789</v>
      </c>
      <c r="T139" s="426">
        <v>1800</v>
      </c>
      <c r="U139" s="426">
        <v>1874</v>
      </c>
      <c r="V139" s="479">
        <v>1525</v>
      </c>
      <c r="W139" s="479">
        <v>1525</v>
      </c>
      <c r="X139" s="479">
        <v>1525</v>
      </c>
      <c r="Y139" s="283"/>
      <c r="Z139" s="426">
        <v>1248</v>
      </c>
      <c r="AA139" s="426">
        <v>1257</v>
      </c>
      <c r="AB139" s="426">
        <v>1269</v>
      </c>
      <c r="AC139" s="426">
        <v>1392</v>
      </c>
      <c r="AD139" s="426">
        <v>1770</v>
      </c>
      <c r="AE139" s="426">
        <v>1800</v>
      </c>
      <c r="AF139" s="479">
        <f t="shared" ref="AF139:AH141" si="354">+AE139</f>
        <v>1800</v>
      </c>
      <c r="AG139" s="479">
        <f t="shared" si="354"/>
        <v>1800</v>
      </c>
      <c r="AH139" s="479">
        <f t="shared" si="354"/>
        <v>1800</v>
      </c>
    </row>
    <row r="140" spans="2:38">
      <c r="C140" s="281" t="s">
        <v>439</v>
      </c>
      <c r="D140" s="293" t="s">
        <v>589</v>
      </c>
      <c r="E140" s="452"/>
      <c r="F140" s="452"/>
      <c r="G140" s="452"/>
      <c r="H140" s="426">
        <v>1.19</v>
      </c>
      <c r="I140" s="426">
        <v>1.23</v>
      </c>
      <c r="J140" s="426">
        <v>1.25</v>
      </c>
      <c r="K140" s="426">
        <v>1.06</v>
      </c>
      <c r="L140" s="426">
        <v>1.08</v>
      </c>
      <c r="M140" s="426">
        <v>0.96</v>
      </c>
      <c r="N140" s="426">
        <v>0.89</v>
      </c>
      <c r="O140" s="426">
        <v>1.06</v>
      </c>
      <c r="P140" s="426">
        <v>1.19</v>
      </c>
      <c r="Q140" s="426">
        <v>1.25</v>
      </c>
      <c r="R140" s="426">
        <v>1.32</v>
      </c>
      <c r="S140" s="426">
        <v>1.06</v>
      </c>
      <c r="T140" s="426">
        <v>1.36</v>
      </c>
      <c r="U140" s="426">
        <v>1.7</v>
      </c>
      <c r="V140" s="479">
        <v>1</v>
      </c>
      <c r="W140" s="479">
        <v>1</v>
      </c>
      <c r="X140" s="479">
        <v>1</v>
      </c>
      <c r="Y140" s="283"/>
      <c r="Z140" s="426">
        <v>0.85</v>
      </c>
      <c r="AA140" s="426">
        <v>1.05</v>
      </c>
      <c r="AB140" s="426">
        <v>1.02</v>
      </c>
      <c r="AC140" s="426">
        <v>0.91</v>
      </c>
      <c r="AD140" s="426">
        <v>0.83</v>
      </c>
      <c r="AE140" s="426">
        <v>1.36</v>
      </c>
      <c r="AF140" s="479">
        <f t="shared" si="354"/>
        <v>1.36</v>
      </c>
      <c r="AG140" s="479">
        <f t="shared" si="354"/>
        <v>1.36</v>
      </c>
      <c r="AH140" s="479">
        <f t="shared" si="354"/>
        <v>1.36</v>
      </c>
    </row>
    <row r="141" spans="2:38">
      <c r="C141" s="281" t="s">
        <v>441</v>
      </c>
      <c r="D141" s="293" t="s">
        <v>589</v>
      </c>
      <c r="E141" s="452"/>
      <c r="F141" s="452"/>
      <c r="G141" s="452"/>
      <c r="H141" s="426">
        <v>0.89</v>
      </c>
      <c r="I141" s="426">
        <v>0.92</v>
      </c>
      <c r="J141" s="426">
        <v>0.85</v>
      </c>
      <c r="K141" s="426">
        <v>0.92</v>
      </c>
      <c r="L141" s="426">
        <v>0.92</v>
      </c>
      <c r="M141" s="426">
        <v>0.84</v>
      </c>
      <c r="N141" s="426">
        <v>0.76</v>
      </c>
      <c r="O141" s="426">
        <v>0.85</v>
      </c>
      <c r="P141" s="426">
        <v>0.87</v>
      </c>
      <c r="Q141" s="426">
        <v>0.92</v>
      </c>
      <c r="R141" s="426">
        <v>0.96</v>
      </c>
      <c r="S141" s="426">
        <v>1.36</v>
      </c>
      <c r="T141" s="426">
        <v>1</v>
      </c>
      <c r="U141" s="426">
        <v>1.06</v>
      </c>
      <c r="V141" s="479">
        <v>0.85</v>
      </c>
      <c r="W141" s="479">
        <v>0.85</v>
      </c>
      <c r="X141" s="479">
        <v>0.85</v>
      </c>
      <c r="Y141" s="283"/>
      <c r="Z141" s="426">
        <v>0.95</v>
      </c>
      <c r="AA141" s="426">
        <v>1.31</v>
      </c>
      <c r="AB141" s="426">
        <v>1.33</v>
      </c>
      <c r="AC141" s="426">
        <v>1.1599999999999999</v>
      </c>
      <c r="AD141" s="426">
        <v>1.03</v>
      </c>
      <c r="AE141" s="426">
        <v>1</v>
      </c>
      <c r="AF141" s="479">
        <f t="shared" si="354"/>
        <v>1</v>
      </c>
      <c r="AG141" s="479">
        <f t="shared" si="354"/>
        <v>1</v>
      </c>
      <c r="AH141" s="479">
        <f t="shared" si="354"/>
        <v>1</v>
      </c>
    </row>
    <row r="142" spans="2:38">
      <c r="H142" s="426"/>
      <c r="I142" s="426"/>
      <c r="J142" s="426"/>
      <c r="K142" s="426"/>
      <c r="L142" s="426"/>
      <c r="M142" s="426"/>
      <c r="N142" s="426"/>
      <c r="O142" s="426"/>
      <c r="P142" s="426"/>
      <c r="Q142" s="426"/>
      <c r="Y142" s="283"/>
    </row>
    <row r="143" spans="2:38">
      <c r="C143" s="414" t="s">
        <v>591</v>
      </c>
      <c r="Y143" s="283"/>
    </row>
    <row r="144" spans="2:38">
      <c r="B144" s="283"/>
      <c r="C144" s="283" t="s">
        <v>444</v>
      </c>
      <c r="D144" s="486" t="s">
        <v>292</v>
      </c>
      <c r="E144" s="305">
        <v>35.222000000000001</v>
      </c>
      <c r="F144" s="305">
        <v>38.424999999999997</v>
      </c>
      <c r="G144" s="305">
        <v>38.009</v>
      </c>
      <c r="H144" s="282">
        <f>SUMIF($Z$6:$AG$6,H$6,$Z144:$AG144)-SUM(E144:G144)</f>
        <v>32.953000000000017</v>
      </c>
      <c r="I144" s="305">
        <v>45.506</v>
      </c>
      <c r="J144" s="305">
        <v>36.298000000000002</v>
      </c>
      <c r="K144" s="305">
        <v>40.588000000000001</v>
      </c>
      <c r="L144" s="282">
        <f>SUMIF($Z$6:$AG$6,L$6,$Z144:$AG144)-SUM(I144:K144)</f>
        <v>69.843000000000018</v>
      </c>
      <c r="M144" s="305">
        <v>37.572000000000003</v>
      </c>
      <c r="N144" s="305">
        <v>61.756</v>
      </c>
      <c r="O144" s="305">
        <v>79.683999999999997</v>
      </c>
      <c r="P144" s="282">
        <f>SUMIF($Z$6:$AG$6,P$6,$Z144:$AG144)-SUM(M144:O144)</f>
        <v>81.214999999999975</v>
      </c>
      <c r="Q144" s="305">
        <v>77.760000000000019</v>
      </c>
      <c r="R144" s="305">
        <v>92.765000000000001</v>
      </c>
      <c r="S144" s="305">
        <v>61.89</v>
      </c>
      <c r="T144" s="282">
        <f>SUMIF($Z$6:$AG$6,T$6,$Z144:$AG144)-SUM(Q144:S144)</f>
        <v>61.230999999999995</v>
      </c>
      <c r="U144" s="305">
        <v>66.331999999999994</v>
      </c>
      <c r="V144" s="282">
        <f t="shared" ref="V144:X147" si="355">V188+V276+V364+V500+V588</f>
        <v>78.895331312495301</v>
      </c>
      <c r="W144" s="282">
        <f t="shared" si="355"/>
        <v>62.093800611486429</v>
      </c>
      <c r="X144" s="282">
        <f t="shared" si="355"/>
        <v>75.299108260960423</v>
      </c>
      <c r="Y144" s="283"/>
      <c r="Z144" s="305">
        <v>274.43799999999999</v>
      </c>
      <c r="AA144" s="305">
        <v>194.81299999999999</v>
      </c>
      <c r="AB144" s="305">
        <v>144.60900000000001</v>
      </c>
      <c r="AC144" s="305">
        <v>192.23500000000001</v>
      </c>
      <c r="AD144" s="305">
        <v>260.22699999999998</v>
      </c>
      <c r="AE144" s="305">
        <v>293.64600000000002</v>
      </c>
      <c r="AF144" s="282">
        <f t="shared" ref="AF144:AF147" si="356">SUMIF($E$5:$X$5,AF$5,$E144:$X144)</f>
        <v>282.62024018494219</v>
      </c>
      <c r="AG144" s="282">
        <f t="shared" ref="AG144:AH147" si="357">AG188+AG276+AG364+AG500+AG588</f>
        <v>291.51440980945461</v>
      </c>
      <c r="AH144" s="282">
        <f t="shared" si="357"/>
        <v>315.42458761475297</v>
      </c>
      <c r="AK144" s="729"/>
      <c r="AL144" s="729"/>
    </row>
    <row r="145" spans="1:38">
      <c r="B145" s="283"/>
      <c r="C145" s="283" t="s">
        <v>440</v>
      </c>
      <c r="D145" s="486" t="s">
        <v>292</v>
      </c>
      <c r="E145" s="305">
        <v>73.043999999999997</v>
      </c>
      <c r="F145" s="305">
        <v>77.635000000000005</v>
      </c>
      <c r="G145" s="305">
        <v>82.628</v>
      </c>
      <c r="H145" s="282">
        <f>SUMIF($Z$6:$AG$6,H$6,$Z145:$AG145)-SUM(E145:G145)</f>
        <v>79.769000000000005</v>
      </c>
      <c r="I145" s="305">
        <v>79.679000000000002</v>
      </c>
      <c r="J145" s="305">
        <v>78.165999999999997</v>
      </c>
      <c r="K145" s="305">
        <v>103.889</v>
      </c>
      <c r="L145" s="282">
        <f>SUMIF($Z$6:$AG$6,L$6,$Z145:$AG145)-SUM(I145:K145)</f>
        <v>126.86799999999999</v>
      </c>
      <c r="M145" s="305">
        <v>90.694000000000003</v>
      </c>
      <c r="N145" s="305">
        <v>89.212000000000003</v>
      </c>
      <c r="O145" s="305">
        <v>98.456999999999994</v>
      </c>
      <c r="P145" s="282">
        <f>SUMIF($Z$6:$AG$6,P$6,$Z145:$AG145)-SUM(M145:O145)</f>
        <v>77.802999999999997</v>
      </c>
      <c r="Q145" s="305">
        <v>101.40800000000002</v>
      </c>
      <c r="R145" s="305">
        <v>86.078000000000003</v>
      </c>
      <c r="S145" s="305">
        <v>94.983999999999995</v>
      </c>
      <c r="T145" s="282">
        <f>SUMIF($Z$6:$AG$6,T$6,$Z145:$AG145)-SUM(Q145:S145)</f>
        <v>79.56699999999995</v>
      </c>
      <c r="U145" s="305">
        <v>77.168000000000006</v>
      </c>
      <c r="V145" s="282">
        <f t="shared" si="355"/>
        <v>78.688820117484994</v>
      </c>
      <c r="W145" s="282">
        <f t="shared" si="355"/>
        <v>70.823701140779733</v>
      </c>
      <c r="X145" s="282">
        <f t="shared" si="355"/>
        <v>86.003011769288236</v>
      </c>
      <c r="Y145" s="283"/>
      <c r="Z145" s="305">
        <v>276.63</v>
      </c>
      <c r="AA145" s="305">
        <v>277.42099999999999</v>
      </c>
      <c r="AB145" s="305">
        <v>313.07600000000002</v>
      </c>
      <c r="AC145" s="305">
        <v>388.60199999999998</v>
      </c>
      <c r="AD145" s="305">
        <v>356.166</v>
      </c>
      <c r="AE145" s="305">
        <v>362.03699999999998</v>
      </c>
      <c r="AF145" s="282">
        <f t="shared" si="356"/>
        <v>312.68353302755293</v>
      </c>
      <c r="AG145" s="282">
        <f t="shared" si="357"/>
        <v>329.43665581187292</v>
      </c>
      <c r="AH145" s="282">
        <f t="shared" si="357"/>
        <v>356.87591795544631</v>
      </c>
      <c r="AK145" s="729"/>
      <c r="AL145" s="729"/>
    </row>
    <row r="146" spans="1:38">
      <c r="B146" s="283"/>
      <c r="C146" s="283" t="s">
        <v>439</v>
      </c>
      <c r="D146" s="486" t="s">
        <v>292</v>
      </c>
      <c r="E146" s="305">
        <v>30.109000000000002</v>
      </c>
      <c r="F146" s="305">
        <v>27.614000000000001</v>
      </c>
      <c r="G146" s="305">
        <v>20.99</v>
      </c>
      <c r="H146" s="282">
        <f>SUMIF($Z$6:$AG$6,H$6,$Z146:$AG146)-SUM(E146:G146)</f>
        <v>21.087000000000003</v>
      </c>
      <c r="I146" s="305">
        <v>24.754999999999999</v>
      </c>
      <c r="J146" s="305">
        <v>22.948</v>
      </c>
      <c r="K146" s="305">
        <v>15.292</v>
      </c>
      <c r="L146" s="282">
        <f>SUMIF($Z$6:$AG$6,L$6,$Z146:$AG146)-SUM(I146:K146)</f>
        <v>26.661000000000001</v>
      </c>
      <c r="M146" s="305">
        <v>17.308</v>
      </c>
      <c r="N146" s="305">
        <v>21.454999999999998</v>
      </c>
      <c r="O146" s="305">
        <v>26.779</v>
      </c>
      <c r="P146" s="282">
        <f>SUMIF($Z$6:$AG$6,P$6,$Z146:$AG146)-SUM(M146:O146)</f>
        <v>29.522999999999996</v>
      </c>
      <c r="Q146" s="305">
        <v>29.190999999999999</v>
      </c>
      <c r="R146" s="305">
        <v>30.036999999999999</v>
      </c>
      <c r="S146" s="305">
        <v>30.273</v>
      </c>
      <c r="T146" s="282">
        <f>SUMIF($Z$6:$AG$6,T$6,$Z146:$AG146)-SUM(Q146:S146)</f>
        <v>35.791000000000011</v>
      </c>
      <c r="U146" s="305">
        <v>35.637999999999998</v>
      </c>
      <c r="V146" s="282">
        <f t="shared" ca="1" si="355"/>
        <v>54.137965384818472</v>
      </c>
      <c r="W146" s="282">
        <f t="shared" ca="1" si="355"/>
        <v>49.077956877176348</v>
      </c>
      <c r="X146" s="282">
        <f t="shared" ca="1" si="355"/>
        <v>48.466088890763388</v>
      </c>
      <c r="Y146" s="283"/>
      <c r="Z146" s="305">
        <v>95.058000000000007</v>
      </c>
      <c r="AA146" s="305">
        <v>104.023</v>
      </c>
      <c r="AB146" s="305">
        <v>99.8</v>
      </c>
      <c r="AC146" s="305">
        <v>89.656000000000006</v>
      </c>
      <c r="AD146" s="305">
        <v>95.064999999999998</v>
      </c>
      <c r="AE146" s="305">
        <v>125.292</v>
      </c>
      <c r="AF146" s="282">
        <f t="shared" ca="1" si="356"/>
        <v>187.32001115275821</v>
      </c>
      <c r="AG146" s="282">
        <f t="shared" ca="1" si="357"/>
        <v>200.46432991737112</v>
      </c>
      <c r="AH146" s="282">
        <f t="shared" ca="1" si="357"/>
        <v>211.91943448407807</v>
      </c>
      <c r="AK146" s="729"/>
      <c r="AL146" s="729"/>
    </row>
    <row r="147" spans="1:38">
      <c r="B147" s="283"/>
      <c r="C147" s="283" t="s">
        <v>441</v>
      </c>
      <c r="D147" s="486" t="s">
        <v>292</v>
      </c>
      <c r="E147" s="305">
        <v>9.2270000000000003</v>
      </c>
      <c r="F147" s="305">
        <v>10.69</v>
      </c>
      <c r="G147" s="305">
        <v>7.5519999999999996</v>
      </c>
      <c r="H147" s="282">
        <f>SUMIF($Z$6:$AG$6,H$6,$Z147:$AG147)-SUM(E147:G147)</f>
        <v>6.3599999999999994</v>
      </c>
      <c r="I147" s="305">
        <v>9.0250000000000004</v>
      </c>
      <c r="J147" s="305">
        <v>6.67</v>
      </c>
      <c r="K147" s="305">
        <v>7.1139999999999999</v>
      </c>
      <c r="L147" s="282">
        <f>SUMIF($Z$6:$AG$6,L$6,$Z147:$AG147)-SUM(I147:K147)</f>
        <v>12.968</v>
      </c>
      <c r="M147" s="305">
        <v>6.42</v>
      </c>
      <c r="N147" s="305">
        <v>12.454000000000001</v>
      </c>
      <c r="O147" s="305">
        <v>13.37</v>
      </c>
      <c r="P147" s="282">
        <f>SUMIF($Z$6:$AG$6,P$6,$Z147:$AG147)-SUM(M147:O147)</f>
        <v>16.532000000000004</v>
      </c>
      <c r="Q147" s="305">
        <v>15.893000000000001</v>
      </c>
      <c r="R147" s="305">
        <v>22.222999999999999</v>
      </c>
      <c r="S147" s="305">
        <v>18.082000000000001</v>
      </c>
      <c r="T147" s="282">
        <f>SUMIF($Z$6:$AG$6,T$6,$Z147:$AG147)-SUM(Q147:S147)</f>
        <v>19.232999999999997</v>
      </c>
      <c r="U147" s="305">
        <v>19.564</v>
      </c>
      <c r="V147" s="282">
        <f t="shared" ca="1" si="355"/>
        <v>27.863655293255128</v>
      </c>
      <c r="W147" s="282">
        <f t="shared" ca="1" si="355"/>
        <v>24.397195824136304</v>
      </c>
      <c r="X147" s="282">
        <f t="shared" ca="1" si="355"/>
        <v>27.027005419383336</v>
      </c>
      <c r="Y147" s="283"/>
      <c r="Z147" s="305">
        <v>63.942</v>
      </c>
      <c r="AA147" s="305">
        <v>37.994999999999997</v>
      </c>
      <c r="AB147" s="305">
        <v>33.829000000000001</v>
      </c>
      <c r="AC147" s="305">
        <v>35.777000000000001</v>
      </c>
      <c r="AD147" s="305">
        <v>48.776000000000003</v>
      </c>
      <c r="AE147" s="305">
        <v>75.430999999999997</v>
      </c>
      <c r="AF147" s="282">
        <f t="shared" ca="1" si="356"/>
        <v>98.851856536774761</v>
      </c>
      <c r="AG147" s="282">
        <f t="shared" ca="1" si="357"/>
        <v>104.90258034761803</v>
      </c>
      <c r="AH147" s="282">
        <f t="shared" ca="1" si="357"/>
        <v>110.89701351033906</v>
      </c>
      <c r="AK147" s="729"/>
      <c r="AL147" s="729"/>
    </row>
    <row r="148" spans="1:38">
      <c r="B148" s="283"/>
      <c r="C148" s="432" t="s">
        <v>581</v>
      </c>
      <c r="D148" s="486" t="s">
        <v>292</v>
      </c>
      <c r="E148" s="282">
        <f t="shared" ref="E148:AA148" si="358">-E157</f>
        <v>-7.8930000000000184</v>
      </c>
      <c r="F148" s="282">
        <f t="shared" si="358"/>
        <v>-7.1050000000000075</v>
      </c>
      <c r="G148" s="282">
        <f t="shared" si="358"/>
        <v>-5.5300000000000162</v>
      </c>
      <c r="H148" s="282">
        <f t="shared" si="358"/>
        <v>-3.6490000000000626</v>
      </c>
      <c r="I148" s="282">
        <f t="shared" si="358"/>
        <v>-6.3479999999999936</v>
      </c>
      <c r="J148" s="282">
        <f t="shared" si="358"/>
        <v>-9.9100000000000037</v>
      </c>
      <c r="K148" s="282">
        <f t="shared" si="358"/>
        <v>-5.3510000000000062</v>
      </c>
      <c r="L148" s="282">
        <f t="shared" si="358"/>
        <v>-11.395000000000051</v>
      </c>
      <c r="M148" s="282">
        <f t="shared" si="358"/>
        <v>-15.06900000000002</v>
      </c>
      <c r="N148" s="282">
        <f t="shared" si="358"/>
        <v>-18.522000000000009</v>
      </c>
      <c r="O148" s="282">
        <f t="shared" si="358"/>
        <v>-18.587000000000007</v>
      </c>
      <c r="P148" s="282">
        <f t="shared" si="358"/>
        <v>-16.182999999999982</v>
      </c>
      <c r="Q148" s="282">
        <f t="shared" si="358"/>
        <v>-13.400000000000032</v>
      </c>
      <c r="R148" s="305">
        <v>-13.12</v>
      </c>
      <c r="S148" s="305">
        <v>-11.669</v>
      </c>
      <c r="T148" s="282">
        <f t="shared" ref="T148" si="359">-T157</f>
        <v>-10.743999999999948</v>
      </c>
      <c r="U148" s="305">
        <v>-12.202999999999999</v>
      </c>
      <c r="V148" s="282">
        <f t="shared" ref="V148:X148" ca="1" si="360">-V157</f>
        <v>-16.228936745438727</v>
      </c>
      <c r="W148" s="282">
        <f t="shared" ca="1" si="360"/>
        <v>-13.56145132710208</v>
      </c>
      <c r="X148" s="282">
        <f t="shared" ca="1" si="360"/>
        <v>-15.049391956799008</v>
      </c>
      <c r="Y148" s="283"/>
      <c r="Z148" s="282">
        <f t="shared" si="358"/>
        <v>-89.536999999999964</v>
      </c>
      <c r="AA148" s="282">
        <f t="shared" si="358"/>
        <v>-36.476999999999975</v>
      </c>
      <c r="AB148" s="282">
        <f>SUMIF($E$5:$T$5,AB$5,$E148:$T148)</f>
        <v>-24.177000000000103</v>
      </c>
      <c r="AC148" s="282">
        <f>SUMIF($E$5:$T$5,AC$5,$E148:$T148)</f>
        <v>-33.004000000000055</v>
      </c>
      <c r="AD148" s="282">
        <f>SUMIF($E$5:$T$5,AD$5,$E148:$T148)</f>
        <v>-68.361000000000018</v>
      </c>
      <c r="AE148" s="282">
        <f>SUMIF($E$5:$T$5,AE$5,$E148:$T148)</f>
        <v>-48.932999999999986</v>
      </c>
      <c r="AF148" s="282">
        <f ca="1">-AF157</f>
        <v>-57.042780029339831</v>
      </c>
      <c r="AG148" s="282">
        <f ca="1">-AG157</f>
        <v>-61.320655865378455</v>
      </c>
      <c r="AH148" s="282">
        <f ca="1">-AH157</f>
        <v>-65.662422725266879</v>
      </c>
      <c r="AK148" s="729"/>
      <c r="AL148" s="729"/>
    </row>
    <row r="149" spans="1:38">
      <c r="B149" s="283"/>
      <c r="C149" s="316" t="s">
        <v>578</v>
      </c>
      <c r="D149" s="486"/>
      <c r="E149" s="382">
        <f t="shared" ref="E149:S149" si="361">SUM(E144:E148)</f>
        <v>139.70899999999997</v>
      </c>
      <c r="F149" s="382">
        <f t="shared" si="361"/>
        <v>147.25899999999999</v>
      </c>
      <c r="G149" s="382">
        <f t="shared" si="361"/>
        <v>143.64899999999997</v>
      </c>
      <c r="H149" s="382">
        <f t="shared" si="361"/>
        <v>136.51999999999998</v>
      </c>
      <c r="I149" s="382">
        <f t="shared" si="361"/>
        <v>152.61700000000002</v>
      </c>
      <c r="J149" s="382">
        <f t="shared" si="361"/>
        <v>134.172</v>
      </c>
      <c r="K149" s="382">
        <f t="shared" si="361"/>
        <v>161.53200000000001</v>
      </c>
      <c r="L149" s="382">
        <f t="shared" si="361"/>
        <v>224.94499999999996</v>
      </c>
      <c r="M149" s="382">
        <f t="shared" si="361"/>
        <v>136.92499999999998</v>
      </c>
      <c r="N149" s="382">
        <f t="shared" si="361"/>
        <v>166.35499999999999</v>
      </c>
      <c r="O149" s="382">
        <f t="shared" si="361"/>
        <v>199.70299999999997</v>
      </c>
      <c r="P149" s="382">
        <f t="shared" si="361"/>
        <v>188.89</v>
      </c>
      <c r="Q149" s="382">
        <f t="shared" si="361"/>
        <v>210.852</v>
      </c>
      <c r="R149" s="769">
        <f t="shared" si="361"/>
        <v>217.983</v>
      </c>
      <c r="S149" s="382">
        <f t="shared" si="361"/>
        <v>193.55999999999997</v>
      </c>
      <c r="T149" s="382">
        <f t="shared" ref="T149" si="362">SUM(T144:T148)</f>
        <v>185.078</v>
      </c>
      <c r="U149" s="382">
        <f t="shared" ref="U149:X149" si="363">SUM(U144:U148)</f>
        <v>186.499</v>
      </c>
      <c r="V149" s="382">
        <f t="shared" ca="1" si="363"/>
        <v>223.35683536261519</v>
      </c>
      <c r="W149" s="382">
        <f t="shared" ca="1" si="363"/>
        <v>192.83120312647674</v>
      </c>
      <c r="X149" s="382">
        <f t="shared" ca="1" si="363"/>
        <v>221.74582238359636</v>
      </c>
      <c r="Y149" s="283"/>
      <c r="Z149" s="382">
        <f t="shared" ref="Z149:AG149" si="364">SUM(Z144:Z148)</f>
        <v>620.53100000000006</v>
      </c>
      <c r="AA149" s="382">
        <f t="shared" si="364"/>
        <v>577.77499999999998</v>
      </c>
      <c r="AB149" s="382">
        <f t="shared" si="364"/>
        <v>567.13699999999983</v>
      </c>
      <c r="AC149" s="382">
        <f t="shared" si="364"/>
        <v>673.26599999999996</v>
      </c>
      <c r="AD149" s="797">
        <f t="shared" si="364"/>
        <v>691.87300000000005</v>
      </c>
      <c r="AE149" s="382">
        <f t="shared" si="364"/>
        <v>807.47300000000007</v>
      </c>
      <c r="AF149" s="382">
        <f t="shared" ca="1" si="364"/>
        <v>824.43286087268825</v>
      </c>
      <c r="AG149" s="382">
        <f t="shared" ca="1" si="364"/>
        <v>864.99732002093833</v>
      </c>
      <c r="AH149" s="382">
        <f t="shared" ref="AH149" ca="1" si="365">SUM(AH144:AH148)</f>
        <v>929.45453083934945</v>
      </c>
    </row>
    <row r="150" spans="1:38">
      <c r="Y150" s="283"/>
    </row>
    <row r="151" spans="1:38">
      <c r="C151" s="483" t="s">
        <v>594</v>
      </c>
      <c r="Y151" s="283"/>
    </row>
    <row r="152" spans="1:38">
      <c r="C152" s="283" t="s">
        <v>582</v>
      </c>
      <c r="D152" s="293" t="s">
        <v>292</v>
      </c>
      <c r="E152" s="282">
        <f t="shared" ref="E152:T152" si="366">E194</f>
        <v>6.9042618751599605</v>
      </c>
      <c r="F152" s="282">
        <f t="shared" si="366"/>
        <v>6.5116655142947479</v>
      </c>
      <c r="G152" s="282">
        <f t="shared" si="366"/>
        <v>5.672461615144428</v>
      </c>
      <c r="H152" s="282">
        <f t="shared" si="366"/>
        <v>3.7455908933211006</v>
      </c>
      <c r="I152" s="282">
        <f t="shared" si="366"/>
        <v>6.0322312762122721</v>
      </c>
      <c r="J152" s="282">
        <f t="shared" si="366"/>
        <v>9.0785080580239494</v>
      </c>
      <c r="K152" s="282">
        <f t="shared" si="366"/>
        <v>3.8267940344792848</v>
      </c>
      <c r="L152" s="282">
        <f t="shared" si="366"/>
        <v>11.3071424657779</v>
      </c>
      <c r="M152" s="282">
        <f t="shared" si="366"/>
        <v>15.385563778625155</v>
      </c>
      <c r="N152" s="282">
        <f t="shared" si="366"/>
        <v>14.518702281306247</v>
      </c>
      <c r="O152" s="282">
        <f t="shared" si="366"/>
        <v>15.635048100218967</v>
      </c>
      <c r="P152" s="282">
        <f t="shared" si="366"/>
        <v>11.273641610110175</v>
      </c>
      <c r="Q152" s="282">
        <f t="shared" si="366"/>
        <v>8.6985467747749396</v>
      </c>
      <c r="R152" s="282">
        <f t="shared" si="366"/>
        <v>9.4070879048338583</v>
      </c>
      <c r="S152" s="282">
        <f t="shared" ref="S152" si="367">S194</f>
        <v>7.7851033669352461</v>
      </c>
      <c r="T152" s="282">
        <f t="shared" si="366"/>
        <v>7.8728548976783372</v>
      </c>
      <c r="U152" s="282">
        <f t="shared" ref="U152:X152" si="368">U194</f>
        <v>8.1610625289576717</v>
      </c>
      <c r="V152" s="282">
        <f t="shared" ca="1" si="368"/>
        <v>10.980292263551734</v>
      </c>
      <c r="W152" s="282">
        <f t="shared" ca="1" si="368"/>
        <v>8.7566927205862193</v>
      </c>
      <c r="X152" s="282">
        <f t="shared" ca="1" si="368"/>
        <v>9.4761947929172283</v>
      </c>
      <c r="Y152" s="283"/>
      <c r="Z152" s="282">
        <f>Z194</f>
        <v>46.084299229417638</v>
      </c>
      <c r="AA152" s="282">
        <f>AA194</f>
        <v>31.732534919298416</v>
      </c>
      <c r="AB152" s="282">
        <f t="shared" ref="AB152:AF156" si="369">SUMIF($E$5:$X$5,AB$5,$E152:$X152)</f>
        <v>22.833979897920237</v>
      </c>
      <c r="AC152" s="282">
        <f t="shared" si="369"/>
        <v>30.244675834493407</v>
      </c>
      <c r="AD152" s="282">
        <f t="shared" si="369"/>
        <v>56.812955770260544</v>
      </c>
      <c r="AE152" s="282">
        <f t="shared" si="369"/>
        <v>33.763592944222381</v>
      </c>
      <c r="AF152" s="282">
        <f t="shared" ca="1" si="369"/>
        <v>37.374242306012853</v>
      </c>
      <c r="AG152" s="282">
        <f ca="1">AG194</f>
        <v>39.007439743812206</v>
      </c>
      <c r="AH152" s="282">
        <f ca="1">AH194</f>
        <v>41.805646790664788</v>
      </c>
    </row>
    <row r="153" spans="1:38">
      <c r="C153" s="283" t="s">
        <v>583</v>
      </c>
      <c r="D153" s="293" t="s">
        <v>292</v>
      </c>
      <c r="E153" s="282">
        <f>E282</f>
        <v>0.82745792486135272</v>
      </c>
      <c r="F153" s="282">
        <f t="shared" ref="F153:T153" si="370">F282</f>
        <v>0.45047205535596424</v>
      </c>
      <c r="G153" s="282">
        <f t="shared" si="370"/>
        <v>1.0999999999999999E-2</v>
      </c>
      <c r="H153" s="282">
        <f t="shared" si="370"/>
        <v>-0.14040671510808922</v>
      </c>
      <c r="I153" s="282">
        <f t="shared" si="370"/>
        <v>0.11989177616089064</v>
      </c>
      <c r="J153" s="282">
        <f t="shared" si="370"/>
        <v>0.49332590488603678</v>
      </c>
      <c r="K153" s="282">
        <f t="shared" si="370"/>
        <v>0.66465061448476881</v>
      </c>
      <c r="L153" s="282">
        <f t="shared" si="370"/>
        <v>-0.17067540212188881</v>
      </c>
      <c r="M153" s="282">
        <f t="shared" si="370"/>
        <v>6.305643348081702E-3</v>
      </c>
      <c r="N153" s="282">
        <f t="shared" si="370"/>
        <v>3.101010916442883</v>
      </c>
      <c r="O153" s="282">
        <f t="shared" si="370"/>
        <v>2.6902573623518293</v>
      </c>
      <c r="P153" s="282">
        <f t="shared" si="370"/>
        <v>3.9823108201602864</v>
      </c>
      <c r="Q153" s="282">
        <f t="shared" si="370"/>
        <v>4.7990598661896513</v>
      </c>
      <c r="R153" s="282">
        <f t="shared" si="370"/>
        <v>3.5263938639194023</v>
      </c>
      <c r="S153" s="282">
        <f t="shared" ref="S153" si="371">S282</f>
        <v>3.8500389040415612</v>
      </c>
      <c r="T153" s="282">
        <f t="shared" si="370"/>
        <v>2.7726090221442874</v>
      </c>
      <c r="U153" s="282">
        <f t="shared" ref="U153:X153" si="372">U282</f>
        <v>3.7535002241010957</v>
      </c>
      <c r="V153" s="282">
        <f t="shared" si="372"/>
        <v>4.9946275745735988</v>
      </c>
      <c r="W153" s="282">
        <f t="shared" si="372"/>
        <v>4.5627593314515629</v>
      </c>
      <c r="X153" s="282">
        <f t="shared" si="372"/>
        <v>5.2679120950275751</v>
      </c>
      <c r="Y153" s="283"/>
      <c r="Z153" s="282">
        <f>Z282</f>
        <v>16.895279558824384</v>
      </c>
      <c r="AA153" s="282">
        <f>AA282</f>
        <v>2.4864455735721123</v>
      </c>
      <c r="AB153" s="282">
        <f t="shared" si="369"/>
        <v>1.1485232651092276</v>
      </c>
      <c r="AC153" s="282">
        <f t="shared" si="369"/>
        <v>1.1071928934098074</v>
      </c>
      <c r="AD153" s="282">
        <f t="shared" si="369"/>
        <v>9.7798847423030804</v>
      </c>
      <c r="AE153" s="282">
        <f t="shared" si="369"/>
        <v>14.948101656294902</v>
      </c>
      <c r="AF153" s="282">
        <f t="shared" si="369"/>
        <v>18.578799225153833</v>
      </c>
      <c r="AG153" s="282">
        <f ca="1">AG282</f>
        <v>22.057969752727985</v>
      </c>
      <c r="AH153" s="282">
        <f ca="1">AH282</f>
        <v>23.580269721413817</v>
      </c>
    </row>
    <row r="154" spans="1:38">
      <c r="C154" s="283" t="s">
        <v>584</v>
      </c>
      <c r="D154" s="293" t="s">
        <v>292</v>
      </c>
      <c r="E154" s="282">
        <f>E370</f>
        <v>9.0526981948457319E-2</v>
      </c>
      <c r="F154" s="282">
        <f t="shared" ref="F154:T154" si="373">F370</f>
        <v>4.7411693411850919E-2</v>
      </c>
      <c r="G154" s="282">
        <f t="shared" si="373"/>
        <v>-0.11304909405258101</v>
      </c>
      <c r="H154" s="282">
        <f t="shared" si="373"/>
        <v>1.2034006502547712E-2</v>
      </c>
      <c r="I154" s="282">
        <f t="shared" si="373"/>
        <v>7.4171703914183595E-2</v>
      </c>
      <c r="J154" s="282">
        <f t="shared" si="373"/>
        <v>0.14418446448348199</v>
      </c>
      <c r="K154" s="282">
        <f t="shared" si="373"/>
        <v>0.54052614655588904</v>
      </c>
      <c r="L154" s="282">
        <f t="shared" si="373"/>
        <v>0.17734705045196364</v>
      </c>
      <c r="M154" s="282">
        <f t="shared" si="373"/>
        <v>-0.29552110777193974</v>
      </c>
      <c r="N154" s="282">
        <f t="shared" si="373"/>
        <v>0.18561504723986477</v>
      </c>
      <c r="O154" s="282">
        <f t="shared" si="373"/>
        <v>-2.957785190543305E-2</v>
      </c>
      <c r="P154" s="282">
        <f t="shared" si="373"/>
        <v>6.3911496356787723E-3</v>
      </c>
      <c r="Q154" s="282">
        <f t="shared" si="373"/>
        <v>-2.7509147761028419E-3</v>
      </c>
      <c r="R154" s="282">
        <f t="shared" si="373"/>
        <v>-2.839707869853117E-4</v>
      </c>
      <c r="S154" s="282">
        <f t="shared" ref="S154" si="374">S370</f>
        <v>0</v>
      </c>
      <c r="T154" s="282">
        <f t="shared" si="373"/>
        <v>0</v>
      </c>
      <c r="U154" s="282">
        <f t="shared" ref="U154:X154" si="375">U370</f>
        <v>0</v>
      </c>
      <c r="V154" s="282">
        <f t="shared" si="375"/>
        <v>0</v>
      </c>
      <c r="W154" s="282">
        <f t="shared" si="375"/>
        <v>0</v>
      </c>
      <c r="X154" s="282">
        <f t="shared" si="375"/>
        <v>0</v>
      </c>
      <c r="Y154" s="283"/>
      <c r="Z154" s="282">
        <f>Z370</f>
        <v>-6.7518271312351885E-2</v>
      </c>
      <c r="AA154" s="282">
        <f>AA370</f>
        <v>1.7139030443886867</v>
      </c>
      <c r="AB154" s="282">
        <f t="shared" si="369"/>
        <v>3.6923587810274938E-2</v>
      </c>
      <c r="AC154" s="282">
        <f t="shared" si="369"/>
        <v>0.93622936540551827</v>
      </c>
      <c r="AD154" s="282">
        <f t="shared" si="369"/>
        <v>-0.13309276280182925</v>
      </c>
      <c r="AE154" s="282">
        <f t="shared" si="369"/>
        <v>-3.0348855630881535E-3</v>
      </c>
      <c r="AF154" s="282">
        <f t="shared" si="369"/>
        <v>0</v>
      </c>
      <c r="AG154" s="282">
        <f ca="1">AG370</f>
        <v>0</v>
      </c>
      <c r="AH154" s="282">
        <f ca="1">AH370</f>
        <v>0</v>
      </c>
    </row>
    <row r="155" spans="1:38">
      <c r="C155" s="283" t="s">
        <v>585</v>
      </c>
      <c r="D155" s="293" t="s">
        <v>292</v>
      </c>
      <c r="E155" s="282">
        <f t="shared" ref="E155:T155" si="376">E506</f>
        <v>7.0753218030247922E-2</v>
      </c>
      <c r="F155" s="282">
        <f t="shared" si="376"/>
        <v>9.5450736937443992E-2</v>
      </c>
      <c r="G155" s="282">
        <f t="shared" si="376"/>
        <v>-7.8385014357571947E-2</v>
      </c>
      <c r="H155" s="282">
        <f t="shared" si="376"/>
        <v>-8.5273924058462569E-2</v>
      </c>
      <c r="I155" s="282">
        <f t="shared" si="376"/>
        <v>9.997102814853065E-2</v>
      </c>
      <c r="J155" s="282">
        <f t="shared" si="376"/>
        <v>0.37693503247199089</v>
      </c>
      <c r="K155" s="282">
        <f t="shared" si="376"/>
        <v>8.6840577544720077E-3</v>
      </c>
      <c r="L155" s="282">
        <f t="shared" si="376"/>
        <v>0.29301482752388353</v>
      </c>
      <c r="M155" s="282">
        <f t="shared" si="376"/>
        <v>0.14012219619812782</v>
      </c>
      <c r="N155" s="282">
        <f t="shared" si="376"/>
        <v>-1.4604442160361941E-2</v>
      </c>
      <c r="O155" s="282">
        <f t="shared" si="376"/>
        <v>0.82514165014260499</v>
      </c>
      <c r="P155" s="282">
        <f t="shared" si="376"/>
        <v>-2.1203435799061552</v>
      </c>
      <c r="Q155" s="282">
        <f t="shared" si="376"/>
        <v>-0.34081151561019851</v>
      </c>
      <c r="R155" s="282">
        <f t="shared" si="376"/>
        <v>-3.1892316838977308E-2</v>
      </c>
      <c r="S155" s="282">
        <f t="shared" ref="S155" si="377">S506</f>
        <v>8.3565416934568759E-2</v>
      </c>
      <c r="T155" s="282">
        <f t="shared" si="376"/>
        <v>3.7940537992355416E-2</v>
      </c>
      <c r="U155" s="282">
        <f t="shared" ref="U155:X155" si="378">U506</f>
        <v>0.27719227320745432</v>
      </c>
      <c r="V155" s="282">
        <f t="shared" si="378"/>
        <v>0.25401690731339499</v>
      </c>
      <c r="W155" s="282">
        <f t="shared" si="378"/>
        <v>0.24199927506429866</v>
      </c>
      <c r="X155" s="282">
        <f t="shared" si="378"/>
        <v>0.30528506885420587</v>
      </c>
      <c r="Y155" s="283"/>
      <c r="Z155" s="282">
        <f>Z506</f>
        <v>1.1989394830702906</v>
      </c>
      <c r="AA155" s="282">
        <f>AA506</f>
        <v>0.5441164627407602</v>
      </c>
      <c r="AB155" s="282">
        <f t="shared" si="369"/>
        <v>2.5450165516573975E-3</v>
      </c>
      <c r="AC155" s="282">
        <f t="shared" si="369"/>
        <v>0.77860494589887708</v>
      </c>
      <c r="AD155" s="282">
        <f t="shared" si="369"/>
        <v>-1.1696841757257843</v>
      </c>
      <c r="AE155" s="282">
        <f t="shared" si="369"/>
        <v>-0.25119787752225164</v>
      </c>
      <c r="AF155" s="282">
        <f t="shared" si="369"/>
        <v>1.0784935244393539</v>
      </c>
      <c r="AG155" s="282">
        <f ca="1">AG506</f>
        <v>0.25524636883826146</v>
      </c>
      <c r="AH155" s="282">
        <f ca="1">AH506</f>
        <v>0.27650621318827162</v>
      </c>
    </row>
    <row r="156" spans="1:38">
      <c r="C156" s="432" t="s">
        <v>586</v>
      </c>
      <c r="D156" s="293" t="s">
        <v>292</v>
      </c>
      <c r="E156" s="282">
        <f t="shared" ref="E156:T156" si="379">E594</f>
        <v>0</v>
      </c>
      <c r="F156" s="282">
        <f t="shared" si="379"/>
        <v>0</v>
      </c>
      <c r="G156" s="282">
        <f t="shared" si="379"/>
        <v>3.7972493265741036E-2</v>
      </c>
      <c r="H156" s="282">
        <f t="shared" si="379"/>
        <v>0.11705573934296609</v>
      </c>
      <c r="I156" s="282">
        <f t="shared" si="379"/>
        <v>2.1734215564116255E-2</v>
      </c>
      <c r="J156" s="282">
        <f t="shared" si="379"/>
        <v>-0.18295345986545541</v>
      </c>
      <c r="K156" s="282">
        <f t="shared" si="379"/>
        <v>0.31034514672559155</v>
      </c>
      <c r="L156" s="282">
        <f t="shared" si="379"/>
        <v>-0.21182894163180777</v>
      </c>
      <c r="M156" s="282">
        <f t="shared" si="379"/>
        <v>-0.1674705103994043</v>
      </c>
      <c r="N156" s="282">
        <f t="shared" si="379"/>
        <v>0.73127619717137904</v>
      </c>
      <c r="O156" s="282">
        <f t="shared" si="379"/>
        <v>-0.53386926080796115</v>
      </c>
      <c r="P156" s="282">
        <f t="shared" si="379"/>
        <v>3.0409999999999968</v>
      </c>
      <c r="Q156" s="282">
        <f t="shared" si="379"/>
        <v>0.24595578942174257</v>
      </c>
      <c r="R156" s="282">
        <f t="shared" si="379"/>
        <v>0.21869451887268276</v>
      </c>
      <c r="S156" s="282">
        <f t="shared" ref="S156" si="380">S594</f>
        <v>-4.9707687911389797E-2</v>
      </c>
      <c r="T156" s="282">
        <f t="shared" si="379"/>
        <v>6.059554218496821E-2</v>
      </c>
      <c r="U156" s="282">
        <f t="shared" ref="U156:X156" si="381">U594</f>
        <v>1.1244973733786412E-2</v>
      </c>
      <c r="V156" s="282">
        <f t="shared" si="381"/>
        <v>0</v>
      </c>
      <c r="W156" s="282">
        <f t="shared" si="381"/>
        <v>0</v>
      </c>
      <c r="X156" s="282">
        <f t="shared" si="381"/>
        <v>0</v>
      </c>
      <c r="Y156" s="283"/>
      <c r="Z156" s="282">
        <f>Z594</f>
        <v>25.425999999999998</v>
      </c>
      <c r="AA156" s="282">
        <f>AA594</f>
        <v>0</v>
      </c>
      <c r="AB156" s="282">
        <f t="shared" si="369"/>
        <v>0.15502823260870713</v>
      </c>
      <c r="AC156" s="282">
        <f t="shared" si="369"/>
        <v>-6.2703039207555378E-2</v>
      </c>
      <c r="AD156" s="282">
        <f t="shared" si="369"/>
        <v>3.0709364259640104</v>
      </c>
      <c r="AE156" s="282">
        <f t="shared" si="369"/>
        <v>0.47553816256800374</v>
      </c>
      <c r="AF156" s="282">
        <f t="shared" si="369"/>
        <v>1.1244973733786412E-2</v>
      </c>
      <c r="AG156" s="282">
        <f ca="1">AG594</f>
        <v>0</v>
      </c>
      <c r="AH156" s="282">
        <f ca="1">AH594</f>
        <v>0</v>
      </c>
    </row>
    <row r="157" spans="1:38">
      <c r="C157" s="320" t="s">
        <v>576</v>
      </c>
      <c r="E157" s="382">
        <f>SUM(E152:E156)</f>
        <v>7.8930000000000184</v>
      </c>
      <c r="F157" s="382">
        <f>SUM(F152:F156)</f>
        <v>7.1050000000000075</v>
      </c>
      <c r="G157" s="382">
        <f>SUM(G152:G156)</f>
        <v>5.5300000000000162</v>
      </c>
      <c r="H157" s="382">
        <f>SUM(H152:H156)</f>
        <v>3.6490000000000626</v>
      </c>
      <c r="I157" s="382">
        <f>SUM(I152:I156)</f>
        <v>6.3479999999999936</v>
      </c>
      <c r="J157" s="382">
        <f t="shared" ref="J157:Q157" si="382">SUM(J152:J156)</f>
        <v>9.9100000000000037</v>
      </c>
      <c r="K157" s="382">
        <f t="shared" si="382"/>
        <v>5.3510000000000062</v>
      </c>
      <c r="L157" s="382">
        <f t="shared" si="382"/>
        <v>11.395000000000051</v>
      </c>
      <c r="M157" s="382">
        <f t="shared" si="382"/>
        <v>15.06900000000002</v>
      </c>
      <c r="N157" s="382">
        <f t="shared" si="382"/>
        <v>18.522000000000009</v>
      </c>
      <c r="O157" s="382">
        <f t="shared" si="382"/>
        <v>18.587000000000007</v>
      </c>
      <c r="P157" s="382">
        <f t="shared" si="382"/>
        <v>16.182999999999982</v>
      </c>
      <c r="Q157" s="382">
        <f t="shared" si="382"/>
        <v>13.400000000000032</v>
      </c>
      <c r="R157" s="382">
        <f>SUM(R152:R156)</f>
        <v>13.119999999999981</v>
      </c>
      <c r="S157" s="382">
        <f>SUM(S152:S156)</f>
        <v>11.668999999999986</v>
      </c>
      <c r="T157" s="382">
        <f>SUM(T152:T156)</f>
        <v>10.743999999999948</v>
      </c>
      <c r="U157" s="382">
        <f t="shared" ref="U157:X157" si="383">SUM(U152:U156)</f>
        <v>12.203000000000008</v>
      </c>
      <c r="V157" s="382">
        <f t="shared" ca="1" si="383"/>
        <v>16.228936745438727</v>
      </c>
      <c r="W157" s="382">
        <f t="shared" ca="1" si="383"/>
        <v>13.56145132710208</v>
      </c>
      <c r="X157" s="382">
        <f t="shared" ca="1" si="383"/>
        <v>15.049391956799008</v>
      </c>
      <c r="Y157" s="283"/>
      <c r="Z157" s="382">
        <f t="shared" ref="Z157:AG157" si="384">SUM(Z152:Z156)</f>
        <v>89.536999999999964</v>
      </c>
      <c r="AA157" s="382">
        <f t="shared" si="384"/>
        <v>36.476999999999975</v>
      </c>
      <c r="AB157" s="382">
        <f t="shared" si="384"/>
        <v>24.177000000000103</v>
      </c>
      <c r="AC157" s="382">
        <f t="shared" si="384"/>
        <v>33.004000000000055</v>
      </c>
      <c r="AD157" s="382">
        <f t="shared" si="384"/>
        <v>68.361000000000033</v>
      </c>
      <c r="AE157" s="382">
        <f t="shared" si="384"/>
        <v>48.93299999999995</v>
      </c>
      <c r="AF157" s="382">
        <f t="shared" ca="1" si="384"/>
        <v>57.042780029339831</v>
      </c>
      <c r="AG157" s="382">
        <f t="shared" ca="1" si="384"/>
        <v>61.320655865378455</v>
      </c>
      <c r="AH157" s="382">
        <f t="shared" ref="AH157" ca="1" si="385">SUM(AH152:AH156)</f>
        <v>65.662422725266879</v>
      </c>
    </row>
    <row r="158" spans="1:38" s="314" customFormat="1">
      <c r="A158" s="283"/>
      <c r="B158" s="326"/>
      <c r="C158" s="326"/>
      <c r="D158" s="489"/>
      <c r="E158" s="408"/>
      <c r="F158" s="408"/>
      <c r="G158" s="408"/>
      <c r="H158" s="408"/>
      <c r="I158" s="408"/>
      <c r="J158" s="408"/>
      <c r="K158" s="408"/>
      <c r="L158" s="408"/>
      <c r="M158" s="408"/>
      <c r="N158" s="408"/>
      <c r="O158" s="408"/>
      <c r="P158" s="408"/>
      <c r="Q158" s="408"/>
      <c r="R158" s="408"/>
      <c r="S158" s="408"/>
      <c r="T158" s="408"/>
      <c r="U158" s="408"/>
      <c r="V158" s="408"/>
      <c r="W158" s="408"/>
      <c r="X158" s="408"/>
      <c r="Y158" s="283"/>
      <c r="Z158" s="408"/>
      <c r="AA158" s="408"/>
      <c r="AB158" s="408"/>
      <c r="AC158" s="408"/>
      <c r="AD158" s="408"/>
      <c r="AE158" s="408"/>
      <c r="AF158" s="408"/>
      <c r="AG158" s="408"/>
      <c r="AH158" s="408"/>
    </row>
    <row r="159" spans="1:38" s="283" customFormat="1">
      <c r="B159" s="286" t="s">
        <v>137</v>
      </c>
      <c r="C159" s="287" t="s">
        <v>570</v>
      </c>
      <c r="D159" s="485"/>
      <c r="E159" s="286"/>
      <c r="F159" s="286"/>
      <c r="G159" s="286"/>
      <c r="H159" s="286"/>
      <c r="I159" s="286"/>
      <c r="J159" s="286"/>
      <c r="K159" s="286"/>
      <c r="L159" s="286"/>
      <c r="M159" s="286"/>
      <c r="N159" s="286"/>
      <c r="O159" s="286"/>
      <c r="P159" s="286"/>
      <c r="Q159" s="286"/>
      <c r="R159" s="286"/>
      <c r="S159" s="286"/>
      <c r="T159" s="286"/>
      <c r="U159" s="286"/>
      <c r="V159" s="286"/>
      <c r="W159" s="286"/>
      <c r="X159" s="286"/>
      <c r="Z159" s="286"/>
      <c r="AA159" s="286"/>
      <c r="AB159" s="286"/>
      <c r="AC159" s="286"/>
      <c r="AD159" s="286"/>
      <c r="AE159" s="286"/>
      <c r="AF159" s="286"/>
      <c r="AG159" s="286"/>
      <c r="AH159" s="286"/>
    </row>
    <row r="160" spans="1:38" s="281" customFormat="1">
      <c r="A160" s="283"/>
      <c r="D160" s="293"/>
      <c r="P160" s="283"/>
      <c r="Q160" s="380"/>
      <c r="R160" s="380"/>
      <c r="Y160" s="283"/>
    </row>
    <row r="161" spans="1:35">
      <c r="C161" s="414" t="s">
        <v>419</v>
      </c>
      <c r="E161" s="305">
        <v>211.43</v>
      </c>
      <c r="F161" s="305">
        <v>208.40899999999999</v>
      </c>
      <c r="G161" s="305">
        <v>213.03700000000001</v>
      </c>
      <c r="H161" s="305">
        <v>212.52199999999999</v>
      </c>
      <c r="I161" s="305">
        <v>206.82499999999999</v>
      </c>
      <c r="J161" s="305">
        <v>209.37</v>
      </c>
      <c r="K161" s="305">
        <v>213.55699999999999</v>
      </c>
      <c r="L161" s="305">
        <v>216.32400000000001</v>
      </c>
      <c r="M161" s="305">
        <v>198.804</v>
      </c>
      <c r="N161" s="305">
        <v>215.27500000000001</v>
      </c>
      <c r="O161" s="305">
        <v>215.23699999999999</v>
      </c>
      <c r="P161" s="305">
        <v>189.09200000000001</v>
      </c>
      <c r="Q161" s="305">
        <v>194.08</v>
      </c>
      <c r="R161" s="771">
        <v>214.93100000000001</v>
      </c>
      <c r="S161" s="771">
        <v>211.142</v>
      </c>
      <c r="T161" s="771">
        <v>221.81399999999999</v>
      </c>
      <c r="U161" s="771">
        <v>211.68700000000001</v>
      </c>
      <c r="V161" s="380">
        <f t="shared" ref="V161:X161" si="386">+V174/V168/V162</f>
        <v>211.57707560081627</v>
      </c>
      <c r="W161" s="380">
        <f t="shared" si="386"/>
        <v>151.93756747320214</v>
      </c>
      <c r="X161" s="380">
        <f t="shared" si="386"/>
        <v>187.11417373588463</v>
      </c>
      <c r="Y161" s="283"/>
      <c r="Z161" s="305">
        <v>815.63900000000001</v>
      </c>
      <c r="AA161" s="305">
        <v>839.58900000000006</v>
      </c>
      <c r="AB161" s="282">
        <f t="shared" ref="AB161:AF161" si="387">SUMIF($E$5:$X$5,AB$5,$E161:$X161)</f>
        <v>845.39799999999991</v>
      </c>
      <c r="AC161" s="282">
        <f t="shared" si="387"/>
        <v>846.07600000000002</v>
      </c>
      <c r="AD161" s="282">
        <f t="shared" si="387"/>
        <v>818.40800000000002</v>
      </c>
      <c r="AE161" s="282">
        <f t="shared" si="387"/>
        <v>841.96699999999998</v>
      </c>
      <c r="AF161" s="282">
        <f t="shared" si="387"/>
        <v>762.31581680990303</v>
      </c>
      <c r="AG161" s="380">
        <f>+AG174/AG168/AG162</f>
        <v>808.08408310903246</v>
      </c>
      <c r="AH161" s="380">
        <f>+AH174/AH168/AH162</f>
        <v>854.26031642954877</v>
      </c>
      <c r="AI161" s="380"/>
    </row>
    <row r="162" spans="1:35" s="439" customFormat="1">
      <c r="A162" s="283"/>
      <c r="B162" s="306"/>
      <c r="C162" s="306" t="s">
        <v>564</v>
      </c>
      <c r="D162" s="492"/>
      <c r="E162" s="439">
        <v>11.71</v>
      </c>
      <c r="F162" s="439">
        <v>12.46</v>
      </c>
      <c r="G162" s="439">
        <v>11.65</v>
      </c>
      <c r="H162" s="439">
        <v>12.81</v>
      </c>
      <c r="I162" s="439">
        <v>13.46</v>
      </c>
      <c r="J162" s="439">
        <v>14.36</v>
      </c>
      <c r="K162" s="439">
        <v>15.01</v>
      </c>
      <c r="L162" s="439">
        <v>15.69</v>
      </c>
      <c r="M162" s="439">
        <v>16.87</v>
      </c>
      <c r="N162" s="439">
        <v>15.56</v>
      </c>
      <c r="O162" s="439">
        <v>15.04</v>
      </c>
      <c r="P162" s="439">
        <v>15.17</v>
      </c>
      <c r="Q162" s="439">
        <v>16.010000000000002</v>
      </c>
      <c r="R162" s="439">
        <v>14.52</v>
      </c>
      <c r="S162" s="439">
        <v>11.14</v>
      </c>
      <c r="T162" s="439">
        <v>12.6</v>
      </c>
      <c r="U162" s="439">
        <v>13.84</v>
      </c>
      <c r="V162" s="460">
        <f t="shared" ref="V162:X162" si="388">+U162</f>
        <v>13.84</v>
      </c>
      <c r="W162" s="460">
        <f t="shared" si="388"/>
        <v>13.84</v>
      </c>
      <c r="X162" s="460">
        <f t="shared" si="388"/>
        <v>13.84</v>
      </c>
      <c r="Y162" s="283"/>
      <c r="Z162" s="439">
        <v>14.55</v>
      </c>
      <c r="AA162" s="439">
        <v>12.88</v>
      </c>
      <c r="AB162" s="439">
        <v>12.16</v>
      </c>
      <c r="AC162" s="439">
        <v>15.65</v>
      </c>
      <c r="AD162" s="439">
        <v>14.64</v>
      </c>
      <c r="AE162" s="439">
        <v>13.51</v>
      </c>
      <c r="AF162" s="282">
        <f>AVERAGEIF($E$5:$X$5,AF$5,$E162:$X162)</f>
        <v>13.84</v>
      </c>
      <c r="AG162" s="460">
        <f t="shared" ref="AG162:AH165" si="389">+AF162</f>
        <v>13.84</v>
      </c>
      <c r="AH162" s="460">
        <f t="shared" si="389"/>
        <v>13.84</v>
      </c>
      <c r="AI162" s="460"/>
    </row>
    <row r="163" spans="1:35" s="439" customFormat="1">
      <c r="A163" s="283"/>
      <c r="B163" s="306"/>
      <c r="C163" s="306" t="s">
        <v>563</v>
      </c>
      <c r="D163" s="492"/>
      <c r="E163" s="439">
        <v>0.1</v>
      </c>
      <c r="F163" s="439">
        <v>0.1</v>
      </c>
      <c r="G163" s="439">
        <v>8.6999999999999994E-2</v>
      </c>
      <c r="H163" s="439">
        <v>0.09</v>
      </c>
      <c r="I163" s="439">
        <v>0.1</v>
      </c>
      <c r="J163" s="439">
        <v>9.1999999999999998E-2</v>
      </c>
      <c r="K163" s="439">
        <v>9.5000000000000001E-2</v>
      </c>
      <c r="L163" s="439">
        <v>0.1</v>
      </c>
      <c r="M163" s="439">
        <v>0.08</v>
      </c>
      <c r="N163" s="439">
        <v>8.4000000000000005E-2</v>
      </c>
      <c r="O163" s="439">
        <v>8.4000000000000005E-2</v>
      </c>
      <c r="P163" s="439">
        <v>7.0000000000000007E-2</v>
      </c>
      <c r="Q163" s="439">
        <v>0.09</v>
      </c>
      <c r="R163" s="439">
        <v>0.08</v>
      </c>
      <c r="S163" s="439">
        <v>7.0000000000000007E-2</v>
      </c>
      <c r="T163" s="439">
        <v>7.0000000000000007E-2</v>
      </c>
      <c r="U163" s="439">
        <v>7.0000000000000007E-2</v>
      </c>
      <c r="V163" s="456">
        <f t="shared" ref="V163:X163" si="390">+V175/V169/V161</f>
        <v>7.2430648648784096E-2</v>
      </c>
      <c r="W163" s="456">
        <f t="shared" si="390"/>
        <v>7.6350161689249532E-2</v>
      </c>
      <c r="X163" s="456">
        <f t="shared" si="390"/>
        <v>6.5149379043637726E-2</v>
      </c>
      <c r="Y163" s="283"/>
      <c r="Z163" s="439">
        <v>0.1</v>
      </c>
      <c r="AA163" s="439">
        <v>0.09</v>
      </c>
      <c r="AB163" s="439">
        <v>0.09</v>
      </c>
      <c r="AC163" s="439">
        <v>0.08</v>
      </c>
      <c r="AD163" s="439">
        <v>0.1</v>
      </c>
      <c r="AE163" s="439">
        <v>0.08</v>
      </c>
      <c r="AF163" s="282">
        <f>AVERAGEIF($E$5:$X$5,AF$5,$E163:$X163)</f>
        <v>7.098254734541784E-2</v>
      </c>
      <c r="AG163" s="456">
        <f>+AG175/AG169/AG161</f>
        <v>7.098254734541784E-2</v>
      </c>
      <c r="AH163" s="456">
        <f>+AH175/AH169/AH161</f>
        <v>7.0982547345417826E-2</v>
      </c>
      <c r="AI163" s="460"/>
    </row>
    <row r="164" spans="1:35" s="439" customFormat="1">
      <c r="A164" s="283"/>
      <c r="B164" s="306"/>
      <c r="C164" s="306" t="s">
        <v>562</v>
      </c>
      <c r="D164" s="492"/>
      <c r="E164" s="457">
        <v>8.0500000000000002E-2</v>
      </c>
      <c r="F164" s="457">
        <v>7.8399999999999997E-2</v>
      </c>
      <c r="G164" s="457">
        <v>6.8699999999999997E-2</v>
      </c>
      <c r="H164" s="457">
        <v>7.1199999999999999E-2</v>
      </c>
      <c r="I164" s="457">
        <v>7.3200000000000001E-2</v>
      </c>
      <c r="J164" s="457">
        <v>6.8199999999999997E-2</v>
      </c>
      <c r="K164" s="457">
        <v>7.6999999999999999E-2</v>
      </c>
      <c r="L164" s="457">
        <v>7.8799999999999995E-2</v>
      </c>
      <c r="M164" s="457">
        <v>6.8900000000000003E-2</v>
      </c>
      <c r="N164" s="457">
        <v>8.1600000000000006E-2</v>
      </c>
      <c r="O164" s="457">
        <v>8.1699999999999995E-2</v>
      </c>
      <c r="P164" s="457">
        <v>6.9599999999999995E-2</v>
      </c>
      <c r="Q164" s="457">
        <v>7.6200000000000004E-2</v>
      </c>
      <c r="R164" s="457">
        <v>7.6200000000000004E-2</v>
      </c>
      <c r="S164" s="457">
        <v>7.0499999999999993E-2</v>
      </c>
      <c r="T164" s="457">
        <v>6.2799999999999995E-2</v>
      </c>
      <c r="U164" s="457">
        <v>6.5600000000000006E-2</v>
      </c>
      <c r="V164" s="459">
        <f t="shared" ref="V164:V165" si="391">+U164</f>
        <v>6.5600000000000006E-2</v>
      </c>
      <c r="W164" s="459">
        <f t="shared" ref="W164:W165" si="392">+V164</f>
        <v>6.5600000000000006E-2</v>
      </c>
      <c r="X164" s="459">
        <f t="shared" ref="X164:X165" si="393">+W164</f>
        <v>6.5600000000000006E-2</v>
      </c>
      <c r="Y164" s="283"/>
      <c r="Z164" s="457">
        <v>8.0799999999999997E-2</v>
      </c>
      <c r="AA164" s="457">
        <v>7.2499999999999995E-2</v>
      </c>
      <c r="AB164" s="457">
        <v>7.4700000000000003E-2</v>
      </c>
      <c r="AC164" s="457">
        <v>7.5800000000000006E-2</v>
      </c>
      <c r="AD164" s="457">
        <v>7.4299999999999991E-2</v>
      </c>
      <c r="AE164" s="457">
        <v>7.1099999999999997E-2</v>
      </c>
      <c r="AF164" s="454">
        <f t="shared" ref="AF164:AF165" si="394">AVERAGEIF($E$5:$X$5,AF$5,$E164:$X164)</f>
        <v>6.5600000000000006E-2</v>
      </c>
      <c r="AG164" s="459">
        <f t="shared" si="389"/>
        <v>6.5600000000000006E-2</v>
      </c>
      <c r="AH164" s="459">
        <f t="shared" si="389"/>
        <v>6.5600000000000006E-2</v>
      </c>
      <c r="AI164" s="459"/>
    </row>
    <row r="165" spans="1:35" s="439" customFormat="1">
      <c r="A165" s="283"/>
      <c r="B165" s="306"/>
      <c r="C165" s="306" t="s">
        <v>561</v>
      </c>
      <c r="D165" s="492"/>
      <c r="E165" s="457">
        <v>2.9600000000000001E-2</v>
      </c>
      <c r="F165" s="457">
        <v>3.1699999999999999E-2</v>
      </c>
      <c r="G165" s="457">
        <v>2.4E-2</v>
      </c>
      <c r="H165" s="457">
        <v>2.6699999999999998E-2</v>
      </c>
      <c r="I165" s="457">
        <v>2.8300000000000002E-2</v>
      </c>
      <c r="J165" s="457">
        <v>2.75E-2</v>
      </c>
      <c r="K165" s="457">
        <v>0.03</v>
      </c>
      <c r="L165" s="457">
        <v>3.0699999999999998E-2</v>
      </c>
      <c r="M165" s="457">
        <v>3.1200000000000002E-2</v>
      </c>
      <c r="N165" s="457">
        <v>3.27E-2</v>
      </c>
      <c r="O165" s="457">
        <v>3.2599999999999997E-2</v>
      </c>
      <c r="P165" s="457">
        <v>2.8399999999999998E-2</v>
      </c>
      <c r="Q165" s="457">
        <v>3.0600000000000002E-2</v>
      </c>
      <c r="R165" s="457">
        <v>3.0600000000000002E-2</v>
      </c>
      <c r="S165" s="457">
        <v>2.6800000000000001E-2</v>
      </c>
      <c r="T165" s="457">
        <v>2.6100000000000002E-2</v>
      </c>
      <c r="U165" s="457">
        <v>2.76E-2</v>
      </c>
      <c r="V165" s="459">
        <f t="shared" si="391"/>
        <v>2.76E-2</v>
      </c>
      <c r="W165" s="459">
        <f t="shared" si="392"/>
        <v>2.76E-2</v>
      </c>
      <c r="X165" s="459">
        <f t="shared" si="393"/>
        <v>2.76E-2</v>
      </c>
      <c r="Y165" s="283"/>
      <c r="Z165" s="457">
        <v>3.1099999999999999E-2</v>
      </c>
      <c r="AA165" s="457">
        <v>2.7200000000000002E-2</v>
      </c>
      <c r="AB165" s="457">
        <v>2.7999999999999997E-2</v>
      </c>
      <c r="AC165" s="457">
        <v>3.1300000000000001E-2</v>
      </c>
      <c r="AD165" s="457">
        <v>2.92E-2</v>
      </c>
      <c r="AE165" s="457">
        <v>2.87E-2</v>
      </c>
      <c r="AF165" s="454">
        <f t="shared" si="394"/>
        <v>2.76E-2</v>
      </c>
      <c r="AG165" s="459">
        <f t="shared" si="389"/>
        <v>2.76E-2</v>
      </c>
      <c r="AH165" s="459">
        <f t="shared" si="389"/>
        <v>2.76E-2</v>
      </c>
      <c r="AI165" s="459"/>
    </row>
    <row r="166" spans="1:35">
      <c r="R166" s="282"/>
      <c r="S166" s="282"/>
      <c r="T166" s="282"/>
      <c r="U166" s="282"/>
      <c r="V166" s="282"/>
      <c r="W166" s="282"/>
      <c r="X166" s="282"/>
      <c r="Y166" s="283"/>
      <c r="Z166" s="282"/>
      <c r="AA166" s="282"/>
      <c r="AB166" s="282"/>
      <c r="AC166" s="282"/>
      <c r="AD166" s="282"/>
      <c r="AE166" s="282"/>
      <c r="AF166" s="282"/>
      <c r="AG166" s="282"/>
      <c r="AH166" s="282"/>
    </row>
    <row r="167" spans="1:35" s="439" customFormat="1">
      <c r="A167" s="283"/>
      <c r="B167" s="306"/>
      <c r="C167" s="458" t="s">
        <v>501</v>
      </c>
      <c r="D167" s="492"/>
      <c r="R167" s="457"/>
      <c r="Y167" s="283"/>
      <c r="AE167" s="456"/>
    </row>
    <row r="168" spans="1:35" s="439" customFormat="1">
      <c r="A168" s="283"/>
      <c r="B168" s="306"/>
      <c r="C168" s="455" t="s">
        <v>444</v>
      </c>
      <c r="D168" s="492"/>
      <c r="E168" s="454">
        <f t="shared" ref="E168:Q168" si="395">+E174/(E$161*E162)</f>
        <v>0.77275910574865059</v>
      </c>
      <c r="F168" s="454">
        <f t="shared" si="395"/>
        <v>0.77010527368755011</v>
      </c>
      <c r="G168" s="454">
        <f t="shared" si="395"/>
        <v>0.75604630608707046</v>
      </c>
      <c r="H168" s="454">
        <f t="shared" si="395"/>
        <v>0.79472435350422754</v>
      </c>
      <c r="I168" s="454">
        <f t="shared" si="395"/>
        <v>0.80203149255288819</v>
      </c>
      <c r="J168" s="454">
        <f t="shared" si="395"/>
        <v>0.78903310275700433</v>
      </c>
      <c r="K168" s="454">
        <f t="shared" si="395"/>
        <v>0.79364388833625554</v>
      </c>
      <c r="L168" s="454">
        <f t="shared" si="395"/>
        <v>0.80759876638079731</v>
      </c>
      <c r="M168" s="454">
        <f t="shared" si="395"/>
        <v>0.82762465483126735</v>
      </c>
      <c r="N168" s="454">
        <f t="shared" si="395"/>
        <v>0.82214415172319488</v>
      </c>
      <c r="O168" s="454">
        <f t="shared" si="395"/>
        <v>0.81380974500251535</v>
      </c>
      <c r="P168" s="454">
        <f t="shared" si="395"/>
        <v>0.81249543929473123</v>
      </c>
      <c r="Q168" s="454">
        <f t="shared" si="395"/>
        <v>0.8318913158665775</v>
      </c>
      <c r="R168" s="454">
        <f t="shared" ref="R168:S168" si="396">+R174/(R$161*R162)</f>
        <v>0.81980535158743306</v>
      </c>
      <c r="S168" s="454">
        <f t="shared" si="396"/>
        <v>0.78111173388685107</v>
      </c>
      <c r="T168" s="454">
        <f t="shared" ref="T168:U168" si="397">+T174/(T$161*T162)</f>
        <v>0.80957111070178789</v>
      </c>
      <c r="U168" s="454">
        <f t="shared" si="397"/>
        <v>0.82934844008840514</v>
      </c>
      <c r="V168" s="333">
        <f t="shared" ref="V168:V171" si="398">+U168</f>
        <v>0.82934844008840514</v>
      </c>
      <c r="W168" s="333">
        <f t="shared" ref="W168:W171" si="399">+V168</f>
        <v>0.82934844008840514</v>
      </c>
      <c r="X168" s="333">
        <f t="shared" ref="X168:X171" si="400">+W168</f>
        <v>0.82934844008840514</v>
      </c>
      <c r="Y168" s="283"/>
      <c r="Z168" s="454">
        <f t="shared" ref="Z168:AE171" si="401">+Z174/(Z$161*Z162)</f>
        <v>0.7797350749164268</v>
      </c>
      <c r="AA168" s="454">
        <f t="shared" si="401"/>
        <v>0.77232794078800548</v>
      </c>
      <c r="AB168" s="454">
        <f t="shared" si="401"/>
        <v>0.77363543795192824</v>
      </c>
      <c r="AC168" s="454">
        <f t="shared" si="401"/>
        <v>0.74692683518925562</v>
      </c>
      <c r="AD168" s="454">
        <f t="shared" si="401"/>
        <v>0.87591136554439719</v>
      </c>
      <c r="AE168" s="454">
        <f t="shared" si="401"/>
        <v>0.81259279026565034</v>
      </c>
      <c r="AF168" s="454">
        <f t="shared" ref="AF168" si="402">+AF174/(AF$161*AF162)</f>
        <v>0.82934844008840525</v>
      </c>
      <c r="AG168" s="333">
        <f>AF168</f>
        <v>0.82934844008840525</v>
      </c>
      <c r="AH168" s="333">
        <f t="shared" ref="AH168:AH171" si="403">+AG168</f>
        <v>0.82934844008840525</v>
      </c>
    </row>
    <row r="169" spans="1:35" s="439" customFormat="1">
      <c r="A169" s="283"/>
      <c r="B169" s="306"/>
      <c r="C169" s="455" t="s">
        <v>440</v>
      </c>
      <c r="D169" s="492"/>
      <c r="E169" s="454">
        <f t="shared" ref="E169:Q169" si="404">+E175/(E$161*E163)</f>
        <v>0.620441753771934</v>
      </c>
      <c r="F169" s="454">
        <f t="shared" si="404"/>
        <v>0.65827291527717124</v>
      </c>
      <c r="G169" s="454">
        <f t="shared" si="404"/>
        <v>0.62365724717076021</v>
      </c>
      <c r="H169" s="454">
        <f t="shared" si="404"/>
        <v>0.68473956683177373</v>
      </c>
      <c r="I169" s="454">
        <f t="shared" si="404"/>
        <v>0.6927595793545267</v>
      </c>
      <c r="J169" s="454">
        <f t="shared" si="404"/>
        <v>0.68824485880000252</v>
      </c>
      <c r="K169" s="454">
        <f t="shared" si="404"/>
        <v>0.67449020759402833</v>
      </c>
      <c r="L169" s="454">
        <f t="shared" si="404"/>
        <v>0.70986113422458885</v>
      </c>
      <c r="M169" s="454">
        <f t="shared" si="404"/>
        <v>0.77167712923281218</v>
      </c>
      <c r="N169" s="454">
        <f t="shared" si="404"/>
        <v>0.72465451167111827</v>
      </c>
      <c r="O169" s="454">
        <f t="shared" si="404"/>
        <v>0.71006998486939199</v>
      </c>
      <c r="P169" s="454">
        <f t="shared" si="404"/>
        <v>0.77634167495187512</v>
      </c>
      <c r="Q169" s="454">
        <f t="shared" si="404"/>
        <v>0.75948062654575421</v>
      </c>
      <c r="R169" s="454">
        <f t="shared" ref="R169:S169" si="405">+R175/(R$161*R163)</f>
        <v>0.74785628876243992</v>
      </c>
      <c r="S169" s="454">
        <f t="shared" si="405"/>
        <v>0.65859536642232641</v>
      </c>
      <c r="T169" s="454">
        <f t="shared" ref="T169:U169" si="406">+T175/(T$161*T163)</f>
        <v>0.65878876639243422</v>
      </c>
      <c r="U169" s="454">
        <f t="shared" si="406"/>
        <v>0.76946489054932166</v>
      </c>
      <c r="V169" s="333">
        <f t="shared" si="398"/>
        <v>0.76946489054932166</v>
      </c>
      <c r="W169" s="333">
        <f t="shared" si="399"/>
        <v>0.76946489054932166</v>
      </c>
      <c r="X169" s="333">
        <f t="shared" si="400"/>
        <v>0.76946489054932166</v>
      </c>
      <c r="Y169" s="283"/>
      <c r="Z169" s="454">
        <f t="shared" si="401"/>
        <v>0.66097869277952614</v>
      </c>
      <c r="AA169" s="454">
        <f t="shared" si="401"/>
        <v>0.6730012475680891</v>
      </c>
      <c r="AB169" s="454">
        <f t="shared" si="401"/>
        <v>0.67677525194576349</v>
      </c>
      <c r="AC169" s="454">
        <f t="shared" si="401"/>
        <v>0.8365826474217446</v>
      </c>
      <c r="AD169" s="454">
        <f t="shared" si="401"/>
        <v>0.59250398334327126</v>
      </c>
      <c r="AE169" s="454">
        <f t="shared" si="401"/>
        <v>0.68423109219244937</v>
      </c>
      <c r="AF169" s="454">
        <f t="shared" ref="AF169" si="407">+AF175/(AF$161*AF163)</f>
        <v>0.76694034618505191</v>
      </c>
      <c r="AG169" s="333">
        <f t="shared" ref="AG169:AG171" si="408">AF169</f>
        <v>0.76694034618505191</v>
      </c>
      <c r="AH169" s="333">
        <f t="shared" si="403"/>
        <v>0.76694034618505191</v>
      </c>
    </row>
    <row r="170" spans="1:35" s="439" customFormat="1">
      <c r="A170" s="283"/>
      <c r="B170" s="306"/>
      <c r="C170" s="455" t="s">
        <v>439</v>
      </c>
      <c r="D170" s="492"/>
      <c r="E170" s="454">
        <f t="shared" ref="E170:Q170" si="409">+E176/(E$161*E164)</f>
        <v>0.86950058798075092</v>
      </c>
      <c r="F170" s="454">
        <f t="shared" si="409"/>
        <v>0.86778686062854637</v>
      </c>
      <c r="G170" s="454">
        <f t="shared" si="409"/>
        <v>0.86740302111381951</v>
      </c>
      <c r="H170" s="454">
        <f t="shared" si="409"/>
        <v>0.90387205385425273</v>
      </c>
      <c r="I170" s="454">
        <f t="shared" si="409"/>
        <v>0.89289075860046407</v>
      </c>
      <c r="J170" s="454">
        <f t="shared" si="409"/>
        <v>0.89214718586705521</v>
      </c>
      <c r="K170" s="454">
        <f t="shared" si="409"/>
        <v>0.9166323124657435</v>
      </c>
      <c r="L170" s="454">
        <f t="shared" si="409"/>
        <v>0.90781997712211526</v>
      </c>
      <c r="M170" s="454">
        <f t="shared" si="409"/>
        <v>0.91161984662476081</v>
      </c>
      <c r="N170" s="454">
        <f t="shared" si="409"/>
        <v>0.92130221035110138</v>
      </c>
      <c r="O170" s="454">
        <f t="shared" si="409"/>
        <v>0.92050760316135327</v>
      </c>
      <c r="P170" s="454">
        <f t="shared" si="409"/>
        <v>0.90845519215726889</v>
      </c>
      <c r="Q170" s="454">
        <f t="shared" si="409"/>
        <v>0.90297477242385082</v>
      </c>
      <c r="R170" s="454">
        <f t="shared" ref="R170:S170" si="410">+R176/(R$161*R164)</f>
        <v>0.8920643530461726</v>
      </c>
      <c r="S170" s="454">
        <f t="shared" si="410"/>
        <v>0.88858219244203318</v>
      </c>
      <c r="T170" s="454">
        <f t="shared" ref="T170:U170" si="411">+T176/(T$161*T164)</f>
        <v>0.89426218638798727</v>
      </c>
      <c r="U170" s="454">
        <f t="shared" si="411"/>
        <v>0.89971191935815953</v>
      </c>
      <c r="V170" s="333">
        <f t="shared" si="398"/>
        <v>0.89971191935815953</v>
      </c>
      <c r="W170" s="333">
        <f t="shared" si="399"/>
        <v>0.89971191935815953</v>
      </c>
      <c r="X170" s="333">
        <f t="shared" si="400"/>
        <v>0.89971191935815953</v>
      </c>
      <c r="Y170" s="283"/>
      <c r="Z170" s="454">
        <f t="shared" si="401"/>
        <v>0.87596083779978429</v>
      </c>
      <c r="AA170" s="454">
        <f t="shared" si="401"/>
        <v>0.86326310480074386</v>
      </c>
      <c r="AB170" s="454">
        <f t="shared" si="401"/>
        <v>0.87646748090448146</v>
      </c>
      <c r="AC170" s="454">
        <f t="shared" si="401"/>
        <v>0.88574351766723769</v>
      </c>
      <c r="AD170" s="454">
        <f t="shared" si="401"/>
        <v>0.93432224119247631</v>
      </c>
      <c r="AE170" s="454">
        <f t="shared" si="401"/>
        <v>0.8961668299680482</v>
      </c>
      <c r="AF170" s="454">
        <f t="shared" ref="AF170" ca="1" si="412">+AF176/(AF$161*AF164)</f>
        <v>0.89971191935815953</v>
      </c>
      <c r="AG170" s="333">
        <f t="shared" ca="1" si="408"/>
        <v>0.89971191935815953</v>
      </c>
      <c r="AH170" s="333">
        <f t="shared" ca="1" si="403"/>
        <v>0.89971191935815953</v>
      </c>
    </row>
    <row r="171" spans="1:35" s="439" customFormat="1">
      <c r="A171" s="283"/>
      <c r="B171" s="306"/>
      <c r="C171" s="455" t="s">
        <v>441</v>
      </c>
      <c r="D171" s="492"/>
      <c r="E171" s="454">
        <f t="shared" ref="E171:Q171" si="413">+E177/(E$161*E165)</f>
        <v>0.80229096333717242</v>
      </c>
      <c r="F171" s="454">
        <f t="shared" si="413"/>
        <v>0.80298911145251228</v>
      </c>
      <c r="G171" s="454">
        <f t="shared" si="413"/>
        <v>0.78742190323746575</v>
      </c>
      <c r="H171" s="454">
        <f t="shared" si="413"/>
        <v>0.81207719512766374</v>
      </c>
      <c r="I171" s="454">
        <f t="shared" si="413"/>
        <v>0.8169963254812902</v>
      </c>
      <c r="J171" s="454">
        <f t="shared" si="413"/>
        <v>0.80379667139947986</v>
      </c>
      <c r="K171" s="454">
        <f t="shared" si="413"/>
        <v>0.8207020451994862</v>
      </c>
      <c r="L171" s="454">
        <f t="shared" si="413"/>
        <v>0.81973794044125037</v>
      </c>
      <c r="M171" s="454">
        <f t="shared" si="413"/>
        <v>0.83802420526027699</v>
      </c>
      <c r="N171" s="454">
        <f t="shared" si="413"/>
        <v>0.83656598824418094</v>
      </c>
      <c r="O171" s="454">
        <f t="shared" si="413"/>
        <v>0.84213062211263146</v>
      </c>
      <c r="P171" s="454">
        <f t="shared" si="413"/>
        <v>0.82007923410409356</v>
      </c>
      <c r="Q171" s="454">
        <f t="shared" si="413"/>
        <v>0.82911702741002957</v>
      </c>
      <c r="R171" s="454">
        <f t="shared" ref="R171:S171" si="414">+R177/(R$161*R165)</f>
        <v>0.85557173645909079</v>
      </c>
      <c r="S171" s="454">
        <f t="shared" si="414"/>
        <v>0.8113306218054851</v>
      </c>
      <c r="T171" s="454">
        <f t="shared" ref="T171:U171" si="415">+T177/(T$161*T165)</f>
        <v>0.81719083473582343</v>
      </c>
      <c r="U171" s="454">
        <f t="shared" si="415"/>
        <v>0.8357636031266561</v>
      </c>
      <c r="V171" s="333">
        <f t="shared" si="398"/>
        <v>0.8357636031266561</v>
      </c>
      <c r="W171" s="333">
        <f t="shared" si="399"/>
        <v>0.8357636031266561</v>
      </c>
      <c r="X171" s="333">
        <f t="shared" si="400"/>
        <v>0.8357636031266561</v>
      </c>
      <c r="Y171" s="283"/>
      <c r="Z171" s="454">
        <f t="shared" si="401"/>
        <v>0.81194107179588149</v>
      </c>
      <c r="AA171" s="454">
        <f t="shared" si="401"/>
        <v>0.78802562570355661</v>
      </c>
      <c r="AB171" s="454">
        <f t="shared" si="401"/>
        <v>0.80097522958755207</v>
      </c>
      <c r="AC171" s="454">
        <f t="shared" si="401"/>
        <v>0.75945412769435705</v>
      </c>
      <c r="AD171" s="454">
        <f t="shared" si="401"/>
        <v>0.89549065054198773</v>
      </c>
      <c r="AE171" s="454">
        <f t="shared" si="401"/>
        <v>0.82240637030933972</v>
      </c>
      <c r="AF171" s="454">
        <f t="shared" ref="AF171" ca="1" si="416">+AF177/(AF$161*AF165)</f>
        <v>0.83576360312665621</v>
      </c>
      <c r="AG171" s="333">
        <f t="shared" ca="1" si="408"/>
        <v>0.83576360312665621</v>
      </c>
      <c r="AH171" s="333">
        <f t="shared" ca="1" si="403"/>
        <v>0.83576360312665621</v>
      </c>
    </row>
    <row r="172" spans="1:35">
      <c r="Q172" s="453"/>
      <c r="R172" s="453"/>
      <c r="Y172" s="283"/>
      <c r="AE172" s="282"/>
    </row>
    <row r="173" spans="1:35">
      <c r="C173" s="414" t="s">
        <v>499</v>
      </c>
      <c r="E173" s="428"/>
      <c r="F173" s="428"/>
      <c r="G173" s="428"/>
      <c r="H173" s="428"/>
      <c r="I173" s="428"/>
      <c r="J173" s="428"/>
      <c r="K173" s="428"/>
      <c r="L173" s="428"/>
      <c r="M173" s="428"/>
      <c r="N173" s="428"/>
      <c r="Y173" s="283"/>
      <c r="AE173" s="282"/>
      <c r="AF173" s="282"/>
    </row>
    <row r="174" spans="1:35">
      <c r="C174" s="402" t="s">
        <v>460</v>
      </c>
      <c r="E174" s="305">
        <v>1913.232</v>
      </c>
      <c r="F174" s="305">
        <v>1999.7909999999999</v>
      </c>
      <c r="G174" s="305">
        <v>1876.4169999999999</v>
      </c>
      <c r="H174" s="305">
        <v>2163.5630000000001</v>
      </c>
      <c r="I174" s="305">
        <v>2232.7469999999998</v>
      </c>
      <c r="J174" s="305">
        <v>2372.27</v>
      </c>
      <c r="K174" s="305">
        <v>2544.018</v>
      </c>
      <c r="L174" s="305">
        <v>2741.09</v>
      </c>
      <c r="M174" s="305">
        <v>2775.7069999999999</v>
      </c>
      <c r="N174" s="305">
        <v>2753.9189999999999</v>
      </c>
      <c r="O174" s="305">
        <v>2634.4360000000001</v>
      </c>
      <c r="P174" s="305">
        <v>2330.6640000000002</v>
      </c>
      <c r="Q174" s="305">
        <v>2584.87</v>
      </c>
      <c r="R174" s="305">
        <v>2558.4470000000001</v>
      </c>
      <c r="S174" s="305">
        <v>1837.27</v>
      </c>
      <c r="T174" s="305">
        <v>2262.6350000000002</v>
      </c>
      <c r="U174" s="305">
        <v>2429.7820000000002</v>
      </c>
      <c r="V174" s="282">
        <f>($AF174-$U174)*R174/SUM($R174:$T174)</f>
        <v>2428.5202676947688</v>
      </c>
      <c r="W174" s="282">
        <f t="shared" ref="W174:X174" si="417">($AF174-$U174)*S174/SUM($R174:$T174)</f>
        <v>1743.9671145142217</v>
      </c>
      <c r="X174" s="282">
        <f t="shared" si="417"/>
        <v>2147.7306177910086</v>
      </c>
      <c r="Y174" s="283"/>
      <c r="Z174" s="305">
        <v>9253.5429999999997</v>
      </c>
      <c r="AA174" s="305">
        <v>8351.8819999999996</v>
      </c>
      <c r="AB174" s="282">
        <f>SUMIF($E$5:$X$5,AB$5,$E174:$X174)</f>
        <v>7953.0030000000006</v>
      </c>
      <c r="AC174" s="282">
        <f t="shared" ref="AC174:AF177" si="418">SUMIF($E$5:$X$5,AC$5,$E174:$X174)</f>
        <v>9890.125</v>
      </c>
      <c r="AD174" s="282">
        <f t="shared" si="418"/>
        <v>10494.726000000001</v>
      </c>
      <c r="AE174" s="282">
        <f t="shared" si="418"/>
        <v>9243.2219999999998</v>
      </c>
      <c r="AF174" s="805">
        <f>AVERAGE(8600,8900)</f>
        <v>8750</v>
      </c>
      <c r="AG174" s="282">
        <f>+AG$127*($AF174/$AF$127)</f>
        <v>9275.3365092085551</v>
      </c>
      <c r="AH174" s="282">
        <f>+AH$127*($AF174/$AF$127)</f>
        <v>9805.355738306187</v>
      </c>
      <c r="AI174" s="329"/>
    </row>
    <row r="175" spans="1:35">
      <c r="C175" s="402" t="s">
        <v>461</v>
      </c>
      <c r="E175" s="305">
        <v>13.118</v>
      </c>
      <c r="F175" s="305">
        <v>13.718999999999999</v>
      </c>
      <c r="G175" s="305">
        <v>11.558999999999999</v>
      </c>
      <c r="H175" s="305">
        <v>13.097</v>
      </c>
      <c r="I175" s="305">
        <v>14.327999999999999</v>
      </c>
      <c r="J175" s="305">
        <v>13.257</v>
      </c>
      <c r="K175" s="305">
        <v>13.683999999999999</v>
      </c>
      <c r="L175" s="305">
        <v>15.356</v>
      </c>
      <c r="M175" s="305">
        <v>12.273</v>
      </c>
      <c r="N175" s="305">
        <v>13.103999999999999</v>
      </c>
      <c r="O175" s="305">
        <v>12.837999999999999</v>
      </c>
      <c r="P175" s="305">
        <v>10.276</v>
      </c>
      <c r="Q175" s="305">
        <v>13.266</v>
      </c>
      <c r="R175" s="305">
        <v>12.859</v>
      </c>
      <c r="S175" s="305">
        <v>9.734</v>
      </c>
      <c r="T175" s="305">
        <v>10.228999999999999</v>
      </c>
      <c r="U175" s="305">
        <v>11.401999999999999</v>
      </c>
      <c r="V175" s="282">
        <f t="shared" ref="V175:V177" si="419">($AF175-$U175)*R175/SUM($R175:$T175)</f>
        <v>11.79179154225824</v>
      </c>
      <c r="W175" s="282">
        <f t="shared" ref="W175:W177" si="420">($AF175-$U175)*S175/SUM($R175:$T175)</f>
        <v>8.9261450246785685</v>
      </c>
      <c r="X175" s="282">
        <f t="shared" ref="X175:X177" si="421">($AF175-$U175)*T175/SUM($R175:$T175)</f>
        <v>9.3800634330631887</v>
      </c>
      <c r="Y175" s="283"/>
      <c r="Z175" s="305">
        <v>53.911999999999999</v>
      </c>
      <c r="AA175" s="305">
        <v>50.853999999999999</v>
      </c>
      <c r="AB175" s="282">
        <f t="shared" ref="AB175:AB177" si="422">SUMIF($E$5:$X$5,AB$5,$E175:$X175)</f>
        <v>51.493000000000002</v>
      </c>
      <c r="AC175" s="282">
        <f t="shared" si="418"/>
        <v>56.625</v>
      </c>
      <c r="AD175" s="282">
        <f t="shared" si="418"/>
        <v>48.491</v>
      </c>
      <c r="AE175" s="282">
        <f t="shared" si="418"/>
        <v>46.088000000000001</v>
      </c>
      <c r="AF175" s="805">
        <f>AVERAGE(40,43)</f>
        <v>41.5</v>
      </c>
      <c r="AG175" s="282">
        <f>+AG$127*($AF175/$AF$127)</f>
        <v>43.991596015103433</v>
      </c>
      <c r="AH175" s="282">
        <f>+AH$127*($AF175/$AF$127)</f>
        <v>46.505401501680772</v>
      </c>
      <c r="AI175" s="329"/>
    </row>
    <row r="176" spans="1:35">
      <c r="C176" s="402" t="s">
        <v>462</v>
      </c>
      <c r="E176" s="305">
        <v>14.798999999999999</v>
      </c>
      <c r="F176" s="305">
        <v>14.179</v>
      </c>
      <c r="G176" s="305">
        <v>12.695</v>
      </c>
      <c r="H176" s="305">
        <v>13.677</v>
      </c>
      <c r="I176" s="305">
        <v>13.518000000000001</v>
      </c>
      <c r="J176" s="305">
        <v>12.739000000000001</v>
      </c>
      <c r="K176" s="305">
        <v>15.073</v>
      </c>
      <c r="L176" s="305">
        <v>15.475</v>
      </c>
      <c r="M176" s="305">
        <v>12.487</v>
      </c>
      <c r="N176" s="305">
        <v>16.184000000000001</v>
      </c>
      <c r="O176" s="305">
        <v>16.187000000000001</v>
      </c>
      <c r="P176" s="305">
        <v>11.956</v>
      </c>
      <c r="Q176" s="305">
        <v>13.353999999999999</v>
      </c>
      <c r="R176" s="305">
        <v>14.61</v>
      </c>
      <c r="S176" s="305">
        <v>13.227</v>
      </c>
      <c r="T176" s="305">
        <v>12.457000000000001</v>
      </c>
      <c r="U176" s="305">
        <v>12.494</v>
      </c>
      <c r="V176" s="282">
        <f t="shared" ca="1" si="419"/>
        <v>11.783548222128973</v>
      </c>
      <c r="W176" s="282">
        <f t="shared" ca="1" si="420"/>
        <v>10.668103513627647</v>
      </c>
      <c r="X176" s="282">
        <f t="shared" ca="1" si="421"/>
        <v>10.047067775705724</v>
      </c>
      <c r="Y176" s="283"/>
      <c r="Z176" s="305">
        <v>57.728999999999999</v>
      </c>
      <c r="AA176" s="305">
        <v>52.546999999999997</v>
      </c>
      <c r="AB176" s="282">
        <f t="shared" si="422"/>
        <v>55.35</v>
      </c>
      <c r="AC176" s="282">
        <f t="shared" si="418"/>
        <v>56.805</v>
      </c>
      <c r="AD176" s="282">
        <f t="shared" si="418"/>
        <v>56.814000000000007</v>
      </c>
      <c r="AE176" s="282">
        <f t="shared" si="418"/>
        <v>53.648000000000003</v>
      </c>
      <c r="AF176" s="282">
        <f t="shared" ca="1" si="418"/>
        <v>44.99271951146234</v>
      </c>
      <c r="AG176" s="282">
        <f t="shared" ref="AG176:AH177" ca="1" si="423">+AG$161*AG164*AG170</f>
        <v>47.694013020942485</v>
      </c>
      <c r="AH176" s="282">
        <f t="shared" ca="1" si="423"/>
        <v>50.419385193567777</v>
      </c>
      <c r="AI176" s="329"/>
    </row>
    <row r="177" spans="3:35">
      <c r="C177" s="402" t="s">
        <v>463</v>
      </c>
      <c r="E177" s="305">
        <v>5.0209999999999999</v>
      </c>
      <c r="F177" s="305">
        <v>5.3049999999999997</v>
      </c>
      <c r="G177" s="305">
        <v>4.0259999999999998</v>
      </c>
      <c r="H177" s="305">
        <v>4.6079999999999997</v>
      </c>
      <c r="I177" s="305">
        <v>4.782</v>
      </c>
      <c r="J177" s="305">
        <v>4.6280000000000001</v>
      </c>
      <c r="K177" s="305">
        <v>5.258</v>
      </c>
      <c r="L177" s="305">
        <v>5.444</v>
      </c>
      <c r="M177" s="305">
        <v>5.1980000000000004</v>
      </c>
      <c r="N177" s="305">
        <v>5.8890000000000002</v>
      </c>
      <c r="O177" s="305">
        <v>5.9089999999999998</v>
      </c>
      <c r="P177" s="305">
        <v>4.4039999999999999</v>
      </c>
      <c r="Q177" s="305">
        <v>4.9240000000000004</v>
      </c>
      <c r="R177" s="305">
        <v>5.6269999999999998</v>
      </c>
      <c r="S177" s="305">
        <v>4.5910000000000002</v>
      </c>
      <c r="T177" s="305">
        <v>4.7309999999999999</v>
      </c>
      <c r="U177" s="305">
        <v>4.883</v>
      </c>
      <c r="V177" s="282">
        <f t="shared" ca="1" si="419"/>
        <v>4.7809724986203088</v>
      </c>
      <c r="W177" s="282">
        <f t="shared" ca="1" si="420"/>
        <v>3.9007365809784682</v>
      </c>
      <c r="X177" s="282">
        <f t="shared" ca="1" si="421"/>
        <v>4.0196873806597981</v>
      </c>
      <c r="Y177" s="283"/>
      <c r="Z177" s="305">
        <v>20.596</v>
      </c>
      <c r="AA177" s="305">
        <v>17.995999999999999</v>
      </c>
      <c r="AB177" s="282">
        <f t="shared" si="422"/>
        <v>18.96</v>
      </c>
      <c r="AC177" s="282">
        <f t="shared" si="418"/>
        <v>20.111999999999998</v>
      </c>
      <c r="AD177" s="282">
        <f t="shared" si="418"/>
        <v>21.4</v>
      </c>
      <c r="AE177" s="282">
        <f t="shared" si="418"/>
        <v>19.872999999999998</v>
      </c>
      <c r="AF177" s="282">
        <f t="shared" ca="1" si="418"/>
        <v>17.584396460258574</v>
      </c>
      <c r="AG177" s="282">
        <f t="shared" ca="1" si="423"/>
        <v>18.640136512026743</v>
      </c>
      <c r="AH177" s="282">
        <f t="shared" ca="1" si="423"/>
        <v>19.705287169856849</v>
      </c>
      <c r="AI177" s="329"/>
    </row>
    <row r="178" spans="3:35">
      <c r="C178" s="416" t="s">
        <v>464</v>
      </c>
      <c r="E178" s="382">
        <f t="shared" ref="E178:T178" si="424">SUM(E174:E177)</f>
        <v>1946.1699999999998</v>
      </c>
      <c r="F178" s="382">
        <f t="shared" si="424"/>
        <v>2032.9940000000001</v>
      </c>
      <c r="G178" s="382">
        <f t="shared" si="424"/>
        <v>1904.6969999999999</v>
      </c>
      <c r="H178" s="382">
        <f t="shared" si="424"/>
        <v>2194.9450000000006</v>
      </c>
      <c r="I178" s="382">
        <f t="shared" si="424"/>
        <v>2265.375</v>
      </c>
      <c r="J178" s="382">
        <f t="shared" si="424"/>
        <v>2402.8940000000002</v>
      </c>
      <c r="K178" s="382">
        <f t="shared" si="424"/>
        <v>2578.0329999999999</v>
      </c>
      <c r="L178" s="382">
        <f t="shared" si="424"/>
        <v>2777.3650000000002</v>
      </c>
      <c r="M178" s="382">
        <f t="shared" si="424"/>
        <v>2805.665</v>
      </c>
      <c r="N178" s="382">
        <f t="shared" si="424"/>
        <v>2789.096</v>
      </c>
      <c r="O178" s="382">
        <f t="shared" si="424"/>
        <v>2669.3700000000003</v>
      </c>
      <c r="P178" s="382">
        <f t="shared" si="424"/>
        <v>2357.3000000000002</v>
      </c>
      <c r="Q178" s="382">
        <f t="shared" si="424"/>
        <v>2616.4139999999998</v>
      </c>
      <c r="R178" s="769">
        <f t="shared" si="424"/>
        <v>2591.5430000000001</v>
      </c>
      <c r="S178" s="382">
        <f t="shared" si="424"/>
        <v>1864.8219999999999</v>
      </c>
      <c r="T178" s="382">
        <f t="shared" si="424"/>
        <v>2290.0520000000001</v>
      </c>
      <c r="U178" s="382">
        <f t="shared" ref="U178:X178" si="425">SUM(U174:U177)</f>
        <v>2458.5610000000001</v>
      </c>
      <c r="V178" s="382">
        <f t="shared" ca="1" si="425"/>
        <v>2456.8765799577764</v>
      </c>
      <c r="W178" s="382">
        <f t="shared" ca="1" si="425"/>
        <v>1767.4620996335063</v>
      </c>
      <c r="X178" s="382">
        <f t="shared" ca="1" si="425"/>
        <v>2171.1774363804375</v>
      </c>
      <c r="Y178" s="283"/>
      <c r="Z178" s="382">
        <f t="shared" ref="Z178:AG178" si="426">SUM(Z174:Z177)</f>
        <v>9385.7799999999988</v>
      </c>
      <c r="AA178" s="382">
        <f t="shared" si="426"/>
        <v>8473.2789999999986</v>
      </c>
      <c r="AB178" s="382">
        <f t="shared" si="426"/>
        <v>8078.8060000000014</v>
      </c>
      <c r="AC178" s="382">
        <f t="shared" si="426"/>
        <v>10023.666999999999</v>
      </c>
      <c r="AD178" s="382">
        <f t="shared" si="426"/>
        <v>10621.431</v>
      </c>
      <c r="AE178" s="382">
        <f t="shared" si="426"/>
        <v>9362.8309999999983</v>
      </c>
      <c r="AF178" s="382">
        <f t="shared" ca="1" si="426"/>
        <v>8854.0771159717206</v>
      </c>
      <c r="AG178" s="382">
        <f t="shared" ca="1" si="426"/>
        <v>9385.6622547566276</v>
      </c>
      <c r="AH178" s="382">
        <f t="shared" ref="AH178" ca="1" si="427">SUM(AH174:AH177)</f>
        <v>9921.9858121712914</v>
      </c>
      <c r="AI178" s="329"/>
    </row>
    <row r="179" spans="3:35">
      <c r="Y179" s="283"/>
      <c r="AB179" s="282"/>
      <c r="AC179" s="282"/>
      <c r="AD179" s="282"/>
      <c r="AE179" s="282"/>
    </row>
    <row r="180" spans="3:35">
      <c r="C180" s="414" t="s">
        <v>500</v>
      </c>
      <c r="E180" s="329"/>
      <c r="F180" s="329"/>
      <c r="G180" s="329"/>
      <c r="H180" s="329"/>
      <c r="I180" s="329"/>
      <c r="J180" s="329"/>
      <c r="K180" s="329"/>
      <c r="L180" s="329"/>
      <c r="M180" s="283"/>
      <c r="N180" s="283"/>
      <c r="O180" s="283"/>
      <c r="P180" s="283"/>
      <c r="Q180" s="283"/>
      <c r="Y180" s="283"/>
      <c r="AB180" s="282"/>
      <c r="AC180" s="282"/>
      <c r="AD180" s="282"/>
      <c r="AE180" s="282"/>
    </row>
    <row r="181" spans="3:35">
      <c r="C181" s="402" t="s">
        <v>460</v>
      </c>
      <c r="D181" s="375">
        <v>1</v>
      </c>
      <c r="E181" s="305">
        <v>1460.981</v>
      </c>
      <c r="F181" s="305">
        <v>1723.96</v>
      </c>
      <c r="G181" s="305">
        <v>1928.8579999999999</v>
      </c>
      <c r="H181" s="282">
        <f>SUMIF($Z$6:$AG$6,H$6,$Z181:$AG181)-SUM(E181:G181)</f>
        <v>1715.1559999999999</v>
      </c>
      <c r="I181" s="305">
        <v>2241.172</v>
      </c>
      <c r="J181" s="305">
        <v>1738.377</v>
      </c>
      <c r="K181" s="305">
        <v>1565.873</v>
      </c>
      <c r="L181" s="282">
        <f>SUMIF($Z$6:$AG$6,L$6,$Z181:$AG181)-SUM(I181:K181)</f>
        <v>3240.9549999999999</v>
      </c>
      <c r="M181" s="305">
        <v>2093.7199999999998</v>
      </c>
      <c r="N181" s="305">
        <v>2753.7359999999999</v>
      </c>
      <c r="O181" s="305">
        <v>2311.4769999999999</v>
      </c>
      <c r="P181" s="282">
        <f>SUMIF($Z$6:$AG$6,P$6,$Z181:$AG181)-SUM(M181:O181)</f>
        <v>2226.4710000000005</v>
      </c>
      <c r="Q181" s="305">
        <v>2247.2739999999999</v>
      </c>
      <c r="R181" s="305">
        <v>2471.8330000000001</v>
      </c>
      <c r="S181" s="305">
        <v>1774.421</v>
      </c>
      <c r="T181" s="282">
        <f>SUMIF($Z$6:$AG$6,T$6,$Z181:$AG181)-SUM(Q181:S181)</f>
        <v>1791.0229999999992</v>
      </c>
      <c r="U181" s="305">
        <v>1772.3910000000001</v>
      </c>
      <c r="V181" s="282">
        <f t="shared" ref="V181:X181" si="428">$D181*V174</f>
        <v>2428.5202676947688</v>
      </c>
      <c r="W181" s="282">
        <f t="shared" si="428"/>
        <v>1743.9671145142217</v>
      </c>
      <c r="X181" s="282">
        <f t="shared" si="428"/>
        <v>2147.7306177910086</v>
      </c>
      <c r="Y181" s="285">
        <f>U181/U174</f>
        <v>0.72944445221834719</v>
      </c>
      <c r="Z181" s="305">
        <v>8244.723</v>
      </c>
      <c r="AA181" s="305">
        <v>7384.5959999999995</v>
      </c>
      <c r="AB181" s="305">
        <v>6828.9549999999999</v>
      </c>
      <c r="AC181" s="305">
        <v>8786.3770000000004</v>
      </c>
      <c r="AD181" s="305">
        <v>9385.4040000000005</v>
      </c>
      <c r="AE181" s="305">
        <v>8284.5509999999995</v>
      </c>
      <c r="AF181" s="282">
        <f t="shared" ref="AF181:AF184" si="429">SUMIF($E$5:$X$5,AF$5,$E181:$X181)</f>
        <v>8092.6089999999995</v>
      </c>
      <c r="AG181" s="282">
        <f t="shared" ref="AG181:AH181" si="430">AG174*0.9</f>
        <v>8347.8028582876996</v>
      </c>
      <c r="AH181" s="282">
        <f t="shared" si="430"/>
        <v>8824.8201644755682</v>
      </c>
      <c r="AI181" s="329"/>
    </row>
    <row r="182" spans="3:35">
      <c r="C182" s="402" t="s">
        <v>461</v>
      </c>
      <c r="D182" s="375">
        <v>1</v>
      </c>
      <c r="E182" s="305">
        <v>9.0060000000000002</v>
      </c>
      <c r="F182" s="305">
        <v>12.782999999999999</v>
      </c>
      <c r="G182" s="305">
        <v>11.613</v>
      </c>
      <c r="H182" s="282">
        <f>SUMIF($Z$6:$AG$6,H$6,$Z182:$AG182)-SUM(E182:G182)</f>
        <v>9.732999999999997</v>
      </c>
      <c r="I182" s="305">
        <v>13.864000000000001</v>
      </c>
      <c r="J182" s="305">
        <v>8.7390000000000008</v>
      </c>
      <c r="K182" s="305">
        <v>9.8629999999999995</v>
      </c>
      <c r="L182" s="282">
        <f>SUMIF($Z$6:$AG$6,L$6,$Z182:$AG182)-SUM(I182:K182)</f>
        <v>15.467999999999996</v>
      </c>
      <c r="M182" s="305">
        <v>10.321</v>
      </c>
      <c r="N182" s="305">
        <v>12.355</v>
      </c>
      <c r="O182" s="305">
        <v>9.9239999999999995</v>
      </c>
      <c r="P182" s="282">
        <f>SUMIF($Z$6:$AG$6,P$6,$Z182:$AG182)-SUM(M182:O182)</f>
        <v>9.8069999999999951</v>
      </c>
      <c r="Q182" s="305">
        <v>10.547000000000001</v>
      </c>
      <c r="R182" s="305">
        <v>11.82</v>
      </c>
      <c r="S182" s="305">
        <v>9.2319999999999993</v>
      </c>
      <c r="T182" s="282">
        <f>SUMIF($Z$6:$AG$6,T$6,$Z182:$AG182)-SUM(Q182:S182)</f>
        <v>8.5500000000000007</v>
      </c>
      <c r="U182" s="305">
        <v>7.9219999999999997</v>
      </c>
      <c r="V182" s="282">
        <f t="shared" ref="V182:X182" si="431">$D182*V175</f>
        <v>11.79179154225824</v>
      </c>
      <c r="W182" s="282">
        <f t="shared" si="431"/>
        <v>8.9261450246785685</v>
      </c>
      <c r="X182" s="282">
        <f t="shared" si="431"/>
        <v>9.3800634330631887</v>
      </c>
      <c r="Y182" s="285">
        <f t="shared" ref="Y182:Y184" si="432">U182/U175</f>
        <v>0.69479038765128931</v>
      </c>
      <c r="Z182" s="305">
        <v>47.015000000000001</v>
      </c>
      <c r="AA182" s="305">
        <v>42.222000000000001</v>
      </c>
      <c r="AB182" s="305">
        <v>43.134999999999998</v>
      </c>
      <c r="AC182" s="305">
        <v>47.933999999999997</v>
      </c>
      <c r="AD182" s="305">
        <v>42.406999999999996</v>
      </c>
      <c r="AE182" s="305">
        <v>40.149000000000001</v>
      </c>
      <c r="AF182" s="282">
        <f t="shared" si="429"/>
        <v>38.019999999999996</v>
      </c>
      <c r="AG182" s="282">
        <f t="shared" ref="AG182:AH182" si="433">AG175*0.9</f>
        <v>39.592436413593092</v>
      </c>
      <c r="AH182" s="282">
        <f t="shared" si="433"/>
        <v>41.854861351512696</v>
      </c>
      <c r="AI182" s="329"/>
    </row>
    <row r="183" spans="3:35">
      <c r="C183" s="402" t="s">
        <v>462</v>
      </c>
      <c r="D183" s="375">
        <v>1</v>
      </c>
      <c r="E183" s="305">
        <v>9.7919999999999998</v>
      </c>
      <c r="F183" s="305">
        <v>10.157999999999999</v>
      </c>
      <c r="G183" s="305">
        <v>9.282</v>
      </c>
      <c r="H183" s="282">
        <f>SUMIF($Z$6:$AG$6,H$6,$Z183:$AG183)-SUM(E183:G183)</f>
        <v>9.1060000000000016</v>
      </c>
      <c r="I183" s="305">
        <v>9.5329999999999995</v>
      </c>
      <c r="J183" s="305">
        <v>9.4619999999999997</v>
      </c>
      <c r="K183" s="305">
        <v>7.218</v>
      </c>
      <c r="L183" s="282">
        <f>SUMIF($Z$6:$AG$6,L$6,$Z183:$AG183)-SUM(I183:K183)</f>
        <v>11.635000000000002</v>
      </c>
      <c r="M183" s="305">
        <v>9.6519999999999992</v>
      </c>
      <c r="N183" s="305">
        <v>10.65</v>
      </c>
      <c r="O183" s="305">
        <v>11.666</v>
      </c>
      <c r="P183" s="282">
        <f>SUMIF($Z$6:$AG$6,P$6,$Z183:$AG183)-SUM(M183:O183)</f>
        <v>9.8640000000000008</v>
      </c>
      <c r="Q183" s="305">
        <v>9.0969999999999995</v>
      </c>
      <c r="R183" s="305">
        <v>9.2149999999999999</v>
      </c>
      <c r="S183" s="305">
        <v>9.4719999999999995</v>
      </c>
      <c r="T183" s="282">
        <f>SUMIF($Z$6:$AG$6,T$6,$Z183:$AG183)-SUM(Q183:S183)</f>
        <v>8.7970000000000041</v>
      </c>
      <c r="U183" s="305">
        <v>8.0920000000000005</v>
      </c>
      <c r="V183" s="282">
        <f t="shared" ref="V183:X183" ca="1" si="434">$D183*V176</f>
        <v>11.783548222128973</v>
      </c>
      <c r="W183" s="282">
        <f t="shared" ca="1" si="434"/>
        <v>10.668103513627647</v>
      </c>
      <c r="X183" s="282">
        <f t="shared" ca="1" si="434"/>
        <v>10.047067775705724</v>
      </c>
      <c r="Y183" s="285">
        <f t="shared" si="432"/>
        <v>0.64767088202337131</v>
      </c>
      <c r="Z183" s="305">
        <v>40.817</v>
      </c>
      <c r="AA183" s="305">
        <v>37.648000000000003</v>
      </c>
      <c r="AB183" s="305">
        <v>38.338000000000001</v>
      </c>
      <c r="AC183" s="305">
        <v>37.847999999999999</v>
      </c>
      <c r="AD183" s="305">
        <v>41.832000000000001</v>
      </c>
      <c r="AE183" s="305">
        <v>36.581000000000003</v>
      </c>
      <c r="AF183" s="282">
        <f t="shared" ca="1" si="429"/>
        <v>40.590719511462339</v>
      </c>
      <c r="AG183" s="282">
        <f ca="1">AG176*0.9</f>
        <v>42.92461171884824</v>
      </c>
      <c r="AH183" s="282">
        <f ca="1">AH176*0.9</f>
        <v>45.377446674211001</v>
      </c>
      <c r="AI183" s="329"/>
    </row>
    <row r="184" spans="3:35">
      <c r="C184" s="402" t="s">
        <v>463</v>
      </c>
      <c r="D184" s="375">
        <v>1</v>
      </c>
      <c r="E184" s="305">
        <v>2.9239999999999999</v>
      </c>
      <c r="F184" s="305">
        <v>4.26</v>
      </c>
      <c r="G184" s="305">
        <v>3.9860000000000002</v>
      </c>
      <c r="H184" s="282">
        <f>SUMIF($Z$6:$AG$6,H$6,$Z184:$AG184)-SUM(E184:G184)</f>
        <v>3.3209999999999997</v>
      </c>
      <c r="I184" s="305">
        <v>4.3440000000000003</v>
      </c>
      <c r="J184" s="305">
        <v>2.81</v>
      </c>
      <c r="K184" s="305">
        <v>3.0449999999999999</v>
      </c>
      <c r="L184" s="282">
        <f>SUMIF($Z$6:$AG$6,L$6,$Z184:$AG184)-SUM(I184:K184)</f>
        <v>6.2150000000000016</v>
      </c>
      <c r="M184" s="305">
        <v>3.46</v>
      </c>
      <c r="N184" s="305">
        <v>5.2329999999999997</v>
      </c>
      <c r="O184" s="305">
        <v>4.2140000000000004</v>
      </c>
      <c r="P184" s="282">
        <f>SUMIF($Z$6:$AG$6,P$6,$Z184:$AG184)-SUM(M184:O184)</f>
        <v>4.5079999999999991</v>
      </c>
      <c r="Q184" s="305">
        <v>3.645</v>
      </c>
      <c r="R184" s="305">
        <v>4.6189999999999998</v>
      </c>
      <c r="S184" s="305">
        <v>3.8340000000000001</v>
      </c>
      <c r="T184" s="282">
        <f>SUMIF($Z$6:$AG$6,T$6,$Z184:$AG184)-SUM(Q184:S184)</f>
        <v>3.3910000000000018</v>
      </c>
      <c r="U184" s="305">
        <v>3.0630000000000002</v>
      </c>
      <c r="V184" s="282">
        <f t="shared" ref="V184:X184" ca="1" si="435">$D184*V177</f>
        <v>4.7809724986203088</v>
      </c>
      <c r="W184" s="282">
        <f t="shared" ca="1" si="435"/>
        <v>3.9007365809784682</v>
      </c>
      <c r="X184" s="282">
        <f t="shared" ca="1" si="435"/>
        <v>4.0196873806597981</v>
      </c>
      <c r="Y184" s="285">
        <f t="shared" si="432"/>
        <v>0.62727831251279953</v>
      </c>
      <c r="Z184" s="305">
        <v>16.795000000000002</v>
      </c>
      <c r="AA184" s="305">
        <v>14.182</v>
      </c>
      <c r="AB184" s="305">
        <v>14.491</v>
      </c>
      <c r="AC184" s="305">
        <v>16.414000000000001</v>
      </c>
      <c r="AD184" s="305">
        <v>17.414999999999999</v>
      </c>
      <c r="AE184" s="305">
        <v>15.489000000000001</v>
      </c>
      <c r="AF184" s="282">
        <f t="shared" ca="1" si="429"/>
        <v>15.764396460258576</v>
      </c>
      <c r="AG184" s="282">
        <f ca="1">AG177*0.9</f>
        <v>16.776122860824071</v>
      </c>
      <c r="AH184" s="282">
        <f ca="1">AH177*0.9</f>
        <v>17.734758452871166</v>
      </c>
      <c r="AI184" s="329"/>
    </row>
    <row r="185" spans="3:35">
      <c r="C185" s="416" t="s">
        <v>465</v>
      </c>
      <c r="E185" s="382">
        <f t="shared" ref="E185:S185" si="436">SUM(E181:E184)</f>
        <v>1482.703</v>
      </c>
      <c r="F185" s="382">
        <f t="shared" si="436"/>
        <v>1751.1609999999998</v>
      </c>
      <c r="G185" s="382">
        <f t="shared" si="436"/>
        <v>1953.739</v>
      </c>
      <c r="H185" s="382">
        <f t="shared" si="436"/>
        <v>1737.3159999999998</v>
      </c>
      <c r="I185" s="382">
        <f t="shared" si="436"/>
        <v>2268.913</v>
      </c>
      <c r="J185" s="382">
        <f t="shared" si="436"/>
        <v>1759.3879999999999</v>
      </c>
      <c r="K185" s="382">
        <f t="shared" si="436"/>
        <v>1585.9990000000003</v>
      </c>
      <c r="L185" s="382">
        <f t="shared" si="436"/>
        <v>3274.2730000000001</v>
      </c>
      <c r="M185" s="382">
        <f t="shared" si="436"/>
        <v>2117.1529999999998</v>
      </c>
      <c r="N185" s="382">
        <f t="shared" si="436"/>
        <v>2781.9740000000002</v>
      </c>
      <c r="O185" s="382">
        <f t="shared" si="436"/>
        <v>2337.2809999999999</v>
      </c>
      <c r="P185" s="382">
        <f t="shared" si="436"/>
        <v>2250.65</v>
      </c>
      <c r="Q185" s="382">
        <f t="shared" si="436"/>
        <v>2270.5630000000001</v>
      </c>
      <c r="R185" s="769">
        <f t="shared" si="436"/>
        <v>2497.4870000000005</v>
      </c>
      <c r="S185" s="382">
        <f t="shared" si="436"/>
        <v>1796.9590000000001</v>
      </c>
      <c r="T185" s="382">
        <f t="shared" ref="T185" si="437">SUM(T181:T184)</f>
        <v>1811.7609999999993</v>
      </c>
      <c r="U185" s="382">
        <f t="shared" ref="U185:X185" si="438">SUM(U181:U184)</f>
        <v>1791.4680000000003</v>
      </c>
      <c r="V185" s="382">
        <f t="shared" ca="1" si="438"/>
        <v>2456.8765799577764</v>
      </c>
      <c r="W185" s="382">
        <f t="shared" ca="1" si="438"/>
        <v>1767.4620996335063</v>
      </c>
      <c r="X185" s="382">
        <f t="shared" ca="1" si="438"/>
        <v>2171.1774363804375</v>
      </c>
      <c r="Y185" s="283"/>
      <c r="Z185" s="382">
        <f t="shared" ref="Z185:AG185" si="439">SUM(Z181:Z184)</f>
        <v>8349.3499999999985</v>
      </c>
      <c r="AA185" s="382">
        <f t="shared" si="439"/>
        <v>7478.6479999999992</v>
      </c>
      <c r="AB185" s="382">
        <f t="shared" si="439"/>
        <v>6924.9189999999999</v>
      </c>
      <c r="AC185" s="382">
        <f t="shared" si="439"/>
        <v>8888.5730000000003</v>
      </c>
      <c r="AD185" s="382">
        <f t="shared" si="439"/>
        <v>9487.0580000000009</v>
      </c>
      <c r="AE185" s="382">
        <f t="shared" si="439"/>
        <v>8376.7699999999986</v>
      </c>
      <c r="AF185" s="382">
        <f t="shared" ca="1" si="439"/>
        <v>8186.9841159717207</v>
      </c>
      <c r="AG185" s="382">
        <f t="shared" ca="1" si="439"/>
        <v>8447.096029280965</v>
      </c>
      <c r="AH185" s="382">
        <f t="shared" ref="AH185" ca="1" si="440">SUM(AH181:AH184)</f>
        <v>8929.7872309541617</v>
      </c>
      <c r="AI185" s="329"/>
    </row>
    <row r="186" spans="3:35">
      <c r="C186" s="416"/>
      <c r="E186" s="308"/>
      <c r="F186" s="308"/>
      <c r="G186" s="308"/>
      <c r="H186" s="308"/>
      <c r="I186" s="308"/>
      <c r="J186" s="308"/>
      <c r="K186" s="308"/>
      <c r="L186" s="308"/>
      <c r="M186" s="308"/>
      <c r="N186" s="308"/>
      <c r="O186" s="308"/>
      <c r="P186" s="308"/>
      <c r="Q186" s="308"/>
      <c r="R186" s="308"/>
      <c r="S186" s="308"/>
      <c r="T186" s="308"/>
      <c r="U186" s="308"/>
      <c r="V186" s="308"/>
      <c r="W186" s="308"/>
      <c r="X186" s="308"/>
      <c r="Y186" s="283"/>
      <c r="Z186" s="308"/>
      <c r="AA186" s="308"/>
      <c r="AB186" s="308"/>
      <c r="AC186" s="308"/>
      <c r="AD186" s="308"/>
      <c r="AE186" s="308"/>
      <c r="AF186" s="308"/>
      <c r="AG186" s="308"/>
      <c r="AH186" s="308"/>
      <c r="AI186" s="329"/>
    </row>
    <row r="187" spans="3:35">
      <c r="C187" s="414" t="s">
        <v>577</v>
      </c>
      <c r="E187" s="428"/>
      <c r="F187" s="428"/>
      <c r="G187" s="428"/>
      <c r="H187" s="428"/>
      <c r="I187" s="428"/>
      <c r="J187" s="428"/>
      <c r="K187" s="428"/>
      <c r="L187" s="428"/>
      <c r="M187" s="428"/>
      <c r="N187" s="428"/>
      <c r="O187" s="428"/>
      <c r="P187" s="428"/>
      <c r="Y187" s="283"/>
      <c r="AE187" s="282"/>
      <c r="AI187" s="329"/>
    </row>
    <row r="188" spans="3:35">
      <c r="C188" s="402" t="s">
        <v>444</v>
      </c>
      <c r="E188" s="282">
        <f t="shared" ref="E188:X188" si="441">E1*E181/1000</f>
        <v>24.60413986661975</v>
      </c>
      <c r="F188" s="282">
        <f t="shared" si="441"/>
        <v>28.630166819808846</v>
      </c>
      <c r="G188" s="282">
        <f t="shared" si="441"/>
        <v>28.323193676747501</v>
      </c>
      <c r="H188" s="282">
        <f t="shared" si="441"/>
        <v>25.001022107861818</v>
      </c>
      <c r="I188" s="282">
        <f t="shared" si="441"/>
        <v>35.191115310362051</v>
      </c>
      <c r="J188" s="282">
        <f t="shared" si="441"/>
        <v>26.08946233294991</v>
      </c>
      <c r="K188" s="282">
        <f t="shared" si="441"/>
        <v>28.465942364617405</v>
      </c>
      <c r="L188" s="282">
        <f t="shared" si="441"/>
        <v>56.603471922947008</v>
      </c>
      <c r="M188" s="282">
        <f t="shared" si="441"/>
        <v>30.463484920302996</v>
      </c>
      <c r="N188" s="282">
        <f t="shared" si="441"/>
        <v>50.784727889748645</v>
      </c>
      <c r="O188" s="282">
        <f t="shared" si="441"/>
        <v>58.527144571039273</v>
      </c>
      <c r="P188" s="282">
        <f t="shared" si="441"/>
        <v>56.017857236016646</v>
      </c>
      <c r="Q188" s="282">
        <f t="shared" si="441"/>
        <v>57.67214007805218</v>
      </c>
      <c r="R188" s="282">
        <f t="shared" si="441"/>
        <v>67.135706376937364</v>
      </c>
      <c r="S188" s="282">
        <f t="shared" si="441"/>
        <v>42.537607416072419</v>
      </c>
      <c r="T188" s="282">
        <f t="shared" si="441"/>
        <v>42.072109895830735</v>
      </c>
      <c r="U188" s="282">
        <f t="shared" si="441"/>
        <v>43.749451974537649</v>
      </c>
      <c r="V188" s="282">
        <f t="shared" si="441"/>
        <v>52.735317612991899</v>
      </c>
      <c r="W188" s="282">
        <f t="shared" si="441"/>
        <v>38.114401287708318</v>
      </c>
      <c r="X188" s="282">
        <f t="shared" si="441"/>
        <v>47.454108000092333</v>
      </c>
      <c r="Y188" s="283"/>
      <c r="Z188" s="282">
        <f>Z1*Z181/1000</f>
        <v>141.44234085345292</v>
      </c>
      <c r="AA188" s="282">
        <f>AA1*AA181/1000</f>
        <v>127.21024346787739</v>
      </c>
      <c r="AB188" s="282">
        <f t="shared" ref="AB188:AF191" si="442">SUMIF($E$5:$X$5,AB$5,$E188:$X188)</f>
        <v>106.55852247103792</v>
      </c>
      <c r="AC188" s="282">
        <f t="shared" si="442"/>
        <v>146.34999193087637</v>
      </c>
      <c r="AD188" s="282">
        <f t="shared" si="442"/>
        <v>195.79321461710757</v>
      </c>
      <c r="AE188" s="282">
        <f t="shared" si="442"/>
        <v>209.41756376689273</v>
      </c>
      <c r="AF188" s="282">
        <f t="shared" si="442"/>
        <v>182.05327887533019</v>
      </c>
      <c r="AG188" s="282">
        <f>AG1*AG181/1000</f>
        <v>186.26174257602068</v>
      </c>
      <c r="AH188" s="282">
        <f>AH1*AH181/1000</f>
        <v>201.53903671125192</v>
      </c>
      <c r="AI188" s="329"/>
    </row>
    <row r="189" spans="3:35">
      <c r="C189" s="402" t="s">
        <v>440</v>
      </c>
      <c r="E189" s="282">
        <f t="shared" ref="E189:X189" si="443">E2*E182/1000</f>
        <v>11.995737777858821</v>
      </c>
      <c r="F189" s="282">
        <f t="shared" si="443"/>
        <v>16.639139630803282</v>
      </c>
      <c r="G189" s="282">
        <f t="shared" si="443"/>
        <v>13.994267938396918</v>
      </c>
      <c r="H189" s="282">
        <f t="shared" si="443"/>
        <v>12.04118733521511</v>
      </c>
      <c r="I189" s="282">
        <f t="shared" si="443"/>
        <v>18.128358540107655</v>
      </c>
      <c r="J189" s="282">
        <f t="shared" si="443"/>
        <v>11.55297366685271</v>
      </c>
      <c r="K189" s="282">
        <f t="shared" si="443"/>
        <v>14.688320054472479</v>
      </c>
      <c r="L189" s="282">
        <f t="shared" si="443"/>
        <v>23.023067999436851</v>
      </c>
      <c r="M189" s="282">
        <f t="shared" si="443"/>
        <v>16.392357214156874</v>
      </c>
      <c r="N189" s="282">
        <f t="shared" si="443"/>
        <v>21.445108858493686</v>
      </c>
      <c r="O189" s="282">
        <f t="shared" si="443"/>
        <v>19.139809363369245</v>
      </c>
      <c r="P189" s="282">
        <f t="shared" si="443"/>
        <v>17.685286969219344</v>
      </c>
      <c r="Q189" s="282">
        <f t="shared" si="443"/>
        <v>18.670358831128031</v>
      </c>
      <c r="R189" s="282">
        <f t="shared" si="443"/>
        <v>21.571055186889136</v>
      </c>
      <c r="S189" s="282">
        <f t="shared" si="443"/>
        <v>16.544825342918056</v>
      </c>
      <c r="T189" s="282">
        <f t="shared" si="443"/>
        <v>15.407039972823005</v>
      </c>
      <c r="U189" s="282">
        <f t="shared" si="443"/>
        <v>14.891113828465643</v>
      </c>
      <c r="V189" s="282">
        <f t="shared" si="443"/>
        <v>21.525915460392419</v>
      </c>
      <c r="W189" s="282">
        <f t="shared" si="443"/>
        <v>16.365194288245686</v>
      </c>
      <c r="X189" s="282">
        <f t="shared" si="443"/>
        <v>17.302934011800012</v>
      </c>
      <c r="Y189" s="283"/>
      <c r="Z189" s="282">
        <f>Z2*Z182/1000</f>
        <v>58.556806240291756</v>
      </c>
      <c r="AA189" s="282">
        <f>AA2*AA182/1000</f>
        <v>53.259322153967872</v>
      </c>
      <c r="AB189" s="282">
        <f t="shared" si="442"/>
        <v>54.670332682274136</v>
      </c>
      <c r="AC189" s="282">
        <f t="shared" si="442"/>
        <v>67.392720260869694</v>
      </c>
      <c r="AD189" s="282">
        <f t="shared" si="442"/>
        <v>74.662562405239143</v>
      </c>
      <c r="AE189" s="282">
        <f t="shared" si="442"/>
        <v>72.193279333758227</v>
      </c>
      <c r="AF189" s="282">
        <f t="shared" si="442"/>
        <v>70.085157588903769</v>
      </c>
      <c r="AG189" s="282">
        <f>AG2*AG182/1000</f>
        <v>74.190286973611421</v>
      </c>
      <c r="AH189" s="282">
        <f>AH2*AH182/1000</f>
        <v>80.369704767174682</v>
      </c>
      <c r="AI189" s="329"/>
    </row>
    <row r="190" spans="3:35">
      <c r="C190" s="402" t="s">
        <v>439</v>
      </c>
      <c r="E190" s="282">
        <f t="shared" ref="E190:X190" si="444">E3*E183*2</f>
        <v>29.179268408551074</v>
      </c>
      <c r="F190" s="282">
        <f t="shared" si="444"/>
        <v>26.252036686944319</v>
      </c>
      <c r="G190" s="282">
        <f t="shared" si="444"/>
        <v>20.99</v>
      </c>
      <c r="H190" s="282">
        <f t="shared" si="444"/>
        <v>20.867009563138449</v>
      </c>
      <c r="I190" s="282">
        <f t="shared" si="444"/>
        <v>24.754999999999999</v>
      </c>
      <c r="J190" s="282">
        <f t="shared" si="444"/>
        <v>22.104649903288202</v>
      </c>
      <c r="K190" s="282">
        <f t="shared" si="444"/>
        <v>14.010872810357958</v>
      </c>
      <c r="L190" s="282">
        <f t="shared" si="444"/>
        <v>25.53933270212416</v>
      </c>
      <c r="M190" s="282">
        <f t="shared" si="444"/>
        <v>16.984222854819031</v>
      </c>
      <c r="N190" s="282">
        <f t="shared" si="444"/>
        <v>19.058783051130199</v>
      </c>
      <c r="O190" s="282">
        <f t="shared" si="444"/>
        <v>24.232377753645675</v>
      </c>
      <c r="P190" s="282">
        <f t="shared" si="444"/>
        <v>25.035666437414022</v>
      </c>
      <c r="Q190" s="282">
        <f t="shared" si="444"/>
        <v>24.08184701187993</v>
      </c>
      <c r="R190" s="282">
        <f t="shared" si="444"/>
        <v>24.837666457286431</v>
      </c>
      <c r="S190" s="282">
        <f t="shared" si="444"/>
        <v>25.661880794701986</v>
      </c>
      <c r="T190" s="282">
        <f t="shared" si="444"/>
        <v>30.62180772223304</v>
      </c>
      <c r="U190" s="282">
        <f t="shared" si="444"/>
        <v>28.99192681210415</v>
      </c>
      <c r="V190" s="282">
        <f t="shared" ca="1" si="444"/>
        <v>42.217964365158565</v>
      </c>
      <c r="W190" s="282">
        <f t="shared" ca="1" si="444"/>
        <v>38.221561578230826</v>
      </c>
      <c r="X190" s="282">
        <f t="shared" ca="1" si="444"/>
        <v>35.996521704091741</v>
      </c>
      <c r="Y190" s="283"/>
      <c r="Z190" s="282">
        <f>Z3*Z183*2</f>
        <v>77.908164049636568</v>
      </c>
      <c r="AA190" s="282">
        <f>AA3*AA183*2</f>
        <v>99.559129143786862</v>
      </c>
      <c r="AB190" s="282">
        <f t="shared" si="442"/>
        <v>97.288314658633837</v>
      </c>
      <c r="AC190" s="282">
        <f t="shared" si="442"/>
        <v>86.409855415770323</v>
      </c>
      <c r="AD190" s="282">
        <f t="shared" si="442"/>
        <v>85.31105009700893</v>
      </c>
      <c r="AE190" s="282">
        <f t="shared" si="442"/>
        <v>105.20320198610139</v>
      </c>
      <c r="AF190" s="282">
        <f t="shared" ca="1" si="442"/>
        <v>145.4279744595853</v>
      </c>
      <c r="AG190" s="282">
        <f ca="1">AG3*AG183*2</f>
        <v>153.78981727518985</v>
      </c>
      <c r="AH190" s="282">
        <f ca="1">AH3*AH183*2</f>
        <v>162.57780683377214</v>
      </c>
      <c r="AI190" s="329"/>
    </row>
    <row r="191" spans="3:35">
      <c r="C191" s="402" t="s">
        <v>441</v>
      </c>
      <c r="E191" s="282">
        <f t="shared" ref="E191:X191" si="445">E4*E184*2</f>
        <v>6.9751158221303005</v>
      </c>
      <c r="F191" s="282">
        <f t="shared" si="445"/>
        <v>9.5953223767383058</v>
      </c>
      <c r="G191" s="282">
        <f t="shared" si="445"/>
        <v>7.5519999999999996</v>
      </c>
      <c r="H191" s="282">
        <f t="shared" si="445"/>
        <v>5.8443718871056998</v>
      </c>
      <c r="I191" s="282">
        <f t="shared" si="445"/>
        <v>8.0867574257425741</v>
      </c>
      <c r="J191" s="282">
        <f t="shared" si="445"/>
        <v>4.7294221549331317</v>
      </c>
      <c r="K191" s="282">
        <f t="shared" si="445"/>
        <v>5.6766588050314466</v>
      </c>
      <c r="L191" s="282">
        <f t="shared" si="445"/>
        <v>11.321269841269842</v>
      </c>
      <c r="M191" s="282">
        <f t="shared" si="445"/>
        <v>5.3784987893462466</v>
      </c>
      <c r="N191" s="282">
        <f t="shared" si="445"/>
        <v>8.1200824819337161</v>
      </c>
      <c r="O191" s="282">
        <f t="shared" si="445"/>
        <v>7.2297164121647626</v>
      </c>
      <c r="P191" s="282">
        <f t="shared" si="445"/>
        <v>8.137830967460145</v>
      </c>
      <c r="Q191" s="282">
        <f t="shared" si="445"/>
        <v>6.6832008537148138</v>
      </c>
      <c r="R191" s="282">
        <f t="shared" si="445"/>
        <v>9.62565988372093</v>
      </c>
      <c r="S191" s="282">
        <f t="shared" si="445"/>
        <v>7.8467898132427836</v>
      </c>
      <c r="T191" s="282">
        <f t="shared" si="445"/>
        <v>7.6368973067915693</v>
      </c>
      <c r="U191" s="282">
        <f t="shared" si="445"/>
        <v>6.6185699138502327</v>
      </c>
      <c r="V191" s="282">
        <f t="shared" ca="1" si="445"/>
        <v>10.330787051359369</v>
      </c>
      <c r="W191" s="282">
        <f t="shared" ca="1" si="445"/>
        <v>8.4287619251449915</v>
      </c>
      <c r="X191" s="282">
        <f t="shared" ca="1" si="445"/>
        <v>8.6857923476063945</v>
      </c>
      <c r="Y191" s="283"/>
      <c r="Z191" s="282">
        <f>Z4*Z184*2</f>
        <v>28.622988086036408</v>
      </c>
      <c r="AA191" s="282">
        <f>AA4*AA184*2</f>
        <v>30.000840153666282</v>
      </c>
      <c r="AB191" s="282">
        <f t="shared" si="442"/>
        <v>29.966810085974309</v>
      </c>
      <c r="AC191" s="282">
        <f t="shared" si="442"/>
        <v>29.814108226976995</v>
      </c>
      <c r="AD191" s="282">
        <f t="shared" si="442"/>
        <v>28.866128650904869</v>
      </c>
      <c r="AE191" s="282">
        <f t="shared" si="442"/>
        <v>31.792547857470097</v>
      </c>
      <c r="AF191" s="282">
        <f t="shared" ca="1" si="442"/>
        <v>34.063911237960987</v>
      </c>
      <c r="AG191" s="282">
        <f ca="1">AG4*AG184*2</f>
        <v>36.250062695953403</v>
      </c>
      <c r="AH191" s="282">
        <f ca="1">AH4*AH184*2</f>
        <v>38.321494850007895</v>
      </c>
      <c r="AI191" s="329"/>
    </row>
    <row r="192" spans="3:35">
      <c r="C192" s="416" t="s">
        <v>578</v>
      </c>
      <c r="E192" s="382">
        <f>SUM(E188:E191)</f>
        <v>72.754261875159955</v>
      </c>
      <c r="F192" s="382">
        <f>SUM(F188:F191)</f>
        <v>81.116665514294752</v>
      </c>
      <c r="G192" s="382">
        <f>SUM(G188:G191)</f>
        <v>70.859461615144426</v>
      </c>
      <c r="H192" s="382">
        <f>SUM(H188:H191)</f>
        <v>63.753590893321082</v>
      </c>
      <c r="I192" s="382">
        <f t="shared" ref="I192:S192" si="446">SUM(I188:I191)</f>
        <v>86.161231276212277</v>
      </c>
      <c r="J192" s="382">
        <f t="shared" si="446"/>
        <v>64.476508058023953</v>
      </c>
      <c r="K192" s="382">
        <f t="shared" si="446"/>
        <v>62.841794034479285</v>
      </c>
      <c r="L192" s="382">
        <f t="shared" si="446"/>
        <v>116.48714246577785</v>
      </c>
      <c r="M192" s="382">
        <f t="shared" si="446"/>
        <v>69.218563778625153</v>
      </c>
      <c r="N192" s="382">
        <f t="shared" si="446"/>
        <v>99.408702281306248</v>
      </c>
      <c r="O192" s="382">
        <f t="shared" si="446"/>
        <v>109.12904810021897</v>
      </c>
      <c r="P192" s="382">
        <f t="shared" si="446"/>
        <v>106.87664161011016</v>
      </c>
      <c r="Q192" s="382">
        <f t="shared" si="446"/>
        <v>107.10754677477495</v>
      </c>
      <c r="R192" s="769">
        <f t="shared" si="446"/>
        <v>123.17008790483386</v>
      </c>
      <c r="S192" s="382">
        <f t="shared" si="446"/>
        <v>92.591103366935243</v>
      </c>
      <c r="T192" s="382">
        <f t="shared" ref="T192" si="447">SUM(T188:T191)</f>
        <v>95.737854897678346</v>
      </c>
      <c r="U192" s="382">
        <f t="shared" ref="U192:X192" si="448">SUM(U188:U191)</f>
        <v>94.251062528957675</v>
      </c>
      <c r="V192" s="382">
        <f t="shared" ca="1" si="448"/>
        <v>126.80998448990225</v>
      </c>
      <c r="W192" s="382">
        <f t="shared" ca="1" si="448"/>
        <v>101.12991907932984</v>
      </c>
      <c r="X192" s="382">
        <f t="shared" ca="1" si="448"/>
        <v>109.43935606359048</v>
      </c>
      <c r="Y192" s="283"/>
      <c r="Z192" s="382">
        <f t="shared" ref="Z192:AG192" si="449">SUM(Z188:Z191)</f>
        <v>306.53029922941766</v>
      </c>
      <c r="AA192" s="382">
        <f t="shared" si="449"/>
        <v>310.02953491929844</v>
      </c>
      <c r="AB192" s="382">
        <f t="shared" si="449"/>
        <v>288.48397989792022</v>
      </c>
      <c r="AC192" s="382">
        <f t="shared" si="449"/>
        <v>329.9666758344934</v>
      </c>
      <c r="AD192" s="382">
        <f t="shared" si="449"/>
        <v>384.63295577026054</v>
      </c>
      <c r="AE192" s="382">
        <f t="shared" si="449"/>
        <v>418.60659294422243</v>
      </c>
      <c r="AF192" s="382">
        <f t="shared" ref="AF192" ca="1" si="450">SUM(AF188:AF191)</f>
        <v>431.63032216178027</v>
      </c>
      <c r="AG192" s="382">
        <f t="shared" ca="1" si="449"/>
        <v>450.49190952077538</v>
      </c>
      <c r="AH192" s="382">
        <f t="shared" ref="AH192" ca="1" si="451">SUM(AH188:AH191)</f>
        <v>482.80804316220656</v>
      </c>
      <c r="AI192" s="329"/>
    </row>
    <row r="193" spans="1:45" ht="3" customHeight="1">
      <c r="C193" s="416"/>
      <c r="E193" s="308"/>
      <c r="F193" s="308"/>
      <c r="G193" s="308"/>
      <c r="H193" s="308"/>
      <c r="I193" s="308"/>
      <c r="J193" s="308"/>
      <c r="K193" s="308"/>
      <c r="L193" s="308"/>
      <c r="M193" s="308"/>
      <c r="N193" s="308"/>
      <c r="O193" s="308"/>
      <c r="P193" s="308"/>
      <c r="Q193" s="308"/>
      <c r="R193" s="308"/>
      <c r="S193" s="308"/>
      <c r="T193" s="308"/>
      <c r="U193" s="308"/>
      <c r="V193" s="308"/>
      <c r="W193" s="308"/>
      <c r="X193" s="308"/>
      <c r="Y193" s="283"/>
      <c r="Z193" s="308"/>
      <c r="AA193" s="308"/>
      <c r="AB193" s="308"/>
      <c r="AC193" s="308"/>
      <c r="AD193" s="308"/>
      <c r="AE193" s="308"/>
      <c r="AF193" s="308"/>
      <c r="AG193" s="308"/>
      <c r="AH193" s="308"/>
    </row>
    <row r="194" spans="1:45" s="282" customFormat="1">
      <c r="A194" s="283"/>
      <c r="B194" s="474"/>
      <c r="C194" s="480" t="s">
        <v>575</v>
      </c>
      <c r="D194" s="493"/>
      <c r="E194" s="282">
        <f t="shared" ref="E194:R194" si="452">+E192-E197</f>
        <v>6.9042618751599605</v>
      </c>
      <c r="F194" s="282">
        <f t="shared" si="452"/>
        <v>6.5116655142947479</v>
      </c>
      <c r="G194" s="282">
        <f t="shared" si="452"/>
        <v>5.672461615144428</v>
      </c>
      <c r="H194" s="282">
        <f t="shared" si="452"/>
        <v>3.7455908933211006</v>
      </c>
      <c r="I194" s="282">
        <f t="shared" si="452"/>
        <v>6.0322312762122721</v>
      </c>
      <c r="J194" s="282">
        <f t="shared" si="452"/>
        <v>9.0785080580239494</v>
      </c>
      <c r="K194" s="282">
        <f t="shared" si="452"/>
        <v>3.8267940344792848</v>
      </c>
      <c r="L194" s="282">
        <f t="shared" si="452"/>
        <v>11.3071424657779</v>
      </c>
      <c r="M194" s="282">
        <f t="shared" si="452"/>
        <v>15.385563778625155</v>
      </c>
      <c r="N194" s="282">
        <f t="shared" si="452"/>
        <v>14.518702281306247</v>
      </c>
      <c r="O194" s="282">
        <f t="shared" si="452"/>
        <v>15.635048100218967</v>
      </c>
      <c r="P194" s="282">
        <f t="shared" si="452"/>
        <v>11.273641610110175</v>
      </c>
      <c r="Q194" s="282">
        <f t="shared" si="452"/>
        <v>8.6985467747749396</v>
      </c>
      <c r="R194" s="282">
        <f t="shared" si="452"/>
        <v>9.4070879048338583</v>
      </c>
      <c r="S194" s="282">
        <f t="shared" ref="S194:T194" si="453">+S192-S197</f>
        <v>7.7851033669352461</v>
      </c>
      <c r="T194" s="282">
        <f t="shared" si="453"/>
        <v>7.8728548976783372</v>
      </c>
      <c r="U194" s="282">
        <f t="shared" ref="U194" si="454">+U192-U197</f>
        <v>8.1610625289576717</v>
      </c>
      <c r="V194" s="282">
        <f t="shared" ref="V194:X194" ca="1" si="455">+V192*V195</f>
        <v>10.980292263551734</v>
      </c>
      <c r="W194" s="282">
        <f t="shared" ca="1" si="455"/>
        <v>8.7566927205862193</v>
      </c>
      <c r="X194" s="282">
        <f t="shared" ca="1" si="455"/>
        <v>9.4761947929172283</v>
      </c>
      <c r="Y194" s="283"/>
      <c r="Z194" s="282">
        <f t="shared" ref="Z194:AE194" si="456">+Z192-Z197</f>
        <v>46.084299229417638</v>
      </c>
      <c r="AA194" s="282">
        <f t="shared" si="456"/>
        <v>31.732534919298416</v>
      </c>
      <c r="AB194" s="282">
        <f t="shared" si="456"/>
        <v>22.833979897920244</v>
      </c>
      <c r="AC194" s="282">
        <f t="shared" si="456"/>
        <v>30.244675834493421</v>
      </c>
      <c r="AD194" s="282">
        <f t="shared" si="456"/>
        <v>56.812955770260544</v>
      </c>
      <c r="AE194" s="282">
        <f t="shared" si="456"/>
        <v>33.76359294422241</v>
      </c>
      <c r="AF194" s="282">
        <f t="shared" ref="AF194" ca="1" si="457">+AF192-AF197</f>
        <v>37.374242306012889</v>
      </c>
      <c r="AG194" s="282">
        <f ca="1">+AG192*AG195</f>
        <v>39.007439743812206</v>
      </c>
      <c r="AH194" s="282">
        <f ca="1">+AH192*AH195</f>
        <v>41.805646790664788</v>
      </c>
    </row>
    <row r="195" spans="1:45" s="439" customFormat="1">
      <c r="A195" s="283"/>
      <c r="B195" s="306"/>
      <c r="C195" s="335" t="s">
        <v>579</v>
      </c>
      <c r="D195" s="492"/>
      <c r="E195" s="454">
        <f>+E194/E192</f>
        <v>9.4898383918829099E-2</v>
      </c>
      <c r="F195" s="454">
        <f>+F194/F192</f>
        <v>8.0275310542039388E-2</v>
      </c>
      <c r="G195" s="454">
        <f>+G194/G192</f>
        <v>8.0052282163149857E-2</v>
      </c>
      <c r="H195" s="454">
        <f>+H194/H192</f>
        <v>5.8751057639852784E-2</v>
      </c>
      <c r="I195" s="454">
        <f>+I194/I192</f>
        <v>7.0010968818149583E-2</v>
      </c>
      <c r="J195" s="454">
        <f t="shared" ref="J195:R195" si="458">+J194/J192</f>
        <v>0.14080334576826001</v>
      </c>
      <c r="K195" s="454">
        <f t="shared" si="458"/>
        <v>6.0895684047142976E-2</v>
      </c>
      <c r="L195" s="454">
        <f t="shared" si="458"/>
        <v>9.7067729763392271E-2</v>
      </c>
      <c r="M195" s="454">
        <f t="shared" si="458"/>
        <v>0.2222751085652582</v>
      </c>
      <c r="N195" s="454">
        <f t="shared" si="458"/>
        <v>0.14605061677821018</v>
      </c>
      <c r="O195" s="454">
        <f t="shared" si="458"/>
        <v>0.1432711855587751</v>
      </c>
      <c r="P195" s="454">
        <f t="shared" si="458"/>
        <v>0.10548274571759868</v>
      </c>
      <c r="Q195" s="454">
        <f t="shared" si="458"/>
        <v>8.1213201466243903E-2</v>
      </c>
      <c r="R195" s="454">
        <f t="shared" si="458"/>
        <v>7.6374776253323381E-2</v>
      </c>
      <c r="S195" s="454">
        <f t="shared" ref="S195:T195" si="459">+S194/S192</f>
        <v>8.4080468682646098E-2</v>
      </c>
      <c r="T195" s="454">
        <f t="shared" si="459"/>
        <v>8.2233458291838701E-2</v>
      </c>
      <c r="U195" s="454">
        <f t="shared" ref="U195" si="460">+U194/U192</f>
        <v>8.6588546696227092E-2</v>
      </c>
      <c r="V195" s="481">
        <f t="shared" ref="V195:X195" si="461">+U195</f>
        <v>8.6588546696227092E-2</v>
      </c>
      <c r="W195" s="481">
        <f t="shared" si="461"/>
        <v>8.6588546696227092E-2</v>
      </c>
      <c r="X195" s="481">
        <f t="shared" si="461"/>
        <v>8.6588546696227092E-2</v>
      </c>
      <c r="Y195" s="283"/>
      <c r="Z195" s="454">
        <f t="shared" ref="Z195:AE195" si="462">+Z194/Z192</f>
        <v>0.15034174222016006</v>
      </c>
      <c r="AA195" s="454">
        <f t="shared" si="462"/>
        <v>0.10235326427063952</v>
      </c>
      <c r="AB195" s="454">
        <f t="shared" si="462"/>
        <v>7.9151639221006403E-2</v>
      </c>
      <c r="AC195" s="454">
        <f t="shared" si="462"/>
        <v>9.1659788849901072E-2</v>
      </c>
      <c r="AD195" s="454">
        <f t="shared" si="462"/>
        <v>0.1477069370108646</v>
      </c>
      <c r="AE195" s="454">
        <f t="shared" si="462"/>
        <v>8.0657097889333215E-2</v>
      </c>
      <c r="AF195" s="454">
        <f t="shared" ref="AF195" ca="1" si="463">+AF194/AF192</f>
        <v>8.6588546696227175E-2</v>
      </c>
      <c r="AG195" s="481">
        <f t="shared" ref="AG195" ca="1" si="464">+AF195</f>
        <v>8.6588546696227175E-2</v>
      </c>
      <c r="AH195" s="481">
        <f t="shared" ref="AH195" ca="1" si="465">+AG195</f>
        <v>8.6588546696227175E-2</v>
      </c>
    </row>
    <row r="196" spans="1:45">
      <c r="E196" s="314"/>
      <c r="F196" s="314"/>
      <c r="G196" s="314"/>
      <c r="H196" s="314"/>
      <c r="I196" s="284"/>
      <c r="J196" s="314"/>
      <c r="K196" s="314"/>
      <c r="L196" s="314"/>
      <c r="M196" s="314"/>
      <c r="N196" s="314"/>
      <c r="O196" s="314"/>
      <c r="P196" s="314"/>
      <c r="Q196" s="314"/>
      <c r="R196" s="314"/>
      <c r="Y196" s="283"/>
      <c r="AB196" s="282"/>
      <c r="AC196" s="282"/>
      <c r="AD196" s="282"/>
      <c r="AE196" s="282"/>
    </row>
    <row r="197" spans="1:45" s="307" customFormat="1">
      <c r="A197" s="283"/>
      <c r="B197" s="507"/>
      <c r="C197" s="507" t="s">
        <v>453</v>
      </c>
      <c r="D197" s="508"/>
      <c r="E197" s="509">
        <v>65.849999999999994</v>
      </c>
      <c r="F197" s="509">
        <v>74.605000000000004</v>
      </c>
      <c r="G197" s="509">
        <v>65.186999999999998</v>
      </c>
      <c r="H197" s="510">
        <f>SUMIF($Z$6:$AG$6,H$6,$Z197:$AG197)-SUM(E197:G197)</f>
        <v>60.007999999999981</v>
      </c>
      <c r="I197" s="509">
        <v>80.129000000000005</v>
      </c>
      <c r="J197" s="509">
        <v>55.398000000000003</v>
      </c>
      <c r="K197" s="509">
        <v>59.015000000000001</v>
      </c>
      <c r="L197" s="510">
        <f>SUMIF($Z$6:$AG$6,L$6,$Z197:$AG197)-SUM(I197:K197)</f>
        <v>105.17999999999995</v>
      </c>
      <c r="M197" s="509">
        <v>53.832999999999998</v>
      </c>
      <c r="N197" s="509">
        <v>84.89</v>
      </c>
      <c r="O197" s="509">
        <v>93.494</v>
      </c>
      <c r="P197" s="510">
        <f>SUMIF($Z$6:$AG$6,P$6,$Z197:$AG197)-SUM(M197:O197)</f>
        <v>95.60299999999998</v>
      </c>
      <c r="Q197" s="509">
        <v>98.409000000000006</v>
      </c>
      <c r="R197" s="772">
        <v>113.76300000000001</v>
      </c>
      <c r="S197" s="772">
        <v>84.805999999999997</v>
      </c>
      <c r="T197" s="510">
        <f>SUMIF($Z$6:$AG$6,T$6,$Z197:$AG197)-SUM(Q197:S197)</f>
        <v>87.865000000000009</v>
      </c>
      <c r="U197" s="772">
        <v>86.09</v>
      </c>
      <c r="V197" s="511">
        <f t="shared" ref="V197:X197" ca="1" si="466">+V192-V194</f>
        <v>115.82969222635052</v>
      </c>
      <c r="W197" s="511">
        <f t="shared" ca="1" si="466"/>
        <v>92.373226358743622</v>
      </c>
      <c r="X197" s="511">
        <f t="shared" ca="1" si="466"/>
        <v>99.963161270673254</v>
      </c>
      <c r="Y197" s="283"/>
      <c r="Z197" s="509">
        <v>260.44600000000003</v>
      </c>
      <c r="AA197" s="509">
        <v>278.29700000000003</v>
      </c>
      <c r="AB197" s="509">
        <v>265.64999999999998</v>
      </c>
      <c r="AC197" s="509">
        <v>299.72199999999998</v>
      </c>
      <c r="AD197" s="509">
        <v>327.82</v>
      </c>
      <c r="AE197" s="509">
        <v>384.84300000000002</v>
      </c>
      <c r="AF197" s="511">
        <f t="shared" ref="AF197" ca="1" si="467">SUMIF($E$5:$X$5,AF$5,$E197:$X197)</f>
        <v>394.25607985576738</v>
      </c>
      <c r="AG197" s="511">
        <f ca="1">+AG192-AG194</f>
        <v>411.48446977696318</v>
      </c>
      <c r="AH197" s="511">
        <f ca="1">+AH192-AH194</f>
        <v>441.00239637154175</v>
      </c>
    </row>
    <row r="198" spans="1:45" s="307" customFormat="1">
      <c r="A198" s="283"/>
      <c r="D198" s="498"/>
      <c r="E198" s="315"/>
      <c r="F198" s="315"/>
      <c r="G198" s="315"/>
      <c r="H198" s="308"/>
      <c r="I198" s="315"/>
      <c r="J198" s="315"/>
      <c r="K198" s="315"/>
      <c r="L198" s="308"/>
      <c r="M198" s="308"/>
      <c r="N198" s="308"/>
      <c r="O198" s="308"/>
      <c r="P198" s="308"/>
      <c r="Q198" s="308"/>
      <c r="R198" s="512"/>
      <c r="S198" s="512"/>
      <c r="T198" s="512"/>
      <c r="U198" s="512"/>
      <c r="V198" s="512"/>
      <c r="W198" s="512"/>
      <c r="X198" s="512"/>
      <c r="Y198" s="283"/>
      <c r="Z198" s="315"/>
      <c r="AA198" s="315"/>
      <c r="AB198" s="315"/>
      <c r="AC198" s="322"/>
      <c r="AD198" s="322"/>
      <c r="AE198" s="322"/>
      <c r="AF198" s="322"/>
      <c r="AG198" s="322"/>
      <c r="AH198" s="322"/>
    </row>
    <row r="199" spans="1:45" s="281" customFormat="1">
      <c r="A199" s="283"/>
      <c r="B199" s="518"/>
      <c r="C199" s="518" t="s">
        <v>311</v>
      </c>
      <c r="D199" s="519"/>
      <c r="E199" s="520">
        <v>31.222000000000001</v>
      </c>
      <c r="F199" s="520">
        <v>35.929000000000002</v>
      </c>
      <c r="G199" s="520">
        <v>39.732999999999997</v>
      </c>
      <c r="H199" s="521">
        <f>SUMIF($Z$6:$AG$6,H$6,$Z199:$AG199)-SUM(E199:G199)</f>
        <v>36.670999999999992</v>
      </c>
      <c r="I199" s="520">
        <v>41.743000000000002</v>
      </c>
      <c r="J199" s="520">
        <v>34.799999999999997</v>
      </c>
      <c r="K199" s="520">
        <v>31.466999999999999</v>
      </c>
      <c r="L199" s="521">
        <f>SUMIF($Z$6:$AG$6,L$6,$Z199:$AG199)-SUM(I199:K199)</f>
        <v>56.122</v>
      </c>
      <c r="M199" s="520">
        <f>36.753-0.167</f>
        <v>36.585999999999999</v>
      </c>
      <c r="N199" s="520">
        <f>44.684-1.295</f>
        <v>43.388999999999996</v>
      </c>
      <c r="O199" s="520">
        <f>39.322-2.952</f>
        <v>36.370000000000005</v>
      </c>
      <c r="P199" s="521">
        <f>SUMIF($Z$6:$AG$6,P$6,$Z199:$AG199)-SUM(M199:O199)</f>
        <v>44.710999999999984</v>
      </c>
      <c r="Q199" s="520">
        <v>38.36</v>
      </c>
      <c r="R199" s="520">
        <v>40.996000000000002</v>
      </c>
      <c r="S199" s="520">
        <f>55.193-S200</f>
        <v>42.095999999999997</v>
      </c>
      <c r="T199" s="521">
        <f>SUMIF($Z$6:$AG$6,T$6,$Z199:$AG199)-SUM(Q199:S199)</f>
        <v>42.950999999999993</v>
      </c>
      <c r="U199" s="520">
        <v>38.218000000000004</v>
      </c>
      <c r="V199" s="521">
        <f>($AF199-$U199)*R199/SUM($R199:$T199)</f>
        <v>46.798207532350084</v>
      </c>
      <c r="W199" s="521">
        <f t="shared" ref="W199:X199" si="468">($AF199-$U199)*S199/SUM($R199:$T199)</f>
        <v>48.053891703624956</v>
      </c>
      <c r="X199" s="521">
        <f t="shared" si="468"/>
        <v>49.029900764024973</v>
      </c>
      <c r="Y199" s="283"/>
      <c r="Z199" s="520">
        <v>138.07499999999999</v>
      </c>
      <c r="AA199" s="520">
        <v>145.47499999999999</v>
      </c>
      <c r="AB199" s="520">
        <v>143.55500000000001</v>
      </c>
      <c r="AC199" s="520">
        <v>164.13200000000001</v>
      </c>
      <c r="AD199" s="520">
        <f>167.433-6.377</f>
        <v>161.05599999999998</v>
      </c>
      <c r="AE199" s="520">
        <v>164.40299999999999</v>
      </c>
      <c r="AF199" s="377">
        <f>230-AF200</f>
        <v>182.1</v>
      </c>
      <c r="AG199" s="805">
        <f>+AF199+10</f>
        <v>192.1</v>
      </c>
      <c r="AH199" s="805">
        <f>+AG199+15</f>
        <v>207.1</v>
      </c>
      <c r="AJ199" s="285">
        <f>Z199/Z$197</f>
        <v>0.53014828409727921</v>
      </c>
      <c r="AK199" s="285">
        <f t="shared" ref="AK199:AS200" si="469">AA199/AA$197</f>
        <v>0.52273290764902236</v>
      </c>
      <c r="AL199" s="285">
        <f t="shared" si="469"/>
        <v>0.54039149256540564</v>
      </c>
      <c r="AM199" s="285">
        <f t="shared" si="469"/>
        <v>0.54761412242010932</v>
      </c>
      <c r="AN199" s="285">
        <f t="shared" si="469"/>
        <v>0.49129400280641811</v>
      </c>
      <c r="AO199" s="285">
        <f t="shared" si="469"/>
        <v>0.42719498600728084</v>
      </c>
      <c r="AP199" s="285">
        <f t="shared" ca="1" si="469"/>
        <v>0.46188254107994614</v>
      </c>
      <c r="AQ199" s="285">
        <f t="shared" ca="1" si="469"/>
        <v>0.46684629459800492</v>
      </c>
      <c r="AR199" s="285">
        <f t="shared" ca="1" si="469"/>
        <v>0.46961196062417659</v>
      </c>
      <c r="AS199" s="285" t="e">
        <f t="shared" si="469"/>
        <v>#DIV/0!</v>
      </c>
    </row>
    <row r="200" spans="1:45" s="281" customFormat="1">
      <c r="A200" s="283"/>
      <c r="B200" s="518"/>
      <c r="C200" s="518" t="s">
        <v>312</v>
      </c>
      <c r="D200" s="519"/>
      <c r="E200" s="520">
        <v>10.638999999999999</v>
      </c>
      <c r="F200" s="520">
        <v>11.813000000000001</v>
      </c>
      <c r="G200" s="520">
        <v>12.428000000000001</v>
      </c>
      <c r="H200" s="521">
        <f>SUMIF($Z$6:$AG$6,H$6,$Z200:$AG200)-SUM(E200:G200)</f>
        <v>11.631000000000007</v>
      </c>
      <c r="I200" s="520">
        <v>12.37</v>
      </c>
      <c r="J200" s="520">
        <v>10.85</v>
      </c>
      <c r="K200" s="520">
        <v>9.0079999999999991</v>
      </c>
      <c r="L200" s="521">
        <f>SUMIF($Z$6:$AG$6,L$6,$Z200:$AG200)-SUM(I200:K200)</f>
        <v>15.359000000000009</v>
      </c>
      <c r="M200" s="520">
        <f>12.429-1.851</f>
        <v>10.577999999999999</v>
      </c>
      <c r="N200" s="520">
        <f>12.988-2.736</f>
        <v>10.251999999999999</v>
      </c>
      <c r="O200" s="520">
        <f>11.735-2.248</f>
        <v>9.4869999999999983</v>
      </c>
      <c r="P200" s="521">
        <f>SUMIF($Z$6:$AG$6,P$6,$Z200:$AG200)-SUM(M200:O200)</f>
        <v>10.355</v>
      </c>
      <c r="Q200" s="520">
        <f>14.821-0.64725</f>
        <v>14.17375</v>
      </c>
      <c r="R200" s="520">
        <f>14.492</f>
        <v>14.492000000000001</v>
      </c>
      <c r="S200" s="520">
        <v>13.097</v>
      </c>
      <c r="T200" s="521">
        <f>SUMIF($Z$6:$AG$6,T$6,$Z200:$AG200)-SUM(Q200:S200)</f>
        <v>7.0992499999999978</v>
      </c>
      <c r="U200" s="520">
        <v>11.42</v>
      </c>
      <c r="V200" s="521">
        <f>($AF200-$U200)*R200/SUM($R200:$T200)</f>
        <v>15.240554366392077</v>
      </c>
      <c r="W200" s="521">
        <f t="shared" ref="W200" si="470">($AF200-$U200)*S200/SUM($R200:$T200)</f>
        <v>13.773498518950941</v>
      </c>
      <c r="X200" s="521">
        <f t="shared" ref="X200" si="471">($AF200-$U200)*T200/SUM($R200:$T200)</f>
        <v>7.465947114656978</v>
      </c>
      <c r="Y200" s="283"/>
      <c r="Z200" s="520">
        <v>53.222000000000001</v>
      </c>
      <c r="AA200" s="520">
        <v>56.328000000000003</v>
      </c>
      <c r="AB200" s="520">
        <v>46.511000000000003</v>
      </c>
      <c r="AC200" s="520">
        <v>47.587000000000003</v>
      </c>
      <c r="AD200" s="520">
        <f>49.692-9.02</f>
        <v>40.671999999999997</v>
      </c>
      <c r="AE200" s="520">
        <f>48.71+0.152</f>
        <v>48.862000000000002</v>
      </c>
      <c r="AF200" s="377">
        <v>47.9</v>
      </c>
      <c r="AG200" s="805">
        <f>+AF200+1</f>
        <v>48.9</v>
      </c>
      <c r="AH200" s="805">
        <f>+AG200+4</f>
        <v>52.9</v>
      </c>
      <c r="AJ200" s="285">
        <f>Z200/Z$197</f>
        <v>0.20434946207659169</v>
      </c>
      <c r="AK200" s="285">
        <f t="shared" si="469"/>
        <v>0.20240246930437625</v>
      </c>
      <c r="AL200" s="285">
        <f t="shared" si="469"/>
        <v>0.17508375682288729</v>
      </c>
      <c r="AM200" s="285">
        <f t="shared" si="469"/>
        <v>0.15877046062684758</v>
      </c>
      <c r="AN200" s="285">
        <f t="shared" si="469"/>
        <v>0.12406808614483557</v>
      </c>
      <c r="AO200" s="285">
        <f t="shared" si="469"/>
        <v>0.12696606148481329</v>
      </c>
      <c r="AP200" s="285">
        <f t="shared" ca="1" si="469"/>
        <v>0.12149463875743778</v>
      </c>
      <c r="AQ200" s="285">
        <f t="shared" ca="1" si="469"/>
        <v>0.11883802085290182</v>
      </c>
      <c r="AR200" s="285">
        <f t="shared" ca="1" si="469"/>
        <v>0.11995399670216776</v>
      </c>
      <c r="AS200" s="285" t="e">
        <f t="shared" si="469"/>
        <v>#DIV/0!</v>
      </c>
    </row>
    <row r="201" spans="1:45" s="281" customFormat="1">
      <c r="A201" s="283"/>
      <c r="B201" s="518"/>
      <c r="C201" s="522" t="s">
        <v>161</v>
      </c>
      <c r="D201" s="519"/>
      <c r="E201" s="523">
        <f t="shared" ref="E201:S201" si="472">E197-SUM(E199:E200)</f>
        <v>23.98899999999999</v>
      </c>
      <c r="F201" s="523">
        <f t="shared" si="472"/>
        <v>26.863</v>
      </c>
      <c r="G201" s="523">
        <f t="shared" si="472"/>
        <v>13.025999999999996</v>
      </c>
      <c r="H201" s="523">
        <f t="shared" si="472"/>
        <v>11.705999999999982</v>
      </c>
      <c r="I201" s="523">
        <f t="shared" si="472"/>
        <v>26.016000000000005</v>
      </c>
      <c r="J201" s="523">
        <f t="shared" si="472"/>
        <v>9.7480000000000047</v>
      </c>
      <c r="K201" s="523">
        <f t="shared" si="472"/>
        <v>18.540000000000006</v>
      </c>
      <c r="L201" s="523">
        <f t="shared" si="472"/>
        <v>33.698999999999941</v>
      </c>
      <c r="M201" s="523">
        <f t="shared" si="472"/>
        <v>6.6689999999999969</v>
      </c>
      <c r="N201" s="523">
        <f t="shared" si="472"/>
        <v>31.249000000000009</v>
      </c>
      <c r="O201" s="523">
        <f t="shared" si="472"/>
        <v>47.637</v>
      </c>
      <c r="P201" s="523">
        <f t="shared" si="472"/>
        <v>40.536999999999992</v>
      </c>
      <c r="Q201" s="523">
        <f t="shared" si="472"/>
        <v>45.875250000000008</v>
      </c>
      <c r="R201" s="773">
        <f t="shared" ref="R201" si="473">R197-SUM(R199:R200)</f>
        <v>58.275000000000006</v>
      </c>
      <c r="S201" s="523">
        <f t="shared" si="472"/>
        <v>29.613</v>
      </c>
      <c r="T201" s="523">
        <f t="shared" ref="T201" si="474">T197-SUM(T199:T200)</f>
        <v>37.814750000000018</v>
      </c>
      <c r="U201" s="523">
        <f t="shared" ref="U201:X201" si="475">U197-SUM(U199:U200)</f>
        <v>36.451999999999998</v>
      </c>
      <c r="V201" s="523">
        <f t="shared" ca="1" si="475"/>
        <v>53.790930327608358</v>
      </c>
      <c r="W201" s="523">
        <f t="shared" ca="1" si="475"/>
        <v>30.545836136167722</v>
      </c>
      <c r="X201" s="523">
        <f t="shared" ca="1" si="475"/>
        <v>43.467313391991304</v>
      </c>
      <c r="Y201" s="283"/>
      <c r="Z201" s="523">
        <f t="shared" ref="Z201:AG201" si="476">Z197-SUM(Z199:Z200)</f>
        <v>69.149000000000029</v>
      </c>
      <c r="AA201" s="523">
        <f t="shared" si="476"/>
        <v>76.494000000000028</v>
      </c>
      <c r="AB201" s="523">
        <f t="shared" si="476"/>
        <v>75.583999999999975</v>
      </c>
      <c r="AC201" s="523">
        <f t="shared" si="476"/>
        <v>88.002999999999986</v>
      </c>
      <c r="AD201" s="523">
        <f t="shared" si="476"/>
        <v>126.09200000000001</v>
      </c>
      <c r="AE201" s="523">
        <f t="shared" si="476"/>
        <v>171.57800000000003</v>
      </c>
      <c r="AF201" s="523">
        <f t="shared" ca="1" si="476"/>
        <v>164.25607985576738</v>
      </c>
      <c r="AG201" s="523">
        <f t="shared" ca="1" si="476"/>
        <v>170.48446977696318</v>
      </c>
      <c r="AH201" s="523">
        <f t="shared" ref="AH201" ca="1" si="477">AH197-SUM(AH199:AH200)</f>
        <v>181.00239637154175</v>
      </c>
    </row>
    <row r="202" spans="1:45" s="281" customFormat="1" ht="2.2000000000000002" customHeight="1">
      <c r="A202" s="283"/>
      <c r="B202" s="518"/>
      <c r="C202" s="522"/>
      <c r="D202" s="519"/>
      <c r="E202" s="506"/>
      <c r="F202" s="506"/>
      <c r="G202" s="506"/>
      <c r="H202" s="506"/>
      <c r="I202" s="506"/>
      <c r="J202" s="506"/>
      <c r="K202" s="506"/>
      <c r="L202" s="506"/>
      <c r="M202" s="506"/>
      <c r="N202" s="506"/>
      <c r="O202" s="506"/>
      <c r="P202" s="506"/>
      <c r="Q202" s="506"/>
      <c r="R202" s="506"/>
      <c r="S202" s="506"/>
      <c r="T202" s="506"/>
      <c r="U202" s="506"/>
      <c r="V202" s="506"/>
      <c r="W202" s="506"/>
      <c r="X202" s="506"/>
      <c r="Y202" s="283"/>
      <c r="Z202" s="506"/>
      <c r="AA202" s="506"/>
      <c r="AB202" s="506"/>
      <c r="AC202" s="506"/>
      <c r="AD202" s="506"/>
      <c r="AE202" s="506"/>
      <c r="AF202" s="506"/>
      <c r="AG202" s="506"/>
      <c r="AH202" s="506"/>
    </row>
    <row r="203" spans="1:45" s="306" customFormat="1">
      <c r="A203" s="283"/>
      <c r="B203" s="524"/>
      <c r="C203" s="525" t="s">
        <v>598</v>
      </c>
      <c r="D203" s="526"/>
      <c r="E203" s="527">
        <f t="shared" ref="E203:K203" si="478">+E201/E197</f>
        <v>0.36429764616552762</v>
      </c>
      <c r="F203" s="527">
        <f t="shared" si="478"/>
        <v>0.36006970042222369</v>
      </c>
      <c r="G203" s="527">
        <f t="shared" si="478"/>
        <v>0.19982511850522339</v>
      </c>
      <c r="H203" s="527">
        <f t="shared" si="478"/>
        <v>0.19507399013464846</v>
      </c>
      <c r="I203" s="527">
        <f t="shared" si="478"/>
        <v>0.3246764592095247</v>
      </c>
      <c r="J203" s="527">
        <f t="shared" si="478"/>
        <v>0.1759630311563595</v>
      </c>
      <c r="K203" s="527">
        <f t="shared" si="478"/>
        <v>0.31415741760569355</v>
      </c>
      <c r="L203" s="527">
        <f>+L201/L197</f>
        <v>0.32039361095265217</v>
      </c>
      <c r="M203" s="527">
        <f t="shared" ref="M203:AG203" si="479">+M201/M197</f>
        <v>0.12388312001931895</v>
      </c>
      <c r="N203" s="527">
        <f t="shared" si="479"/>
        <v>0.36811167393096961</v>
      </c>
      <c r="O203" s="527">
        <f t="shared" si="479"/>
        <v>0.50951932744347228</v>
      </c>
      <c r="P203" s="527">
        <f t="shared" si="479"/>
        <v>0.42401389077748608</v>
      </c>
      <c r="Q203" s="527">
        <f t="shared" si="479"/>
        <v>0.46616925281224286</v>
      </c>
      <c r="R203" s="527">
        <f t="shared" si="479"/>
        <v>0.51224914954774403</v>
      </c>
      <c r="S203" s="527">
        <f t="shared" si="479"/>
        <v>0.34918519916043678</v>
      </c>
      <c r="T203" s="527">
        <f t="shared" si="479"/>
        <v>0.4303732999487852</v>
      </c>
      <c r="U203" s="527">
        <f t="shared" ref="U203:X203" si="480">+U201/U197</f>
        <v>0.42341735393193164</v>
      </c>
      <c r="V203" s="527">
        <f t="shared" ca="1" si="480"/>
        <v>0.46439673017944239</v>
      </c>
      <c r="W203" s="527">
        <f t="shared" ca="1" si="480"/>
        <v>0.33067845890257136</v>
      </c>
      <c r="X203" s="527">
        <f t="shared" ca="1" si="480"/>
        <v>0.43483332099005506</v>
      </c>
      <c r="Y203" s="283"/>
      <c r="Z203" s="527">
        <f t="shared" si="479"/>
        <v>0.26550225382612913</v>
      </c>
      <c r="AA203" s="527">
        <f t="shared" si="479"/>
        <v>0.27486462304660136</v>
      </c>
      <c r="AB203" s="527">
        <f t="shared" si="479"/>
        <v>0.28452475061170707</v>
      </c>
      <c r="AC203" s="527">
        <f t="shared" si="479"/>
        <v>0.29361541695304311</v>
      </c>
      <c r="AD203" s="527">
        <f t="shared" si="479"/>
        <v>0.38463791104874628</v>
      </c>
      <c r="AE203" s="527">
        <f t="shared" si="479"/>
        <v>0.44583895250790589</v>
      </c>
      <c r="AF203" s="527">
        <f t="shared" ca="1" si="479"/>
        <v>0.41662282016261609</v>
      </c>
      <c r="AG203" s="527">
        <f t="shared" ca="1" si="479"/>
        <v>0.41431568454909329</v>
      </c>
      <c r="AH203" s="527">
        <f t="shared" ref="AH203" ca="1" si="481">+AH201/AH197</f>
        <v>0.41043404267365563</v>
      </c>
    </row>
    <row r="204" spans="1:45" s="281" customFormat="1">
      <c r="A204" s="283"/>
      <c r="B204" s="518"/>
      <c r="C204" s="522"/>
      <c r="D204" s="519"/>
      <c r="E204" s="506"/>
      <c r="F204" s="506"/>
      <c r="G204" s="506"/>
      <c r="H204" s="506"/>
      <c r="I204" s="506"/>
      <c r="J204" s="506"/>
      <c r="K204" s="506"/>
      <c r="L204" s="506"/>
      <c r="M204" s="506"/>
      <c r="N204" s="506"/>
      <c r="O204" s="506"/>
      <c r="P204" s="506"/>
      <c r="Q204" s="506"/>
      <c r="R204" s="518"/>
      <c r="S204" s="518"/>
      <c r="T204" s="518"/>
      <c r="U204" s="529"/>
      <c r="V204" s="518"/>
      <c r="W204" s="518"/>
      <c r="X204" s="518"/>
      <c r="Y204" s="283"/>
      <c r="Z204" s="506"/>
      <c r="AA204" s="506"/>
      <c r="AB204" s="506"/>
      <c r="AC204" s="506"/>
      <c r="AD204" s="506"/>
      <c r="AE204" s="518"/>
      <c r="AF204" s="518"/>
      <c r="AG204" s="518"/>
      <c r="AH204" s="518"/>
    </row>
    <row r="205" spans="1:45" s="281" customFormat="1">
      <c r="A205" s="283"/>
      <c r="B205" s="518"/>
      <c r="C205" s="528" t="s">
        <v>314</v>
      </c>
      <c r="D205" s="519"/>
      <c r="E205" s="529">
        <f>+E219</f>
        <v>0.36</v>
      </c>
      <c r="F205" s="529">
        <f t="shared" ref="F205:T205" si="482">+F219</f>
        <v>0.77800000000000002</v>
      </c>
      <c r="G205" s="529">
        <f t="shared" si="482"/>
        <v>1.7709999999999999</v>
      </c>
      <c r="H205" s="529">
        <f t="shared" si="482"/>
        <v>0.24199999999999999</v>
      </c>
      <c r="I205" s="529">
        <f t="shared" si="482"/>
        <v>8.1000000000000003E-2</v>
      </c>
      <c r="J205" s="529">
        <f t="shared" si="482"/>
        <v>7.9000000000000001E-2</v>
      </c>
      <c r="K205" s="529">
        <f t="shared" si="482"/>
        <v>0.46500000000000002</v>
      </c>
      <c r="L205" s="529">
        <f t="shared" si="482"/>
        <v>0.35699999999999998</v>
      </c>
      <c r="M205" s="529">
        <f t="shared" si="482"/>
        <v>4.0000000000000001E-3</v>
      </c>
      <c r="N205" s="529">
        <f t="shared" si="482"/>
        <v>0</v>
      </c>
      <c r="O205" s="529">
        <f t="shared" si="482"/>
        <v>0.37</v>
      </c>
      <c r="P205" s="529">
        <f t="shared" si="482"/>
        <v>-0.02</v>
      </c>
      <c r="Q205" s="529">
        <f t="shared" si="482"/>
        <v>0.123</v>
      </c>
      <c r="R205" s="529">
        <f t="shared" si="482"/>
        <v>1.3</v>
      </c>
      <c r="S205" s="529">
        <f t="shared" ref="S205" si="483">+S219</f>
        <v>2.472</v>
      </c>
      <c r="T205" s="529">
        <f t="shared" si="482"/>
        <v>0.69599999999999995</v>
      </c>
      <c r="U205" s="529">
        <f t="shared" ref="U205:X205" si="484">+U219</f>
        <v>0.16500000000000001</v>
      </c>
      <c r="V205" s="529">
        <f t="shared" si="484"/>
        <v>1.3776857654431516</v>
      </c>
      <c r="W205" s="529">
        <f t="shared" si="484"/>
        <v>2.619722470904208</v>
      </c>
      <c r="X205" s="529">
        <f t="shared" si="484"/>
        <v>0.73759176365264101</v>
      </c>
      <c r="Y205" s="283"/>
      <c r="Z205" s="529">
        <f t="shared" ref="Z205:AG205" si="485">+Z219</f>
        <v>1.8919999999999999</v>
      </c>
      <c r="AA205" s="529">
        <f t="shared" si="485"/>
        <v>4.2649999999999997</v>
      </c>
      <c r="AB205" s="529">
        <f t="shared" si="485"/>
        <v>3.1509999999999998</v>
      </c>
      <c r="AC205" s="529">
        <f t="shared" si="485"/>
        <v>0.98199999999999998</v>
      </c>
      <c r="AD205" s="529">
        <f t="shared" si="485"/>
        <v>0.35399999999999998</v>
      </c>
      <c r="AE205" s="529">
        <f t="shared" si="485"/>
        <v>4.5910000000000002</v>
      </c>
      <c r="AF205" s="529">
        <f t="shared" si="485"/>
        <v>4.9000000000000004</v>
      </c>
      <c r="AG205" s="529">
        <f t="shared" si="485"/>
        <v>4.9000000000000004</v>
      </c>
      <c r="AH205" s="529">
        <f t="shared" ref="AH205" si="486">+AH219</f>
        <v>4.9000000000000004</v>
      </c>
    </row>
    <row r="206" spans="1:45" s="281" customFormat="1">
      <c r="A206" s="283"/>
      <c r="B206" s="518"/>
      <c r="C206" s="528" t="s">
        <v>637</v>
      </c>
      <c r="D206" s="519"/>
      <c r="E206" s="529">
        <f>+E201-E207-E205</f>
        <v>0.4769999999999891</v>
      </c>
      <c r="F206" s="529">
        <f t="shared" ref="F206:R206" si="487">+F201-F207-F205</f>
        <v>0.56900000000000128</v>
      </c>
      <c r="G206" s="529">
        <f t="shared" si="487"/>
        <v>0.54999999999999627</v>
      </c>
      <c r="H206" s="529">
        <f t="shared" si="487"/>
        <v>0.54399999999997295</v>
      </c>
      <c r="I206" s="529">
        <f t="shared" si="487"/>
        <v>0.50200000000000555</v>
      </c>
      <c r="J206" s="529">
        <f t="shared" si="487"/>
        <v>0.52800000000000469</v>
      </c>
      <c r="K206" s="529">
        <f t="shared" si="487"/>
        <v>0.51900000000000523</v>
      </c>
      <c r="L206" s="529">
        <f t="shared" si="487"/>
        <v>0.60399999999994169</v>
      </c>
      <c r="M206" s="529">
        <f t="shared" si="487"/>
        <v>2.5479999999999969</v>
      </c>
      <c r="N206" s="529">
        <f t="shared" si="487"/>
        <v>4.4980000000000082</v>
      </c>
      <c r="O206" s="529">
        <f t="shared" si="487"/>
        <v>5.7399999999999993</v>
      </c>
      <c r="P206" s="529">
        <f t="shared" si="487"/>
        <v>4.7219999999999978</v>
      </c>
      <c r="Q206" s="529">
        <f t="shared" si="487"/>
        <v>1.1522500000000069</v>
      </c>
      <c r="R206" s="529">
        <f t="shared" si="487"/>
        <v>0.54200000000000581</v>
      </c>
      <c r="S206" s="529">
        <f t="shared" ref="S206:U206" si="488">+S201-S207-S205</f>
        <v>0.56900000000000039</v>
      </c>
      <c r="T206" s="529">
        <f t="shared" si="488"/>
        <v>5.7750000000025059E-2</v>
      </c>
      <c r="U206" s="529">
        <f t="shared" si="488"/>
        <v>1.7009999999999996</v>
      </c>
      <c r="V206" s="521">
        <v>0</v>
      </c>
      <c r="W206" s="521">
        <v>0</v>
      </c>
      <c r="X206" s="521">
        <v>0</v>
      </c>
      <c r="Y206" s="283"/>
      <c r="Z206" s="529">
        <f t="shared" ref="Z206:AE206" si="489">+Z201-Z207-Z205</f>
        <v>2.1320000000000294</v>
      </c>
      <c r="AA206" s="529">
        <f t="shared" si="489"/>
        <v>2.0970000000000235</v>
      </c>
      <c r="AB206" s="529">
        <f t="shared" si="489"/>
        <v>2.1399999999999686</v>
      </c>
      <c r="AC206" s="529">
        <f t="shared" si="489"/>
        <v>2.1529999999999907</v>
      </c>
      <c r="AD206" s="529">
        <f t="shared" si="489"/>
        <v>17.50800000000001</v>
      </c>
      <c r="AE206" s="529">
        <f t="shared" si="489"/>
        <v>2.3210000000000344</v>
      </c>
      <c r="AF206" s="529">
        <f>SUMIF($E$5:$X$5,AF$5,$E206:$X206)</f>
        <v>1.7009999999999996</v>
      </c>
      <c r="AG206" s="506">
        <v>0</v>
      </c>
      <c r="AH206" s="506">
        <v>0</v>
      </c>
    </row>
    <row r="207" spans="1:45" s="307" customFormat="1">
      <c r="A207" s="283"/>
      <c r="B207" s="504"/>
      <c r="C207" s="522" t="s">
        <v>599</v>
      </c>
      <c r="D207" s="505"/>
      <c r="E207" s="530">
        <v>23.152000000000001</v>
      </c>
      <c r="F207" s="530">
        <v>25.515999999999998</v>
      </c>
      <c r="G207" s="530">
        <v>10.705</v>
      </c>
      <c r="H207" s="531">
        <f>SUMIF($Z$6:$AG$6,H$6,$Z207:$AG207)-SUM(E207:G207)</f>
        <v>10.920000000000009</v>
      </c>
      <c r="I207" s="530">
        <v>25.433</v>
      </c>
      <c r="J207" s="530">
        <v>9.141</v>
      </c>
      <c r="K207" s="530">
        <v>17.556000000000001</v>
      </c>
      <c r="L207" s="531">
        <f>SUMIF($Z$6:$AG$6,L$6,$Z207:$AG207)-SUM(I207:K207)</f>
        <v>32.738</v>
      </c>
      <c r="M207" s="530">
        <v>4.117</v>
      </c>
      <c r="N207" s="530">
        <v>26.751000000000001</v>
      </c>
      <c r="O207" s="530">
        <v>41.527000000000001</v>
      </c>
      <c r="P207" s="531">
        <f>SUMIF($Z$6:$AG$6,P$6,$Z207:$AG207)-SUM(M207:O207)</f>
        <v>35.834999999999994</v>
      </c>
      <c r="Q207" s="530">
        <v>44.6</v>
      </c>
      <c r="R207" s="774">
        <v>56.433</v>
      </c>
      <c r="S207" s="530">
        <v>26.571999999999999</v>
      </c>
      <c r="T207" s="531">
        <f>SUMIF($Z$6:$AG$6,T$6,$Z207:$AG207)-SUM(Q207:S207)</f>
        <v>37.060999999999993</v>
      </c>
      <c r="U207" s="530">
        <v>34.585999999999999</v>
      </c>
      <c r="V207" s="531">
        <f t="shared" ref="V207:X207" ca="1" si="490">+V201-SUM(V205:V206)</f>
        <v>52.413244562165204</v>
      </c>
      <c r="W207" s="531">
        <f t="shared" ca="1" si="490"/>
        <v>27.926113665263514</v>
      </c>
      <c r="X207" s="531">
        <f t="shared" ca="1" si="490"/>
        <v>42.729721628338666</v>
      </c>
      <c r="Y207" s="283"/>
      <c r="Z207" s="530">
        <v>65.125</v>
      </c>
      <c r="AA207" s="530">
        <v>70.132000000000005</v>
      </c>
      <c r="AB207" s="530">
        <v>70.293000000000006</v>
      </c>
      <c r="AC207" s="530">
        <v>84.867999999999995</v>
      </c>
      <c r="AD207" s="530">
        <v>108.23</v>
      </c>
      <c r="AE207" s="530">
        <v>164.666</v>
      </c>
      <c r="AF207" s="531">
        <f ca="1">+AF201-SUM(AF205:AF206)</f>
        <v>157.65507985576738</v>
      </c>
      <c r="AG207" s="531">
        <f ca="1">+AG201-SUM(AG205:AG206)</f>
        <v>165.58446977696318</v>
      </c>
      <c r="AH207" s="531">
        <f ca="1">+AH201-SUM(AH205:AH206)</f>
        <v>176.10239637154174</v>
      </c>
    </row>
    <row r="208" spans="1:45" s="281" customFormat="1" ht="2.2000000000000002" customHeight="1">
      <c r="A208" s="283"/>
      <c r="B208" s="518"/>
      <c r="C208" s="522"/>
      <c r="D208" s="519"/>
      <c r="E208" s="506"/>
      <c r="F208" s="506"/>
      <c r="G208" s="506"/>
      <c r="H208" s="506"/>
      <c r="I208" s="506"/>
      <c r="J208" s="506"/>
      <c r="K208" s="506"/>
      <c r="L208" s="506"/>
      <c r="M208" s="506"/>
      <c r="N208" s="506"/>
      <c r="O208" s="506"/>
      <c r="P208" s="506"/>
      <c r="Q208" s="506"/>
      <c r="R208" s="506"/>
      <c r="S208" s="506"/>
      <c r="T208" s="506"/>
      <c r="U208" s="506"/>
      <c r="V208" s="506"/>
      <c r="W208" s="506"/>
      <c r="X208" s="506"/>
      <c r="Y208" s="283"/>
      <c r="Z208" s="506"/>
      <c r="AA208" s="506"/>
      <c r="AB208" s="506"/>
      <c r="AC208" s="506"/>
      <c r="AD208" s="506"/>
      <c r="AE208" s="506"/>
      <c r="AF208" s="506"/>
      <c r="AG208" s="506"/>
      <c r="AH208" s="506"/>
    </row>
    <row r="209" spans="1:37" s="306" customFormat="1">
      <c r="A209" s="283"/>
      <c r="B209" s="524"/>
      <c r="C209" s="525" t="s">
        <v>598</v>
      </c>
      <c r="D209" s="526"/>
      <c r="E209" s="527">
        <f>+E207/E197</f>
        <v>0.35158694001518609</v>
      </c>
      <c r="F209" s="527">
        <f t="shared" ref="F209:AE209" si="491">+F207/F197</f>
        <v>0.34201461028081226</v>
      </c>
      <c r="G209" s="527">
        <f t="shared" si="491"/>
        <v>0.16421985978799455</v>
      </c>
      <c r="H209" s="527">
        <f t="shared" si="491"/>
        <v>0.18197573656845775</v>
      </c>
      <c r="I209" s="527">
        <f t="shared" si="491"/>
        <v>0.31740069138514143</v>
      </c>
      <c r="J209" s="527">
        <f t="shared" si="491"/>
        <v>0.16500595689375067</v>
      </c>
      <c r="K209" s="527">
        <f t="shared" si="491"/>
        <v>0.29748369058713886</v>
      </c>
      <c r="L209" s="527">
        <f t="shared" si="491"/>
        <v>0.31125689294542702</v>
      </c>
      <c r="M209" s="527">
        <f t="shared" si="491"/>
        <v>7.6477253729125255E-2</v>
      </c>
      <c r="N209" s="527">
        <f t="shared" si="491"/>
        <v>0.31512545647308282</v>
      </c>
      <c r="O209" s="527">
        <f t="shared" si="491"/>
        <v>0.44416754016300514</v>
      </c>
      <c r="P209" s="527">
        <f t="shared" si="491"/>
        <v>0.37483133374475697</v>
      </c>
      <c r="Q209" s="527">
        <f t="shared" si="491"/>
        <v>0.45321058033309958</v>
      </c>
      <c r="R209" s="527">
        <f t="shared" si="491"/>
        <v>0.49605759341789507</v>
      </c>
      <c r="S209" s="527">
        <f t="shared" si="491"/>
        <v>0.31332688724854374</v>
      </c>
      <c r="T209" s="527">
        <f t="shared" si="491"/>
        <v>0.42179479883912807</v>
      </c>
      <c r="U209" s="527">
        <f t="shared" ref="U209:X209" si="492">+U207/U197</f>
        <v>0.40174236264374491</v>
      </c>
      <c r="V209" s="527">
        <f t="shared" ca="1" si="492"/>
        <v>0.45250266623985319</v>
      </c>
      <c r="W209" s="527">
        <f t="shared" ca="1" si="492"/>
        <v>0.30231826651597904</v>
      </c>
      <c r="X209" s="527">
        <f t="shared" ca="1" si="492"/>
        <v>0.42745468515784646</v>
      </c>
      <c r="Y209" s="283"/>
      <c r="Z209" s="527">
        <f t="shared" si="491"/>
        <v>0.25005183416140003</v>
      </c>
      <c r="AA209" s="527">
        <f t="shared" si="491"/>
        <v>0.25200415383565039</v>
      </c>
      <c r="AB209" s="527">
        <f t="shared" si="491"/>
        <v>0.26460756634669685</v>
      </c>
      <c r="AC209" s="527">
        <f t="shared" si="491"/>
        <v>0.28315572430452218</v>
      </c>
      <c r="AD209" s="527">
        <f t="shared" si="491"/>
        <v>0.33015069245317552</v>
      </c>
      <c r="AE209" s="527">
        <f t="shared" si="491"/>
        <v>0.42787838157378461</v>
      </c>
      <c r="AF209" s="527">
        <f ca="1">+AF207/AF197</f>
        <v>0.39987989510128319</v>
      </c>
      <c r="AG209" s="527">
        <f ca="1">+AG207/AG197</f>
        <v>0.40240758021004991</v>
      </c>
      <c r="AH209" s="527">
        <f ca="1">+AH207/AH197</f>
        <v>0.39932299193942833</v>
      </c>
    </row>
    <row r="210" spans="1:37">
      <c r="E210" s="314"/>
      <c r="F210" s="314"/>
      <c r="G210" s="314"/>
      <c r="H210" s="314"/>
      <c r="I210" s="314"/>
      <c r="J210" s="314"/>
      <c r="K210" s="314"/>
      <c r="L210" s="314"/>
      <c r="M210" s="314"/>
      <c r="N210" s="314"/>
      <c r="O210" s="314"/>
      <c r="P210" s="314"/>
      <c r="Q210" s="314"/>
      <c r="Y210" s="283"/>
      <c r="AB210" s="282"/>
      <c r="AC210" s="282"/>
      <c r="AD210" s="282"/>
      <c r="AE210" s="282"/>
    </row>
    <row r="211" spans="1:37">
      <c r="B211" s="283"/>
      <c r="C211" s="283" t="s">
        <v>311</v>
      </c>
      <c r="D211" s="486"/>
      <c r="E211" s="283">
        <f t="shared" ref="E211:T211" si="493">E199</f>
        <v>31.222000000000001</v>
      </c>
      <c r="F211" s="283">
        <f t="shared" si="493"/>
        <v>35.929000000000002</v>
      </c>
      <c r="G211" s="283">
        <f t="shared" si="493"/>
        <v>39.732999999999997</v>
      </c>
      <c r="H211" s="283">
        <f t="shared" si="493"/>
        <v>36.670999999999992</v>
      </c>
      <c r="I211" s="283">
        <f t="shared" si="493"/>
        <v>41.743000000000002</v>
      </c>
      <c r="J211" s="283">
        <f t="shared" si="493"/>
        <v>34.799999999999997</v>
      </c>
      <c r="K211" s="283">
        <f t="shared" si="493"/>
        <v>31.466999999999999</v>
      </c>
      <c r="L211" s="283">
        <f t="shared" si="493"/>
        <v>56.122</v>
      </c>
      <c r="M211" s="283">
        <f t="shared" si="493"/>
        <v>36.585999999999999</v>
      </c>
      <c r="N211" s="283">
        <f t="shared" si="493"/>
        <v>43.388999999999996</v>
      </c>
      <c r="O211" s="283">
        <f t="shared" si="493"/>
        <v>36.370000000000005</v>
      </c>
      <c r="P211" s="283">
        <f t="shared" si="493"/>
        <v>44.710999999999984</v>
      </c>
      <c r="Q211" s="283">
        <f t="shared" si="493"/>
        <v>38.36</v>
      </c>
      <c r="R211" s="283">
        <f t="shared" si="493"/>
        <v>40.996000000000002</v>
      </c>
      <c r="S211" s="283">
        <f t="shared" si="493"/>
        <v>42.095999999999997</v>
      </c>
      <c r="T211" s="283">
        <f t="shared" si="493"/>
        <v>42.950999999999993</v>
      </c>
      <c r="U211" s="283">
        <f t="shared" ref="U211:X211" si="494">U199</f>
        <v>38.218000000000004</v>
      </c>
      <c r="V211" s="283">
        <f t="shared" si="494"/>
        <v>46.798207532350084</v>
      </c>
      <c r="W211" s="283">
        <f t="shared" si="494"/>
        <v>48.053891703624956</v>
      </c>
      <c r="X211" s="283">
        <f t="shared" si="494"/>
        <v>49.029900764024973</v>
      </c>
      <c r="Y211" s="283"/>
      <c r="Z211" s="283">
        <f>Z199</f>
        <v>138.07499999999999</v>
      </c>
      <c r="AA211" s="283">
        <f>AA199</f>
        <v>145.47499999999999</v>
      </c>
      <c r="AB211" s="282">
        <f>SUMIF($E$5:$T$5,AB$5,$E211:$T211)</f>
        <v>143.55500000000001</v>
      </c>
      <c r="AC211" s="282">
        <f>SUMIF($E$5:$T$5,AC$5,$E211:$T211)</f>
        <v>164.13200000000001</v>
      </c>
      <c r="AD211" s="282">
        <f>SUMIF($E$5:$T$5,AD$5,$E211:$T211)</f>
        <v>161.05599999999998</v>
      </c>
      <c r="AE211" s="282">
        <f>SUMIF($E$5:$T$5,AE$5,$E211:$T211)</f>
        <v>164.40299999999999</v>
      </c>
      <c r="AF211" s="283">
        <f>AF199</f>
        <v>182.1</v>
      </c>
      <c r="AG211" s="283">
        <f>AG199</f>
        <v>192.1</v>
      </c>
      <c r="AH211" s="283">
        <f>AH199</f>
        <v>207.1</v>
      </c>
    </row>
    <row r="212" spans="1:37">
      <c r="B212" s="283"/>
      <c r="C212" s="283" t="s">
        <v>427</v>
      </c>
      <c r="D212" s="486"/>
      <c r="E212" s="305">
        <v>11.388</v>
      </c>
      <c r="F212" s="305">
        <v>9.4809999999999999</v>
      </c>
      <c r="G212" s="305">
        <v>8.2669999999999995</v>
      </c>
      <c r="H212" s="305">
        <v>9.0380000000000003</v>
      </c>
      <c r="I212" s="305">
        <v>10.352</v>
      </c>
      <c r="J212" s="305">
        <v>10.964</v>
      </c>
      <c r="K212" s="305">
        <v>13.003</v>
      </c>
      <c r="L212" s="305">
        <v>14.167999999999999</v>
      </c>
      <c r="M212" s="305">
        <v>15.826000000000001</v>
      </c>
      <c r="N212" s="305">
        <v>20.015999999999998</v>
      </c>
      <c r="O212" s="305">
        <v>22.675000000000001</v>
      </c>
      <c r="P212" s="305">
        <v>18.605</v>
      </c>
      <c r="Q212" s="305">
        <v>10.541</v>
      </c>
      <c r="R212" s="305">
        <v>8.9239999999999995</v>
      </c>
      <c r="S212" s="305">
        <v>7.9790000000000001</v>
      </c>
      <c r="T212" s="305">
        <v>8.6549999999999994</v>
      </c>
      <c r="U212" s="305">
        <v>9.0960000000000001</v>
      </c>
      <c r="V212" s="282">
        <f t="shared" ref="V212:V214" si="495">($AF212-$U212)*R212/SUM($R212:$T212)</f>
        <v>8.9575199937397301</v>
      </c>
      <c r="W212" s="282">
        <f t="shared" ref="W212:W214" si="496">($AF212-$U212)*S212/SUM($R212:$T212)</f>
        <v>8.008970420220674</v>
      </c>
      <c r="X212" s="282">
        <f t="shared" ref="X212:X214" si="497">($AF212-$U212)*T212/SUM($R212:$T212)</f>
        <v>8.6875095860395959</v>
      </c>
      <c r="Y212" s="283"/>
      <c r="Z212" s="305">
        <v>62.753999999999998</v>
      </c>
      <c r="AA212" s="305">
        <v>47.774000000000001</v>
      </c>
      <c r="AB212" s="282">
        <f t="shared" ref="AB212:AE215" si="498">SUMIF($E$5:$T$5,AB$5,$E212:$T212)</f>
        <v>38.173999999999999</v>
      </c>
      <c r="AC212" s="282">
        <f t="shared" si="498"/>
        <v>48.487000000000002</v>
      </c>
      <c r="AD212" s="282">
        <f t="shared" si="498"/>
        <v>77.122</v>
      </c>
      <c r="AE212" s="282">
        <f t="shared" si="498"/>
        <v>36.098999999999997</v>
      </c>
      <c r="AF212" s="377">
        <v>34.75</v>
      </c>
      <c r="AG212" s="539">
        <f t="shared" ref="AG212:AH215" si="499">+AF212</f>
        <v>34.75</v>
      </c>
      <c r="AH212" s="539">
        <f t="shared" si="499"/>
        <v>34.75</v>
      </c>
    </row>
    <row r="213" spans="1:37">
      <c r="B213" s="283"/>
      <c r="C213" s="283" t="s">
        <v>428</v>
      </c>
      <c r="D213" s="486"/>
      <c r="E213" s="305">
        <v>5.1539999999999999</v>
      </c>
      <c r="F213" s="305">
        <v>0.32100000000000001</v>
      </c>
      <c r="G213" s="305">
        <v>-4.4800000000000004</v>
      </c>
      <c r="H213" s="305">
        <v>2.0920000000000001</v>
      </c>
      <c r="I213" s="305">
        <v>-3.8650000000000002</v>
      </c>
      <c r="J213" s="305">
        <v>4.577</v>
      </c>
      <c r="K213" s="305">
        <v>8.4559999999999995</v>
      </c>
      <c r="L213" s="305">
        <v>-10.323</v>
      </c>
      <c r="M213" s="305">
        <v>2.87</v>
      </c>
      <c r="N213" s="305">
        <v>-4.0199999999999996</v>
      </c>
      <c r="O213" s="305">
        <v>2.899</v>
      </c>
      <c r="P213" s="305">
        <v>-4.8929999999999998</v>
      </c>
      <c r="Q213" s="305">
        <v>0.40100000000000002</v>
      </c>
      <c r="R213" s="305">
        <v>-0.435</v>
      </c>
      <c r="S213" s="305">
        <v>-0.122</v>
      </c>
      <c r="T213" s="305">
        <v>0.23599999999999999</v>
      </c>
      <c r="U213" s="305">
        <v>6.5380000000000003</v>
      </c>
      <c r="V213" s="282">
        <f>($AF$213-$U$213)/3</f>
        <v>-2.6793333333333336</v>
      </c>
      <c r="W213" s="282">
        <f t="shared" ref="W213:X213" si="500">($AF$213-$U$213)/3</f>
        <v>-2.6793333333333336</v>
      </c>
      <c r="X213" s="282">
        <f t="shared" si="500"/>
        <v>-2.6793333333333336</v>
      </c>
      <c r="Y213" s="283"/>
      <c r="Z213" s="305">
        <v>-1.208</v>
      </c>
      <c r="AA213" s="305">
        <v>-2.2469999999999999</v>
      </c>
      <c r="AB213" s="282">
        <f t="shared" si="498"/>
        <v>3.0869999999999993</v>
      </c>
      <c r="AC213" s="282">
        <f t="shared" si="498"/>
        <v>-1.1550000000000011</v>
      </c>
      <c r="AD213" s="282">
        <f t="shared" si="498"/>
        <v>-3.1439999999999992</v>
      </c>
      <c r="AE213" s="282">
        <f t="shared" si="498"/>
        <v>8.0000000000000016E-2</v>
      </c>
      <c r="AF213" s="377">
        <v>-1.5</v>
      </c>
      <c r="AG213" s="539">
        <f t="shared" si="499"/>
        <v>-1.5</v>
      </c>
      <c r="AH213" s="539">
        <f t="shared" si="499"/>
        <v>-1.5</v>
      </c>
    </row>
    <row r="214" spans="1:37">
      <c r="B214" s="283"/>
      <c r="C214" s="283" t="s">
        <v>429</v>
      </c>
      <c r="D214" s="486"/>
      <c r="E214" s="305">
        <v>-0.91200000000000003</v>
      </c>
      <c r="F214" s="305">
        <v>-0.44900000000000001</v>
      </c>
      <c r="G214" s="305">
        <v>-0.96499999999999997</v>
      </c>
      <c r="H214" s="305">
        <v>-0.58699999999999997</v>
      </c>
      <c r="I214" s="305">
        <v>-0.41499999999999998</v>
      </c>
      <c r="J214" s="305">
        <v>-0.93300000000000005</v>
      </c>
      <c r="K214" s="305">
        <v>-9.1999999999999998E-2</v>
      </c>
      <c r="L214" s="305">
        <v>-1.083</v>
      </c>
      <c r="M214" s="305">
        <v>0.31900000000000001</v>
      </c>
      <c r="N214" s="305">
        <v>9.2999999999999999E-2</v>
      </c>
      <c r="O214" s="305">
        <v>-0.89100000000000001</v>
      </c>
      <c r="P214" s="305">
        <v>-1.1299999999999999</v>
      </c>
      <c r="Q214" s="305">
        <v>-0.26100000000000001</v>
      </c>
      <c r="R214" s="305">
        <v>-0.67200000000000004</v>
      </c>
      <c r="S214" s="305">
        <v>-0.78600000000000003</v>
      </c>
      <c r="T214" s="305">
        <v>-1.6890000000000001</v>
      </c>
      <c r="U214" s="305">
        <v>-0.85</v>
      </c>
      <c r="V214" s="282">
        <f t="shared" si="495"/>
        <v>0.28827454718779794</v>
      </c>
      <c r="W214" s="282">
        <f t="shared" si="496"/>
        <v>0.33717826501429937</v>
      </c>
      <c r="X214" s="282">
        <f t="shared" si="497"/>
        <v>0.72454718779790284</v>
      </c>
      <c r="Y214" s="283"/>
      <c r="Z214" s="305">
        <v>-2.327</v>
      </c>
      <c r="AA214" s="305">
        <v>-2.7160000000000002</v>
      </c>
      <c r="AB214" s="282">
        <f t="shared" si="498"/>
        <v>-2.9130000000000003</v>
      </c>
      <c r="AC214" s="282">
        <f t="shared" si="498"/>
        <v>-2.5230000000000001</v>
      </c>
      <c r="AD214" s="282">
        <f t="shared" si="498"/>
        <v>-1.609</v>
      </c>
      <c r="AE214" s="282">
        <f t="shared" si="498"/>
        <v>-3.4080000000000004</v>
      </c>
      <c r="AF214" s="377">
        <v>0.5</v>
      </c>
      <c r="AG214" s="539">
        <f t="shared" si="499"/>
        <v>0.5</v>
      </c>
      <c r="AH214" s="539">
        <f t="shared" si="499"/>
        <v>0.5</v>
      </c>
    </row>
    <row r="215" spans="1:37">
      <c r="B215" s="283"/>
      <c r="C215" s="283" t="s">
        <v>442</v>
      </c>
      <c r="D215" s="486"/>
      <c r="E215" s="305">
        <v>0</v>
      </c>
      <c r="F215" s="305">
        <v>0</v>
      </c>
      <c r="G215" s="305">
        <v>0</v>
      </c>
      <c r="H215" s="305">
        <v>0</v>
      </c>
      <c r="I215" s="305">
        <v>0</v>
      </c>
      <c r="J215" s="305">
        <v>0</v>
      </c>
      <c r="K215" s="305">
        <v>0</v>
      </c>
      <c r="L215" s="305">
        <v>0</v>
      </c>
      <c r="M215" s="305">
        <v>0</v>
      </c>
      <c r="N215" s="305">
        <v>0</v>
      </c>
      <c r="O215" s="305">
        <v>0</v>
      </c>
      <c r="P215" s="305">
        <v>0</v>
      </c>
      <c r="Q215" s="305">
        <v>0</v>
      </c>
      <c r="R215" s="305">
        <v>0</v>
      </c>
      <c r="S215" s="305">
        <v>0</v>
      </c>
      <c r="T215" s="305">
        <v>0</v>
      </c>
      <c r="U215" s="305">
        <v>0</v>
      </c>
      <c r="V215" s="305">
        <v>0</v>
      </c>
      <c r="W215" s="305">
        <v>0</v>
      </c>
      <c r="X215" s="305">
        <v>0</v>
      </c>
      <c r="Y215" s="283"/>
      <c r="Z215" s="305">
        <v>0</v>
      </c>
      <c r="AA215" s="305">
        <v>0</v>
      </c>
      <c r="AB215" s="282">
        <f t="shared" si="498"/>
        <v>0</v>
      </c>
      <c r="AC215" s="282">
        <f t="shared" si="498"/>
        <v>0</v>
      </c>
      <c r="AD215" s="282">
        <f t="shared" si="498"/>
        <v>0</v>
      </c>
      <c r="AE215" s="282">
        <f t="shared" si="498"/>
        <v>0</v>
      </c>
      <c r="AF215" s="377">
        <v>0</v>
      </c>
      <c r="AG215" s="539">
        <f t="shared" si="499"/>
        <v>0</v>
      </c>
      <c r="AH215" s="539">
        <f t="shared" si="499"/>
        <v>0</v>
      </c>
    </row>
    <row r="216" spans="1:37">
      <c r="B216" s="283"/>
      <c r="C216" s="316" t="s">
        <v>436</v>
      </c>
      <c r="D216" s="486"/>
      <c r="E216" s="382">
        <f t="shared" ref="E216:R216" si="501">SUM(E211:E215)</f>
        <v>46.851999999999997</v>
      </c>
      <c r="F216" s="382">
        <f t="shared" si="501"/>
        <v>45.282000000000004</v>
      </c>
      <c r="G216" s="382">
        <f t="shared" si="501"/>
        <v>42.554999999999993</v>
      </c>
      <c r="H216" s="382">
        <f t="shared" si="501"/>
        <v>47.213999999999984</v>
      </c>
      <c r="I216" s="382">
        <f t="shared" si="501"/>
        <v>47.814999999999998</v>
      </c>
      <c r="J216" s="382">
        <f t="shared" si="501"/>
        <v>49.407999999999994</v>
      </c>
      <c r="K216" s="382">
        <f t="shared" si="501"/>
        <v>52.834000000000003</v>
      </c>
      <c r="L216" s="382">
        <f t="shared" si="501"/>
        <v>58.883999999999993</v>
      </c>
      <c r="M216" s="382">
        <f t="shared" si="501"/>
        <v>55.600999999999999</v>
      </c>
      <c r="N216" s="382">
        <f t="shared" si="501"/>
        <v>59.477999999999994</v>
      </c>
      <c r="O216" s="382">
        <f t="shared" si="501"/>
        <v>61.053000000000004</v>
      </c>
      <c r="P216" s="382">
        <f t="shared" si="501"/>
        <v>57.292999999999985</v>
      </c>
      <c r="Q216" s="382">
        <f t="shared" si="501"/>
        <v>49.040999999999997</v>
      </c>
      <c r="R216" s="382">
        <f t="shared" si="501"/>
        <v>48.813000000000002</v>
      </c>
      <c r="S216" s="769">
        <f t="shared" ref="S216:T216" si="502">SUM(S211:S215)</f>
        <v>49.166999999999994</v>
      </c>
      <c r="T216" s="769">
        <f t="shared" si="502"/>
        <v>50.152999999999992</v>
      </c>
      <c r="U216" s="769">
        <f t="shared" ref="U216:X216" si="503">SUM(U211:U215)</f>
        <v>53.002000000000002</v>
      </c>
      <c r="V216" s="769">
        <f t="shared" si="503"/>
        <v>53.364668739944278</v>
      </c>
      <c r="W216" s="769">
        <f t="shared" si="503"/>
        <v>53.720707055526603</v>
      </c>
      <c r="X216" s="769">
        <f t="shared" si="503"/>
        <v>55.762624204529139</v>
      </c>
      <c r="Y216" s="283"/>
      <c r="Z216" s="382">
        <f t="shared" ref="Z216:AG216" si="504">SUM(Z211:Z215)</f>
        <v>197.29399999999998</v>
      </c>
      <c r="AA216" s="382">
        <f t="shared" si="504"/>
        <v>188.286</v>
      </c>
      <c r="AB216" s="382">
        <f t="shared" si="504"/>
        <v>181.90299999999999</v>
      </c>
      <c r="AC216" s="382">
        <f t="shared" si="504"/>
        <v>208.941</v>
      </c>
      <c r="AD216" s="382">
        <f t="shared" si="504"/>
        <v>233.42499999999998</v>
      </c>
      <c r="AE216" s="382">
        <f t="shared" ref="AE216" si="505">SUM(AE211:AE215)</f>
        <v>197.17400000000001</v>
      </c>
      <c r="AF216" s="382">
        <f t="shared" si="504"/>
        <v>215.85</v>
      </c>
      <c r="AG216" s="382">
        <f t="shared" si="504"/>
        <v>225.85</v>
      </c>
      <c r="AH216" s="382">
        <f t="shared" ref="AH216" si="506">SUM(AH211:AH215)</f>
        <v>240.85</v>
      </c>
    </row>
    <row r="217" spans="1:37">
      <c r="B217" s="283"/>
      <c r="C217" s="313"/>
      <c r="D217" s="486"/>
      <c r="E217" s="282"/>
      <c r="F217" s="282"/>
      <c r="G217" s="282"/>
      <c r="H217" s="282"/>
      <c r="I217" s="282"/>
      <c r="J217" s="282"/>
      <c r="K217" s="282"/>
      <c r="L217" s="282"/>
      <c r="M217" s="282"/>
      <c r="N217" s="282"/>
      <c r="O217" s="282"/>
      <c r="P217" s="282"/>
      <c r="Q217" s="282"/>
      <c r="Y217" s="283"/>
      <c r="AF217" s="384"/>
    </row>
    <row r="218" spans="1:37">
      <c r="B218" s="283"/>
      <c r="C218" s="283" t="s">
        <v>429</v>
      </c>
      <c r="D218" s="486"/>
      <c r="E218" s="305">
        <v>0.84899999999999998</v>
      </c>
      <c r="F218" s="305">
        <v>0.85</v>
      </c>
      <c r="G218" s="305">
        <v>0.84899999999999998</v>
      </c>
      <c r="H218" s="305">
        <v>0.84899999999999998</v>
      </c>
      <c r="I218" s="305">
        <v>0.73699999999999999</v>
      </c>
      <c r="J218" s="305">
        <v>0.73799999999999999</v>
      </c>
      <c r="K218" s="305">
        <v>0.73699999999999999</v>
      </c>
      <c r="L218" s="305">
        <v>0.73699999999999999</v>
      </c>
      <c r="M218" s="305">
        <v>0.78800000000000003</v>
      </c>
      <c r="N218" s="305">
        <v>0.78900000000000003</v>
      </c>
      <c r="O218" s="305">
        <v>0.78800000000000003</v>
      </c>
      <c r="P218" s="305">
        <v>0.78900000000000003</v>
      </c>
      <c r="Q218" s="305">
        <v>0.84799999999999998</v>
      </c>
      <c r="R218" s="305">
        <v>0.84699999999999998</v>
      </c>
      <c r="S218" s="305">
        <v>0.84799999999999998</v>
      </c>
      <c r="T218" s="305">
        <v>0.84699999999999998</v>
      </c>
      <c r="U218" s="305">
        <v>0.70499999999999996</v>
      </c>
      <c r="V218" s="282">
        <f t="shared" ref="V218:V219" si="507">($AF218-$U218)*R218/SUM($R218:$T218)</f>
        <v>0.89797993705743506</v>
      </c>
      <c r="W218" s="282">
        <f t="shared" ref="W218:W219" si="508">($AF218-$U218)*S218/SUM($R218:$T218)</f>
        <v>0.89904012588512983</v>
      </c>
      <c r="X218" s="282">
        <f t="shared" ref="X218:X219" si="509">($AF218-$U218)*T218/SUM($R218:$T218)</f>
        <v>0.89797993705743506</v>
      </c>
      <c r="Y218" s="283"/>
      <c r="Z218" s="305">
        <v>2.7160000000000002</v>
      </c>
      <c r="AA218" s="305">
        <v>2.6659999999999999</v>
      </c>
      <c r="AB218" s="282">
        <f t="shared" ref="AB218:AE221" si="510">SUMIF($E$5:$T$5,AB$5,$E218:$T218)</f>
        <v>3.3970000000000002</v>
      </c>
      <c r="AC218" s="282">
        <f t="shared" si="510"/>
        <v>2.9490000000000003</v>
      </c>
      <c r="AD218" s="282">
        <f t="shared" si="510"/>
        <v>3.1540000000000004</v>
      </c>
      <c r="AE218" s="282">
        <f>SUMIF($E$5:$T$5,AE$5,$E218:$T218)</f>
        <v>3.3899999999999997</v>
      </c>
      <c r="AF218" s="377">
        <v>3.4</v>
      </c>
      <c r="AG218" s="539">
        <f t="shared" ref="AG218:AH221" si="511">+AF218</f>
        <v>3.4</v>
      </c>
      <c r="AH218" s="539">
        <f t="shared" si="511"/>
        <v>3.4</v>
      </c>
    </row>
    <row r="219" spans="1:37">
      <c r="B219" s="283"/>
      <c r="C219" s="283" t="s">
        <v>314</v>
      </c>
      <c r="D219" s="486"/>
      <c r="E219" s="305">
        <v>0.36</v>
      </c>
      <c r="F219" s="305">
        <v>0.77800000000000002</v>
      </c>
      <c r="G219" s="305">
        <v>1.7709999999999999</v>
      </c>
      <c r="H219" s="305">
        <v>0.24199999999999999</v>
      </c>
      <c r="I219" s="305">
        <v>8.1000000000000003E-2</v>
      </c>
      <c r="J219" s="305">
        <v>7.9000000000000001E-2</v>
      </c>
      <c r="K219" s="305">
        <v>0.46500000000000002</v>
      </c>
      <c r="L219" s="305">
        <v>0.35699999999999998</v>
      </c>
      <c r="M219" s="305">
        <v>4.0000000000000001E-3</v>
      </c>
      <c r="N219" s="305">
        <v>0</v>
      </c>
      <c r="O219" s="305">
        <v>0.37</v>
      </c>
      <c r="P219" s="305">
        <v>-0.02</v>
      </c>
      <c r="Q219" s="305">
        <v>0.123</v>
      </c>
      <c r="R219" s="305">
        <v>1.3</v>
      </c>
      <c r="S219" s="305">
        <v>2.472</v>
      </c>
      <c r="T219" s="305">
        <v>0.69599999999999995</v>
      </c>
      <c r="U219" s="305">
        <v>0.16500000000000001</v>
      </c>
      <c r="V219" s="282">
        <f t="shared" si="507"/>
        <v>1.3776857654431516</v>
      </c>
      <c r="W219" s="282">
        <f t="shared" si="508"/>
        <v>2.619722470904208</v>
      </c>
      <c r="X219" s="282">
        <f t="shared" si="509"/>
        <v>0.73759176365264101</v>
      </c>
      <c r="Y219" s="283"/>
      <c r="Z219" s="305">
        <v>1.8919999999999999</v>
      </c>
      <c r="AA219" s="305">
        <v>4.2649999999999997</v>
      </c>
      <c r="AB219" s="282">
        <f t="shared" si="510"/>
        <v>3.1509999999999998</v>
      </c>
      <c r="AC219" s="282">
        <f t="shared" si="510"/>
        <v>0.98199999999999998</v>
      </c>
      <c r="AD219" s="282">
        <f t="shared" si="510"/>
        <v>0.35399999999999998</v>
      </c>
      <c r="AE219" s="282">
        <f t="shared" si="510"/>
        <v>4.5910000000000002</v>
      </c>
      <c r="AF219" s="377">
        <v>4.9000000000000004</v>
      </c>
      <c r="AG219" s="539">
        <f t="shared" si="511"/>
        <v>4.9000000000000004</v>
      </c>
      <c r="AH219" s="539">
        <f t="shared" si="511"/>
        <v>4.9000000000000004</v>
      </c>
    </row>
    <row r="220" spans="1:37">
      <c r="B220" s="283"/>
      <c r="C220" s="283" t="s">
        <v>430</v>
      </c>
      <c r="D220" s="486"/>
      <c r="E220" s="305">
        <v>9.4819999999999993</v>
      </c>
      <c r="F220" s="305">
        <v>14.183</v>
      </c>
      <c r="G220" s="305">
        <v>11.029</v>
      </c>
      <c r="H220" s="305">
        <v>12.17</v>
      </c>
      <c r="I220" s="305">
        <v>5.3120000000000003</v>
      </c>
      <c r="J220" s="305">
        <v>8.6649999999999991</v>
      </c>
      <c r="K220" s="305">
        <v>8.9659999999999993</v>
      </c>
      <c r="L220" s="305">
        <v>12.885999999999999</v>
      </c>
      <c r="M220" s="305">
        <v>5.51</v>
      </c>
      <c r="N220" s="305">
        <v>4.5010000000000003</v>
      </c>
      <c r="O220" s="305">
        <v>8.2650000000000006</v>
      </c>
      <c r="P220" s="305">
        <v>10.521000000000001</v>
      </c>
      <c r="Q220" s="305">
        <v>4.8920000000000003</v>
      </c>
      <c r="R220" s="305">
        <v>6.3390000000000004</v>
      </c>
      <c r="S220" s="305">
        <v>6.2279999999999998</v>
      </c>
      <c r="T220" s="305">
        <v>10.122999999999999</v>
      </c>
      <c r="U220" s="305">
        <v>5.9560000000000004</v>
      </c>
      <c r="V220" s="314">
        <f>($AF220-$U220)*F220/SUM($F220:$H220)</f>
        <v>12.992420202236371</v>
      </c>
      <c r="W220" s="314">
        <f t="shared" ref="W220:X220" si="512">($AF220-$U220)*G220/SUM($F220:$H220)</f>
        <v>10.103180033171045</v>
      </c>
      <c r="X220" s="314">
        <f t="shared" si="512"/>
        <v>11.148399764592586</v>
      </c>
      <c r="Y220" s="283"/>
      <c r="Z220" s="305">
        <v>47.045999999999999</v>
      </c>
      <c r="AA220" s="305">
        <v>35.255000000000003</v>
      </c>
      <c r="AB220" s="282">
        <f t="shared" si="510"/>
        <v>46.864000000000004</v>
      </c>
      <c r="AC220" s="282">
        <f t="shared" si="510"/>
        <v>35.828999999999994</v>
      </c>
      <c r="AD220" s="282">
        <f t="shared" si="510"/>
        <v>28.797000000000001</v>
      </c>
      <c r="AE220" s="282">
        <f t="shared" si="510"/>
        <v>27.582000000000001</v>
      </c>
      <c r="AF220" s="377">
        <v>40.200000000000003</v>
      </c>
      <c r="AG220" s="539">
        <f t="shared" si="511"/>
        <v>40.200000000000003</v>
      </c>
      <c r="AH220" s="539">
        <f t="shared" si="511"/>
        <v>40.200000000000003</v>
      </c>
    </row>
    <row r="221" spans="1:37">
      <c r="B221" s="283"/>
      <c r="C221" s="283" t="s">
        <v>313</v>
      </c>
      <c r="D221" s="486"/>
      <c r="E221" s="305">
        <v>0</v>
      </c>
      <c r="F221" s="305">
        <v>0</v>
      </c>
      <c r="G221" s="305">
        <v>0</v>
      </c>
      <c r="H221" s="305">
        <v>0</v>
      </c>
      <c r="I221" s="305">
        <v>0</v>
      </c>
      <c r="J221" s="305">
        <v>0</v>
      </c>
      <c r="K221" s="305">
        <v>0</v>
      </c>
      <c r="L221" s="305">
        <v>0</v>
      </c>
      <c r="M221" s="305">
        <v>0</v>
      </c>
      <c r="N221" s="305">
        <v>0</v>
      </c>
      <c r="O221" s="305">
        <v>0</v>
      </c>
      <c r="P221" s="305">
        <v>0</v>
      </c>
      <c r="Q221" s="305">
        <v>0</v>
      </c>
      <c r="R221" s="305">
        <v>0</v>
      </c>
      <c r="S221" s="305">
        <v>0</v>
      </c>
      <c r="T221" s="305">
        <v>0</v>
      </c>
      <c r="U221" s="305">
        <v>0</v>
      </c>
      <c r="V221" s="305">
        <v>0</v>
      </c>
      <c r="W221" s="305">
        <v>0</v>
      </c>
      <c r="X221" s="305">
        <v>0</v>
      </c>
      <c r="Y221" s="283"/>
      <c r="Z221" s="305">
        <v>0</v>
      </c>
      <c r="AA221" s="305">
        <v>0</v>
      </c>
      <c r="AB221" s="282">
        <f t="shared" si="510"/>
        <v>0</v>
      </c>
      <c r="AC221" s="282">
        <f t="shared" si="510"/>
        <v>0</v>
      </c>
      <c r="AD221" s="282">
        <f t="shared" si="510"/>
        <v>0</v>
      </c>
      <c r="AE221" s="282">
        <f t="shared" si="510"/>
        <v>0</v>
      </c>
      <c r="AF221" s="377">
        <v>0</v>
      </c>
      <c r="AG221" s="539">
        <f t="shared" si="511"/>
        <v>0</v>
      </c>
      <c r="AH221" s="539">
        <f t="shared" si="511"/>
        <v>0</v>
      </c>
    </row>
    <row r="222" spans="1:37">
      <c r="B222" s="283"/>
      <c r="C222" s="316" t="s">
        <v>437</v>
      </c>
      <c r="D222" s="486"/>
      <c r="E222" s="382">
        <f t="shared" ref="E222:R222" si="513">SUM(E216:E221)</f>
        <v>57.542999999999992</v>
      </c>
      <c r="F222" s="382">
        <f t="shared" si="513"/>
        <v>61.093000000000004</v>
      </c>
      <c r="G222" s="382">
        <f t="shared" si="513"/>
        <v>56.203999999999994</v>
      </c>
      <c r="H222" s="382">
        <f t="shared" si="513"/>
        <v>60.47499999999998</v>
      </c>
      <c r="I222" s="382">
        <f t="shared" si="513"/>
        <v>53.945</v>
      </c>
      <c r="J222" s="382">
        <f t="shared" si="513"/>
        <v>58.889999999999993</v>
      </c>
      <c r="K222" s="382">
        <f t="shared" si="513"/>
        <v>63.00200000000001</v>
      </c>
      <c r="L222" s="382">
        <f t="shared" si="513"/>
        <v>72.86399999999999</v>
      </c>
      <c r="M222" s="382">
        <f t="shared" si="513"/>
        <v>61.902999999999992</v>
      </c>
      <c r="N222" s="382">
        <f t="shared" si="513"/>
        <v>64.768000000000001</v>
      </c>
      <c r="O222" s="382">
        <f t="shared" si="513"/>
        <v>70.475999999999999</v>
      </c>
      <c r="P222" s="382">
        <f t="shared" si="513"/>
        <v>68.582999999999984</v>
      </c>
      <c r="Q222" s="382">
        <f t="shared" si="513"/>
        <v>54.903999999999996</v>
      </c>
      <c r="R222" s="382">
        <f t="shared" si="513"/>
        <v>57.298999999999999</v>
      </c>
      <c r="S222" s="769">
        <f t="shared" ref="S222:T222" si="514">SUM(S216:S221)</f>
        <v>58.714999999999996</v>
      </c>
      <c r="T222" s="769">
        <f t="shared" si="514"/>
        <v>61.818999999999988</v>
      </c>
      <c r="U222" s="769">
        <f t="shared" ref="U222:X222" si="515">SUM(U216:U221)</f>
        <v>59.828000000000003</v>
      </c>
      <c r="V222" s="769">
        <f t="shared" si="515"/>
        <v>68.632754644681242</v>
      </c>
      <c r="W222" s="769">
        <f t="shared" si="515"/>
        <v>67.34264968548699</v>
      </c>
      <c r="X222" s="769">
        <f t="shared" si="515"/>
        <v>68.546595669831802</v>
      </c>
      <c r="Y222" s="283"/>
      <c r="Z222" s="382">
        <f t="shared" ref="Z222:AG222" si="516">SUM(Z216:Z221)</f>
        <v>248.94799999999998</v>
      </c>
      <c r="AA222" s="382">
        <f t="shared" si="516"/>
        <v>230.47199999999998</v>
      </c>
      <c r="AB222" s="382">
        <f t="shared" si="516"/>
        <v>235.315</v>
      </c>
      <c r="AC222" s="382">
        <f t="shared" si="516"/>
        <v>248.70100000000002</v>
      </c>
      <c r="AD222" s="382">
        <f t="shared" si="516"/>
        <v>265.73</v>
      </c>
      <c r="AE222" s="382">
        <f t="shared" ref="AE222" si="517">SUM(AE216:AE221)</f>
        <v>232.73699999999999</v>
      </c>
      <c r="AF222" s="382">
        <f t="shared" si="516"/>
        <v>264.35000000000002</v>
      </c>
      <c r="AG222" s="382">
        <f t="shared" si="516"/>
        <v>274.35000000000002</v>
      </c>
      <c r="AH222" s="382">
        <f t="shared" ref="AH222" si="518">SUM(AH216:AH221)</f>
        <v>289.35000000000002</v>
      </c>
    </row>
    <row r="223" spans="1:37">
      <c r="B223" s="283"/>
      <c r="C223" s="316"/>
      <c r="D223" s="486"/>
      <c r="E223" s="308">
        <f t="shared" ref="E223:L223" si="519">+E212+E218+E219-E194</f>
        <v>5.692738124840039</v>
      </c>
      <c r="F223" s="308">
        <f t="shared" si="519"/>
        <v>4.597334485705252</v>
      </c>
      <c r="G223" s="308">
        <f t="shared" si="519"/>
        <v>5.2145383848555724</v>
      </c>
      <c r="H223" s="308">
        <f t="shared" si="519"/>
        <v>6.3834091066789007</v>
      </c>
      <c r="I223" s="308">
        <f t="shared" si="519"/>
        <v>5.1377687237877279</v>
      </c>
      <c r="J223" s="308">
        <f t="shared" si="519"/>
        <v>2.7024919419760511</v>
      </c>
      <c r="K223" s="308">
        <f t="shared" si="519"/>
        <v>10.378205965520715</v>
      </c>
      <c r="L223" s="308">
        <f t="shared" si="519"/>
        <v>3.9548575342220982</v>
      </c>
      <c r="M223" s="308"/>
      <c r="N223" s="308"/>
      <c r="O223" s="308"/>
      <c r="P223" s="308"/>
      <c r="Q223" s="308"/>
      <c r="Y223" s="283"/>
      <c r="AB223" s="329">
        <f>AB222/AB197</f>
        <v>0.88580839450404669</v>
      </c>
      <c r="AC223" s="329">
        <f t="shared" ref="AC223:AH223" si="520">AC222/AC197</f>
        <v>0.82977225562354462</v>
      </c>
      <c r="AD223" s="329">
        <f t="shared" si="520"/>
        <v>0.81059727899457024</v>
      </c>
      <c r="AE223" s="329">
        <f t="shared" si="520"/>
        <v>0.60475830403567166</v>
      </c>
      <c r="AF223" s="329">
        <f t="shared" ca="1" si="520"/>
        <v>0.67050329343483672</v>
      </c>
      <c r="AG223" s="329">
        <f t="shared" ca="1" si="520"/>
        <v>0.66673233171766089</v>
      </c>
      <c r="AH223" s="329">
        <f t="shared" ca="1" si="520"/>
        <v>0.65611888366299143</v>
      </c>
    </row>
    <row r="224" spans="1:37">
      <c r="B224" s="283"/>
      <c r="C224" s="471" t="s">
        <v>600</v>
      </c>
      <c r="D224" s="486"/>
      <c r="E224" s="314"/>
      <c r="F224" s="314"/>
      <c r="G224" s="314"/>
      <c r="I224" s="314"/>
      <c r="J224" s="314"/>
      <c r="K224" s="314"/>
      <c r="L224" s="314"/>
      <c r="M224" s="314"/>
      <c r="N224" s="314"/>
      <c r="O224" s="314"/>
      <c r="P224" s="314"/>
      <c r="Q224" s="314"/>
      <c r="R224" s="282"/>
      <c r="S224" s="282"/>
      <c r="T224" s="282"/>
      <c r="U224" s="282"/>
      <c r="V224" s="282"/>
      <c r="W224" s="282"/>
      <c r="X224" s="282"/>
      <c r="Y224" s="283"/>
      <c r="Z224" s="314"/>
      <c r="AA224" s="314"/>
      <c r="AB224" s="314"/>
      <c r="AC224" s="314"/>
      <c r="AD224" s="314"/>
      <c r="AE224" s="314"/>
      <c r="AI224" s="729"/>
      <c r="AJ224" s="729"/>
      <c r="AK224" s="729"/>
    </row>
    <row r="225" spans="1:37">
      <c r="B225" s="283"/>
      <c r="C225" s="283" t="s">
        <v>444</v>
      </c>
      <c r="D225" s="486"/>
      <c r="E225" s="305">
        <v>0</v>
      </c>
      <c r="F225" s="305">
        <v>0</v>
      </c>
      <c r="G225" s="305">
        <v>0</v>
      </c>
      <c r="H225" s="305">
        <v>0</v>
      </c>
      <c r="I225" s="305">
        <v>0</v>
      </c>
      <c r="J225" s="305">
        <v>0</v>
      </c>
      <c r="K225" s="305">
        <v>0</v>
      </c>
      <c r="L225" s="305">
        <v>0</v>
      </c>
      <c r="M225" s="305">
        <v>0</v>
      </c>
      <c r="N225" s="305">
        <v>0</v>
      </c>
      <c r="O225" s="305">
        <v>0</v>
      </c>
      <c r="P225" s="305">
        <v>0</v>
      </c>
      <c r="Q225" s="305">
        <v>0</v>
      </c>
      <c r="R225" s="305">
        <v>0</v>
      </c>
      <c r="S225" s="305">
        <v>0</v>
      </c>
      <c r="T225" s="305">
        <v>0</v>
      </c>
      <c r="U225" s="305">
        <v>0</v>
      </c>
      <c r="V225" s="305">
        <v>0</v>
      </c>
      <c r="W225" s="305">
        <v>0</v>
      </c>
      <c r="X225" s="305">
        <v>0</v>
      </c>
      <c r="Y225" s="283"/>
      <c r="Z225" s="305">
        <v>0</v>
      </c>
      <c r="AA225" s="305">
        <v>0</v>
      </c>
      <c r="AB225" s="305">
        <v>0</v>
      </c>
      <c r="AC225" s="305">
        <v>0</v>
      </c>
      <c r="AD225" s="305">
        <v>0</v>
      </c>
      <c r="AE225" s="305">
        <v>0</v>
      </c>
      <c r="AF225" s="305">
        <v>0</v>
      </c>
      <c r="AG225" s="305">
        <v>0</v>
      </c>
      <c r="AH225" s="305">
        <v>0</v>
      </c>
      <c r="AI225" s="729"/>
      <c r="AJ225" s="729"/>
      <c r="AK225" s="729"/>
    </row>
    <row r="226" spans="1:37">
      <c r="B226" s="283"/>
      <c r="C226" s="283" t="s">
        <v>440</v>
      </c>
      <c r="D226" s="486"/>
      <c r="E226" s="305">
        <v>15.292</v>
      </c>
      <c r="F226" s="305">
        <v>15.715999999999999</v>
      </c>
      <c r="G226" s="305">
        <v>12.228999999999999</v>
      </c>
      <c r="H226" s="305">
        <v>14.079000000000001</v>
      </c>
      <c r="I226" s="305">
        <v>16.518000000000001</v>
      </c>
      <c r="J226" s="305">
        <v>15.35</v>
      </c>
      <c r="K226" s="305">
        <v>17.516999999999999</v>
      </c>
      <c r="L226" s="305">
        <v>20.006</v>
      </c>
      <c r="M226" s="305">
        <v>17.196999999999999</v>
      </c>
      <c r="N226" s="305">
        <v>19.427</v>
      </c>
      <c r="O226" s="305">
        <v>21.225999999999999</v>
      </c>
      <c r="P226" s="305">
        <v>16.765000000000001</v>
      </c>
      <c r="Q226" s="305">
        <v>20.995999999999999</v>
      </c>
      <c r="R226" s="305">
        <v>20.437999999999999</v>
      </c>
      <c r="S226" s="305">
        <v>14.864000000000001</v>
      </c>
      <c r="T226" s="305">
        <v>15.712</v>
      </c>
      <c r="U226" s="305">
        <v>18.582999999999998</v>
      </c>
      <c r="V226" s="282">
        <f t="shared" ref="V226:V228" si="521">($AF226-$U226)*R226/SUM($R226:$T226)</f>
        <v>19.036978986160658</v>
      </c>
      <c r="W226" s="282">
        <f t="shared" ref="W226:W228" si="522">($AF226-$U226)*S226/SUM($R226:$T226)</f>
        <v>13.845075626298664</v>
      </c>
      <c r="X226" s="282">
        <f t="shared" ref="X226:X228" si="523">($AF226-$U226)*T226/SUM($R226:$T226)</f>
        <v>14.634945387540675</v>
      </c>
      <c r="Y226" s="283"/>
      <c r="Z226" s="305">
        <v>57.238</v>
      </c>
      <c r="AA226" s="305">
        <v>55.694000000000003</v>
      </c>
      <c r="AB226" s="282">
        <f t="shared" ref="AB226:AE228" si="524">SUMIF($E$5:$T$5,AB$5,$E226:$T226)</f>
        <v>57.315999999999995</v>
      </c>
      <c r="AC226" s="282">
        <f t="shared" si="524"/>
        <v>69.391000000000005</v>
      </c>
      <c r="AD226" s="282">
        <f t="shared" si="524"/>
        <v>74.614999999999995</v>
      </c>
      <c r="AE226" s="282">
        <f t="shared" si="524"/>
        <v>72.010000000000005</v>
      </c>
      <c r="AF226" s="377">
        <v>66.099999999999994</v>
      </c>
      <c r="AG226" s="805">
        <f>AF226+3.5</f>
        <v>69.599999999999994</v>
      </c>
      <c r="AH226" s="805">
        <f>AG226+2.6</f>
        <v>72.199999999999989</v>
      </c>
      <c r="AI226" s="729"/>
      <c r="AJ226" s="729"/>
      <c r="AK226" s="729"/>
    </row>
    <row r="227" spans="1:37">
      <c r="B227" s="283"/>
      <c r="C227" s="283" t="s">
        <v>439</v>
      </c>
      <c r="D227" s="486"/>
      <c r="E227" s="305">
        <v>32.142000000000003</v>
      </c>
      <c r="F227" s="305">
        <v>27.492000000000001</v>
      </c>
      <c r="G227" s="305">
        <v>20.673999999999999</v>
      </c>
      <c r="H227" s="305">
        <v>22.788</v>
      </c>
      <c r="I227" s="305">
        <v>23.285</v>
      </c>
      <c r="J227" s="305">
        <v>22.221</v>
      </c>
      <c r="K227" s="305">
        <v>22.452000000000002</v>
      </c>
      <c r="L227" s="305">
        <v>23.478000000000002</v>
      </c>
      <c r="M227" s="305">
        <v>16.026</v>
      </c>
      <c r="N227" s="305">
        <v>19.913</v>
      </c>
      <c r="O227" s="305">
        <v>23.771999999999998</v>
      </c>
      <c r="P227" s="305">
        <v>19.702000000000002</v>
      </c>
      <c r="Q227" s="305">
        <v>22.766999999999999</v>
      </c>
      <c r="R227" s="305">
        <v>26.51</v>
      </c>
      <c r="S227" s="305">
        <v>25.295000000000002</v>
      </c>
      <c r="T227" s="305">
        <v>25.643000000000001</v>
      </c>
      <c r="U227" s="305">
        <v>28.651</v>
      </c>
      <c r="V227" s="282">
        <f t="shared" si="521"/>
        <v>28.406652076231794</v>
      </c>
      <c r="W227" s="282">
        <f t="shared" si="522"/>
        <v>27.104725170436939</v>
      </c>
      <c r="X227" s="282">
        <f t="shared" si="523"/>
        <v>27.477622753331268</v>
      </c>
      <c r="Y227" s="283"/>
      <c r="Z227" s="305">
        <v>76.709999999999994</v>
      </c>
      <c r="AA227" s="305">
        <v>96.95</v>
      </c>
      <c r="AB227" s="282">
        <f t="shared" si="524"/>
        <v>103.09599999999999</v>
      </c>
      <c r="AC227" s="282">
        <f t="shared" si="524"/>
        <v>91.436000000000007</v>
      </c>
      <c r="AD227" s="282">
        <f t="shared" si="524"/>
        <v>79.412999999999997</v>
      </c>
      <c r="AE227" s="282">
        <f t="shared" si="524"/>
        <v>100.215</v>
      </c>
      <c r="AF227" s="377">
        <v>111.64</v>
      </c>
      <c r="AG227" s="805">
        <f t="shared" ref="AG227:AG228" si="525">AF227+3.5</f>
        <v>115.14</v>
      </c>
      <c r="AH227" s="805">
        <f t="shared" ref="AH227:AH228" si="526">AG227+2.6</f>
        <v>117.74</v>
      </c>
      <c r="AI227" s="729"/>
      <c r="AJ227" s="729"/>
      <c r="AK227" s="729"/>
    </row>
    <row r="228" spans="1:37">
      <c r="B228" s="283"/>
      <c r="C228" s="283" t="s">
        <v>441</v>
      </c>
      <c r="D228" s="486"/>
      <c r="E228" s="305">
        <v>8.9740000000000002</v>
      </c>
      <c r="F228" s="305">
        <v>9.0220000000000002</v>
      </c>
      <c r="G228" s="305">
        <v>6.0410000000000004</v>
      </c>
      <c r="H228" s="305">
        <v>6.4749999999999996</v>
      </c>
      <c r="I228" s="305">
        <v>6.9169999999999998</v>
      </c>
      <c r="J228" s="305">
        <v>6.1980000000000004</v>
      </c>
      <c r="K228" s="305">
        <v>7.649</v>
      </c>
      <c r="L228" s="305">
        <v>7.8250000000000002</v>
      </c>
      <c r="M228" s="305">
        <v>6.9260000000000002</v>
      </c>
      <c r="N228" s="305">
        <v>7.133</v>
      </c>
      <c r="O228" s="305">
        <v>8.1489999999999991</v>
      </c>
      <c r="P228" s="305">
        <v>5.9850000000000003</v>
      </c>
      <c r="Q228" s="305">
        <v>7.02</v>
      </c>
      <c r="R228" s="305">
        <v>8.6050000000000004</v>
      </c>
      <c r="S228" s="305">
        <v>7.64</v>
      </c>
      <c r="T228" s="305">
        <v>7.657</v>
      </c>
      <c r="U228" s="305">
        <v>7.9660000000000002</v>
      </c>
      <c r="V228" s="282">
        <f t="shared" si="521"/>
        <v>7.7888534432265075</v>
      </c>
      <c r="W228" s="282">
        <f t="shared" si="522"/>
        <v>6.9153794661534587</v>
      </c>
      <c r="X228" s="282">
        <f t="shared" si="523"/>
        <v>6.9307670906200309</v>
      </c>
      <c r="Y228" s="283"/>
      <c r="Z228" s="305">
        <v>27.832999999999998</v>
      </c>
      <c r="AA228" s="305">
        <v>29.716999999999999</v>
      </c>
      <c r="AB228" s="282">
        <f t="shared" si="524"/>
        <v>30.512</v>
      </c>
      <c r="AC228" s="282">
        <f t="shared" si="524"/>
        <v>28.588999999999999</v>
      </c>
      <c r="AD228" s="282">
        <f t="shared" si="524"/>
        <v>28.192999999999998</v>
      </c>
      <c r="AE228" s="282">
        <f t="shared" si="524"/>
        <v>30.922000000000001</v>
      </c>
      <c r="AF228" s="377">
        <v>29.600999999999999</v>
      </c>
      <c r="AG228" s="805">
        <f t="shared" si="525"/>
        <v>33.100999999999999</v>
      </c>
      <c r="AH228" s="805">
        <f t="shared" si="526"/>
        <v>35.701000000000001</v>
      </c>
      <c r="AI228" s="729"/>
      <c r="AJ228" s="729"/>
      <c r="AK228" s="729"/>
    </row>
    <row r="229" spans="1:37">
      <c r="B229" s="283"/>
      <c r="C229" s="316" t="s">
        <v>466</v>
      </c>
      <c r="D229" s="486"/>
      <c r="E229" s="382">
        <f>SUM(E225:E228)</f>
        <v>56.408000000000001</v>
      </c>
      <c r="F229" s="382">
        <f t="shared" ref="F229:T229" si="527">SUM(F225:F228)</f>
        <v>52.23</v>
      </c>
      <c r="G229" s="382">
        <f t="shared" si="527"/>
        <v>38.944000000000003</v>
      </c>
      <c r="H229" s="382">
        <f t="shared" si="527"/>
        <v>43.342000000000006</v>
      </c>
      <c r="I229" s="382">
        <f t="shared" si="527"/>
        <v>46.72</v>
      </c>
      <c r="J229" s="382">
        <f t="shared" si="527"/>
        <v>43.768999999999998</v>
      </c>
      <c r="K229" s="382">
        <f t="shared" si="527"/>
        <v>47.618000000000002</v>
      </c>
      <c r="L229" s="382">
        <f t="shared" si="527"/>
        <v>51.309000000000005</v>
      </c>
      <c r="M229" s="382">
        <f t="shared" si="527"/>
        <v>40.149000000000001</v>
      </c>
      <c r="N229" s="382">
        <f t="shared" si="527"/>
        <v>46.473000000000006</v>
      </c>
      <c r="O229" s="382">
        <f t="shared" si="527"/>
        <v>53.146999999999998</v>
      </c>
      <c r="P229" s="382">
        <f t="shared" si="527"/>
        <v>42.451999999999998</v>
      </c>
      <c r="Q229" s="382">
        <f t="shared" si="527"/>
        <v>50.783000000000001</v>
      </c>
      <c r="R229" s="769">
        <f t="shared" si="527"/>
        <v>55.552999999999997</v>
      </c>
      <c r="S229" s="769">
        <f t="shared" si="527"/>
        <v>47.799000000000007</v>
      </c>
      <c r="T229" s="769">
        <f t="shared" si="527"/>
        <v>49.012</v>
      </c>
      <c r="U229" s="769">
        <f t="shared" ref="U229:X229" si="528">SUM(U225:U228)</f>
        <v>55.199999999999996</v>
      </c>
      <c r="V229" s="769">
        <f t="shared" si="528"/>
        <v>55.232484505618963</v>
      </c>
      <c r="W229" s="769">
        <f t="shared" si="528"/>
        <v>47.865180262889062</v>
      </c>
      <c r="X229" s="769">
        <f t="shared" si="528"/>
        <v>49.043335231491973</v>
      </c>
      <c r="Y229" s="283"/>
      <c r="Z229" s="382">
        <f t="shared" ref="Z229:AG229" si="529">SUM(Z225:Z228)</f>
        <v>161.78099999999998</v>
      </c>
      <c r="AA229" s="382">
        <f t="shared" si="529"/>
        <v>182.36099999999999</v>
      </c>
      <c r="AB229" s="382">
        <f t="shared" si="529"/>
        <v>190.92399999999998</v>
      </c>
      <c r="AC229" s="382">
        <f t="shared" si="529"/>
        <v>189.416</v>
      </c>
      <c r="AD229" s="382">
        <f t="shared" si="529"/>
        <v>182.221</v>
      </c>
      <c r="AE229" s="382">
        <f t="shared" ref="AE229" si="530">SUM(AE225:AE228)</f>
        <v>203.14700000000002</v>
      </c>
      <c r="AF229" s="382">
        <f t="shared" si="529"/>
        <v>207.34100000000001</v>
      </c>
      <c r="AG229" s="382">
        <f t="shared" si="529"/>
        <v>217.84100000000001</v>
      </c>
      <c r="AH229" s="382">
        <f t="shared" ref="AH229" si="531">SUM(AH225:AH228)</f>
        <v>225.64099999999999</v>
      </c>
    </row>
    <row r="230" spans="1:37">
      <c r="B230" s="283"/>
      <c r="C230" s="316"/>
      <c r="D230" s="486"/>
      <c r="E230" s="308"/>
      <c r="F230" s="308"/>
      <c r="G230" s="308"/>
      <c r="H230" s="308"/>
      <c r="I230" s="308"/>
      <c r="J230" s="308"/>
      <c r="K230" s="308"/>
      <c r="L230" s="308"/>
      <c r="M230" s="308"/>
      <c r="N230" s="308"/>
      <c r="O230" s="308"/>
      <c r="P230" s="308"/>
      <c r="S230" s="384"/>
      <c r="Y230" s="283"/>
    </row>
    <row r="231" spans="1:37" s="315" customFormat="1">
      <c r="A231" s="283"/>
      <c r="B231" s="472"/>
      <c r="C231" s="472" t="s">
        <v>433</v>
      </c>
      <c r="D231" s="494"/>
      <c r="E231" s="461">
        <f t="shared" ref="E231:T231" si="532">+E216-E229</f>
        <v>-9.5560000000000045</v>
      </c>
      <c r="F231" s="461">
        <f t="shared" si="532"/>
        <v>-6.9479999999999933</v>
      </c>
      <c r="G231" s="461">
        <f t="shared" si="532"/>
        <v>3.61099999999999</v>
      </c>
      <c r="H231" s="461">
        <f t="shared" si="532"/>
        <v>3.8719999999999786</v>
      </c>
      <c r="I231" s="461">
        <f t="shared" si="532"/>
        <v>1.0949999999999989</v>
      </c>
      <c r="J231" s="461">
        <f t="shared" si="532"/>
        <v>5.6389999999999958</v>
      </c>
      <c r="K231" s="461">
        <f t="shared" si="532"/>
        <v>5.2160000000000011</v>
      </c>
      <c r="L231" s="461">
        <f t="shared" si="532"/>
        <v>7.5749999999999886</v>
      </c>
      <c r="M231" s="461">
        <f t="shared" si="532"/>
        <v>15.451999999999998</v>
      </c>
      <c r="N231" s="461">
        <f t="shared" si="532"/>
        <v>13.004999999999988</v>
      </c>
      <c r="O231" s="461">
        <f t="shared" si="532"/>
        <v>7.9060000000000059</v>
      </c>
      <c r="P231" s="461">
        <f t="shared" si="532"/>
        <v>14.840999999999987</v>
      </c>
      <c r="Q231" s="461">
        <f t="shared" si="532"/>
        <v>-1.7420000000000044</v>
      </c>
      <c r="R231" s="461">
        <f t="shared" si="532"/>
        <v>-6.7399999999999949</v>
      </c>
      <c r="S231" s="461">
        <f t="shared" si="532"/>
        <v>1.3679999999999879</v>
      </c>
      <c r="T231" s="461">
        <f t="shared" si="532"/>
        <v>1.1409999999999911</v>
      </c>
      <c r="U231" s="461">
        <f t="shared" ref="U231:X231" si="533">+U216-U229</f>
        <v>-2.1979999999999933</v>
      </c>
      <c r="V231" s="461">
        <f t="shared" si="533"/>
        <v>-1.8678157656746848</v>
      </c>
      <c r="W231" s="461">
        <f t="shared" si="533"/>
        <v>5.8555267926375407</v>
      </c>
      <c r="X231" s="461">
        <f t="shared" si="533"/>
        <v>6.7192889730371661</v>
      </c>
      <c r="Y231" s="283"/>
      <c r="Z231" s="461">
        <f>+Z216-Z229</f>
        <v>35.513000000000005</v>
      </c>
      <c r="AA231" s="461">
        <f>+AA216-AA229</f>
        <v>5.9250000000000114</v>
      </c>
      <c r="AB231" s="461">
        <f>SUMIF($E$5:$X$5,AB$5,$E231:$X231)</f>
        <v>-9.0210000000000292</v>
      </c>
      <c r="AC231" s="461">
        <f t="shared" ref="AC231:AF232" si="534">SUMIF($E$5:$X$5,AC$5,$E231:$X231)</f>
        <v>19.524999999999984</v>
      </c>
      <c r="AD231" s="461">
        <f t="shared" si="534"/>
        <v>51.203999999999979</v>
      </c>
      <c r="AE231" s="461">
        <f t="shared" si="534"/>
        <v>-5.9730000000000203</v>
      </c>
      <c r="AF231" s="461">
        <f t="shared" si="534"/>
        <v>8.5090000000000288</v>
      </c>
      <c r="AG231" s="461">
        <f>+AG216-AG229</f>
        <v>8.0089999999999861</v>
      </c>
      <c r="AH231" s="461">
        <f>+AH216-AH229</f>
        <v>15.209000000000003</v>
      </c>
    </row>
    <row r="232" spans="1:37" s="315" customFormat="1">
      <c r="A232" s="283"/>
      <c r="B232" s="473"/>
      <c r="C232" s="473" t="s">
        <v>434</v>
      </c>
      <c r="D232" s="495"/>
      <c r="E232" s="469">
        <f t="shared" ref="E232:T232" si="535">+E222-E229</f>
        <v>1.1349999999999909</v>
      </c>
      <c r="F232" s="469">
        <f t="shared" si="535"/>
        <v>8.8630000000000067</v>
      </c>
      <c r="G232" s="469">
        <f t="shared" si="535"/>
        <v>17.259999999999991</v>
      </c>
      <c r="H232" s="469">
        <f t="shared" si="535"/>
        <v>17.132999999999974</v>
      </c>
      <c r="I232" s="469">
        <f t="shared" si="535"/>
        <v>7.2250000000000014</v>
      </c>
      <c r="J232" s="469">
        <f t="shared" si="535"/>
        <v>15.120999999999995</v>
      </c>
      <c r="K232" s="469">
        <f t="shared" si="535"/>
        <v>15.384000000000007</v>
      </c>
      <c r="L232" s="469">
        <f t="shared" si="535"/>
        <v>21.554999999999986</v>
      </c>
      <c r="M232" s="469">
        <f t="shared" si="535"/>
        <v>21.753999999999991</v>
      </c>
      <c r="N232" s="469">
        <f t="shared" si="535"/>
        <v>18.294999999999995</v>
      </c>
      <c r="O232" s="469">
        <f t="shared" si="535"/>
        <v>17.329000000000001</v>
      </c>
      <c r="P232" s="469">
        <f t="shared" si="535"/>
        <v>26.130999999999986</v>
      </c>
      <c r="Q232" s="469">
        <f t="shared" si="535"/>
        <v>4.1209999999999951</v>
      </c>
      <c r="R232" s="469">
        <f t="shared" si="535"/>
        <v>1.7460000000000022</v>
      </c>
      <c r="S232" s="469">
        <f t="shared" si="535"/>
        <v>10.91599999999999</v>
      </c>
      <c r="T232" s="469">
        <f t="shared" si="535"/>
        <v>12.806999999999988</v>
      </c>
      <c r="U232" s="469">
        <f t="shared" ref="U232:X232" si="536">+U222-U229</f>
        <v>4.6280000000000072</v>
      </c>
      <c r="V232" s="469">
        <f t="shared" si="536"/>
        <v>13.400270139062279</v>
      </c>
      <c r="W232" s="469">
        <f t="shared" si="536"/>
        <v>19.477469422597927</v>
      </c>
      <c r="X232" s="469">
        <f t="shared" si="536"/>
        <v>19.503260438339829</v>
      </c>
      <c r="Y232" s="283"/>
      <c r="Z232" s="469">
        <f>+Z222-Z229</f>
        <v>87.167000000000002</v>
      </c>
      <c r="AA232" s="469">
        <f>+AA222-AA229</f>
        <v>48.11099999999999</v>
      </c>
      <c r="AB232" s="469">
        <f>SUMIF($E$5:$X$5,AB$5,$E232:$X232)</f>
        <v>44.390999999999963</v>
      </c>
      <c r="AC232" s="469">
        <f t="shared" si="534"/>
        <v>59.284999999999989</v>
      </c>
      <c r="AD232" s="469">
        <f t="shared" si="534"/>
        <v>83.508999999999972</v>
      </c>
      <c r="AE232" s="469">
        <f t="shared" si="534"/>
        <v>29.589999999999975</v>
      </c>
      <c r="AF232" s="469">
        <f t="shared" si="534"/>
        <v>57.009000000000043</v>
      </c>
      <c r="AG232" s="469">
        <f>+AG222-AG229</f>
        <v>56.509000000000015</v>
      </c>
      <c r="AH232" s="469">
        <f>+AH222-AH229</f>
        <v>63.709000000000032</v>
      </c>
    </row>
    <row r="233" spans="1:37">
      <c r="E233" s="282"/>
      <c r="F233" s="282"/>
      <c r="G233" s="282"/>
      <c r="H233" s="282"/>
      <c r="I233" s="282"/>
      <c r="J233" s="282"/>
      <c r="K233" s="282"/>
      <c r="L233" s="282"/>
      <c r="M233" s="282"/>
      <c r="N233" s="282"/>
      <c r="O233" s="282"/>
      <c r="P233" s="282"/>
      <c r="Q233" s="282"/>
      <c r="R233" s="282"/>
      <c r="S233" s="282"/>
      <c r="T233" s="282"/>
      <c r="U233" s="282"/>
      <c r="V233" s="282"/>
      <c r="W233" s="282"/>
      <c r="X233" s="282"/>
      <c r="Y233" s="283"/>
      <c r="Z233" s="282"/>
      <c r="AA233" s="282"/>
      <c r="AB233" s="282"/>
      <c r="AC233" s="282"/>
      <c r="AD233" s="282"/>
      <c r="AE233" s="282"/>
      <c r="AF233" s="282"/>
      <c r="AG233" s="282"/>
      <c r="AH233" s="282"/>
    </row>
    <row r="234" spans="1:37" s="398" customFormat="1">
      <c r="A234" s="283"/>
      <c r="B234" s="445"/>
      <c r="C234" s="470" t="s">
        <v>597</v>
      </c>
      <c r="D234" s="496"/>
      <c r="E234" s="446"/>
      <c r="F234" s="446"/>
      <c r="G234" s="446"/>
      <c r="H234" s="446"/>
      <c r="I234" s="446"/>
      <c r="J234" s="446"/>
      <c r="K234" s="446"/>
      <c r="L234" s="446"/>
      <c r="M234" s="446"/>
      <c r="N234" s="446"/>
      <c r="O234" s="446"/>
      <c r="P234" s="446"/>
      <c r="Q234" s="446"/>
      <c r="R234" s="446"/>
      <c r="S234" s="446"/>
      <c r="T234" s="446"/>
      <c r="U234" s="446"/>
      <c r="V234" s="446"/>
      <c r="W234" s="446"/>
      <c r="X234" s="446"/>
      <c r="Y234" s="283"/>
      <c r="Z234" s="446"/>
      <c r="AA234" s="446"/>
      <c r="AB234" s="446"/>
      <c r="AC234" s="446"/>
      <c r="AD234" s="446"/>
      <c r="AE234" s="446"/>
      <c r="AF234" s="446"/>
      <c r="AG234" s="446"/>
      <c r="AH234" s="446"/>
    </row>
    <row r="235" spans="1:37" s="426" customFormat="1">
      <c r="A235" s="283"/>
      <c r="B235" s="513"/>
      <c r="C235" s="514" t="s">
        <v>565</v>
      </c>
      <c r="D235" s="515" t="s">
        <v>588</v>
      </c>
      <c r="E235" s="516">
        <f t="shared" ref="E235:X235" si="537">E216/(E174/10^3)</f>
        <v>24.488404960820223</v>
      </c>
      <c r="F235" s="516">
        <f t="shared" si="537"/>
        <v>22.643366231771225</v>
      </c>
      <c r="G235" s="516">
        <f t="shared" si="537"/>
        <v>22.67886082890956</v>
      </c>
      <c r="H235" s="516">
        <f t="shared" si="537"/>
        <v>21.822336580908431</v>
      </c>
      <c r="I235" s="516">
        <f t="shared" si="537"/>
        <v>21.415323814117766</v>
      </c>
      <c r="J235" s="516">
        <f t="shared" si="537"/>
        <v>20.827308864505305</v>
      </c>
      <c r="K235" s="516">
        <f t="shared" si="537"/>
        <v>20.767934818071257</v>
      </c>
      <c r="L235" s="516">
        <f t="shared" si="537"/>
        <v>21.481965203623371</v>
      </c>
      <c r="M235" s="516">
        <f t="shared" si="537"/>
        <v>20.031292928252157</v>
      </c>
      <c r="N235" s="516">
        <f t="shared" si="537"/>
        <v>21.597585114159131</v>
      </c>
      <c r="O235" s="516">
        <f t="shared" si="537"/>
        <v>23.174979388377629</v>
      </c>
      <c r="P235" s="516">
        <f t="shared" si="537"/>
        <v>24.582264968266546</v>
      </c>
      <c r="Q235" s="516">
        <f t="shared" si="537"/>
        <v>18.972327428458684</v>
      </c>
      <c r="R235" s="516">
        <f t="shared" si="537"/>
        <v>19.079152313884165</v>
      </c>
      <c r="S235" s="516">
        <f t="shared" si="537"/>
        <v>26.760900684167268</v>
      </c>
      <c r="T235" s="516">
        <f t="shared" si="537"/>
        <v>22.165749226013027</v>
      </c>
      <c r="U235" s="516">
        <f t="shared" si="537"/>
        <v>21.813479563187148</v>
      </c>
      <c r="V235" s="516">
        <f t="shared" si="537"/>
        <v>21.974150041004094</v>
      </c>
      <c r="W235" s="516">
        <f t="shared" si="537"/>
        <v>30.803738561601484</v>
      </c>
      <c r="X235" s="516">
        <f t="shared" si="537"/>
        <v>25.963509456266124</v>
      </c>
      <c r="Y235" s="283"/>
      <c r="Z235" s="516">
        <f t="shared" ref="Z235:AH235" si="538">Z216/(Z174/10^3)</f>
        <v>21.32091459455043</v>
      </c>
      <c r="AA235" s="516">
        <f t="shared" si="538"/>
        <v>22.544140350641928</v>
      </c>
      <c r="AB235" s="516">
        <f t="shared" si="538"/>
        <v>22.872240837831946</v>
      </c>
      <c r="AC235" s="516">
        <f t="shared" si="538"/>
        <v>21.126224390490517</v>
      </c>
      <c r="AD235" s="516">
        <f t="shared" si="538"/>
        <v>22.242124282234712</v>
      </c>
      <c r="AE235" s="516">
        <f t="shared" si="538"/>
        <v>21.331739084055325</v>
      </c>
      <c r="AF235" s="516">
        <f t="shared" si="538"/>
        <v>24.668571428571429</v>
      </c>
      <c r="AG235" s="516">
        <f t="shared" si="538"/>
        <v>24.349520879999996</v>
      </c>
      <c r="AH235" s="516">
        <f t="shared" si="538"/>
        <v>24.563106778378376</v>
      </c>
    </row>
    <row r="236" spans="1:37" s="426" customFormat="1">
      <c r="A236" s="283"/>
      <c r="B236" s="513"/>
      <c r="C236" s="514" t="s">
        <v>596</v>
      </c>
      <c r="D236" s="515" t="s">
        <v>588</v>
      </c>
      <c r="E236" s="516">
        <f t="shared" ref="E236:X236" si="539">E229/(E174/10^3)</f>
        <v>29.483094575043694</v>
      </c>
      <c r="F236" s="516">
        <f t="shared" si="539"/>
        <v>26.117729302712135</v>
      </c>
      <c r="G236" s="516">
        <f t="shared" si="539"/>
        <v>20.754448504783319</v>
      </c>
      <c r="H236" s="516">
        <f t="shared" si="539"/>
        <v>20.032696066627135</v>
      </c>
      <c r="I236" s="516">
        <f t="shared" si="539"/>
        <v>20.924896551199041</v>
      </c>
      <c r="J236" s="516">
        <f t="shared" si="539"/>
        <v>18.450260720744268</v>
      </c>
      <c r="K236" s="516">
        <f t="shared" si="539"/>
        <v>18.717634859501782</v>
      </c>
      <c r="L236" s="516">
        <f t="shared" si="539"/>
        <v>18.718466011696076</v>
      </c>
      <c r="M236" s="516">
        <f t="shared" si="539"/>
        <v>14.464422938011831</v>
      </c>
      <c r="N236" s="516">
        <f t="shared" si="539"/>
        <v>16.875223998962937</v>
      </c>
      <c r="O236" s="516">
        <f t="shared" si="539"/>
        <v>20.173957537780382</v>
      </c>
      <c r="P236" s="516">
        <f t="shared" si="539"/>
        <v>18.214551732896719</v>
      </c>
      <c r="Q236" s="516">
        <f t="shared" si="539"/>
        <v>19.646249134385869</v>
      </c>
      <c r="R236" s="516">
        <f t="shared" si="539"/>
        <v>21.713562954401631</v>
      </c>
      <c r="S236" s="516">
        <f t="shared" si="539"/>
        <v>26.016317688744717</v>
      </c>
      <c r="T236" s="516">
        <f t="shared" si="539"/>
        <v>21.661469923341588</v>
      </c>
      <c r="U236" s="516">
        <f t="shared" si="539"/>
        <v>22.718087466282977</v>
      </c>
      <c r="V236" s="516">
        <f t="shared" si="539"/>
        <v>22.743266852801458</v>
      </c>
      <c r="W236" s="516">
        <f t="shared" si="539"/>
        <v>27.446148419043901</v>
      </c>
      <c r="X236" s="516">
        <f t="shared" si="539"/>
        <v>22.834956500240331</v>
      </c>
      <c r="Y236" s="283"/>
      <c r="Z236" s="516">
        <f t="shared" ref="Z236:AH236" si="540">Z229/(Z174/10^3)</f>
        <v>17.483141322194101</v>
      </c>
      <c r="AA236" s="516">
        <f t="shared" si="540"/>
        <v>21.834719408152559</v>
      </c>
      <c r="AB236" s="516">
        <f t="shared" si="540"/>
        <v>24.006529357526958</v>
      </c>
      <c r="AC236" s="516">
        <f t="shared" si="540"/>
        <v>19.152032962171866</v>
      </c>
      <c r="AD236" s="516">
        <f t="shared" si="540"/>
        <v>17.363102190566959</v>
      </c>
      <c r="AE236" s="516">
        <f t="shared" si="540"/>
        <v>21.97794232357505</v>
      </c>
      <c r="AF236" s="516">
        <f t="shared" si="540"/>
        <v>23.696114285714287</v>
      </c>
      <c r="AG236" s="516">
        <f t="shared" si="540"/>
        <v>23.486048164799996</v>
      </c>
      <c r="AH236" s="516">
        <f t="shared" si="540"/>
        <v>23.012015680216212</v>
      </c>
    </row>
    <row r="237" spans="1:37" s="426" customFormat="1">
      <c r="A237" s="283"/>
      <c r="B237" s="513"/>
      <c r="C237" s="532" t="s">
        <v>433</v>
      </c>
      <c r="D237" s="515" t="s">
        <v>588</v>
      </c>
      <c r="E237" s="517">
        <f t="shared" ref="E237:T237" si="541">E235-E236</f>
        <v>-4.9946896142234714</v>
      </c>
      <c r="F237" s="517">
        <f t="shared" si="541"/>
        <v>-3.4743630709409103</v>
      </c>
      <c r="G237" s="517">
        <f t="shared" si="541"/>
        <v>1.9244123241262407</v>
      </c>
      <c r="H237" s="517">
        <f t="shared" si="541"/>
        <v>1.7896405142812952</v>
      </c>
      <c r="I237" s="517">
        <f t="shared" si="541"/>
        <v>0.4904272629187254</v>
      </c>
      <c r="J237" s="517">
        <f t="shared" si="541"/>
        <v>2.3770481437610371</v>
      </c>
      <c r="K237" s="517">
        <f t="shared" si="541"/>
        <v>2.0502999585694752</v>
      </c>
      <c r="L237" s="517">
        <f t="shared" si="541"/>
        <v>2.7634991919272949</v>
      </c>
      <c r="M237" s="517">
        <f t="shared" si="541"/>
        <v>5.5668699902403258</v>
      </c>
      <c r="N237" s="517">
        <f t="shared" si="541"/>
        <v>4.7223611151961933</v>
      </c>
      <c r="O237" s="517">
        <f t="shared" si="541"/>
        <v>3.0010218505972475</v>
      </c>
      <c r="P237" s="517">
        <f t="shared" si="541"/>
        <v>6.3677132353698269</v>
      </c>
      <c r="Q237" s="517">
        <f t="shared" si="541"/>
        <v>-0.67392170592718514</v>
      </c>
      <c r="R237" s="517">
        <f t="shared" si="541"/>
        <v>-2.6344106405174657</v>
      </c>
      <c r="S237" s="517">
        <f t="shared" si="541"/>
        <v>0.74458299542255091</v>
      </c>
      <c r="T237" s="517">
        <f t="shared" si="541"/>
        <v>0.5042793026714385</v>
      </c>
      <c r="U237" s="517">
        <f t="shared" ref="U237:X237" si="542">U235-U236</f>
        <v>-0.90460790309582961</v>
      </c>
      <c r="V237" s="517">
        <f t="shared" si="542"/>
        <v>-0.76911681179736391</v>
      </c>
      <c r="W237" s="517">
        <f t="shared" si="542"/>
        <v>3.3575901425575836</v>
      </c>
      <c r="X237" s="517">
        <f t="shared" si="542"/>
        <v>3.1285529560257928</v>
      </c>
      <c r="Y237" s="283"/>
      <c r="Z237" s="517">
        <f t="shared" ref="Z237:AG237" si="543">Z235-Z236</f>
        <v>3.8377732723563298</v>
      </c>
      <c r="AA237" s="517">
        <f t="shared" si="543"/>
        <v>0.70942094248936982</v>
      </c>
      <c r="AB237" s="517">
        <f t="shared" si="543"/>
        <v>-1.1342885196950121</v>
      </c>
      <c r="AC237" s="517">
        <f t="shared" si="543"/>
        <v>1.974191428318651</v>
      </c>
      <c r="AD237" s="517">
        <f t="shared" si="543"/>
        <v>4.8790220916677534</v>
      </c>
      <c r="AE237" s="517">
        <f t="shared" si="543"/>
        <v>-0.6462032395197248</v>
      </c>
      <c r="AF237" s="517">
        <f t="shared" si="543"/>
        <v>0.97245714285714158</v>
      </c>
      <c r="AG237" s="517">
        <f t="shared" si="543"/>
        <v>0.86347271520000035</v>
      </c>
      <c r="AH237" s="517">
        <f t="shared" ref="AH237" si="544">AH235-AH236</f>
        <v>1.5510910981621642</v>
      </c>
    </row>
    <row r="238" spans="1:37" s="426" customFormat="1">
      <c r="A238" s="283"/>
      <c r="B238" s="513"/>
      <c r="C238" s="533"/>
      <c r="D238" s="515"/>
      <c r="E238" s="516"/>
      <c r="F238" s="516"/>
      <c r="G238" s="516"/>
      <c r="H238" s="516"/>
      <c r="I238" s="516"/>
      <c r="J238" s="516"/>
      <c r="K238" s="516"/>
      <c r="L238" s="516"/>
      <c r="M238" s="516"/>
      <c r="N238" s="516"/>
      <c r="O238" s="516"/>
      <c r="P238" s="516"/>
      <c r="Q238" s="516"/>
      <c r="R238" s="516"/>
      <c r="S238" s="516"/>
      <c r="T238" s="516"/>
      <c r="U238" s="516"/>
      <c r="V238" s="516"/>
      <c r="W238" s="516"/>
      <c r="X238" s="516"/>
      <c r="Y238" s="283"/>
      <c r="Z238" s="516"/>
      <c r="AA238" s="516"/>
      <c r="AB238" s="516"/>
      <c r="AC238" s="516"/>
      <c r="AD238" s="516"/>
      <c r="AE238" s="516"/>
      <c r="AF238" s="516"/>
      <c r="AG238" s="516"/>
      <c r="AH238" s="516"/>
    </row>
    <row r="239" spans="1:37" s="426" customFormat="1">
      <c r="A239" s="283"/>
      <c r="B239" s="513"/>
      <c r="C239" s="514" t="s">
        <v>566</v>
      </c>
      <c r="D239" s="515" t="s">
        <v>588</v>
      </c>
      <c r="E239" s="516">
        <f t="shared" ref="E239:X239" si="545">E222/(E174/10^3)</f>
        <v>30.076331568779946</v>
      </c>
      <c r="F239" s="516">
        <f t="shared" si="545"/>
        <v>30.549692442860284</v>
      </c>
      <c r="G239" s="516">
        <f t="shared" si="545"/>
        <v>29.952830314370416</v>
      </c>
      <c r="H239" s="516">
        <f t="shared" si="545"/>
        <v>27.951578021994266</v>
      </c>
      <c r="I239" s="516">
        <f t="shared" si="545"/>
        <v>24.160820728904799</v>
      </c>
      <c r="J239" s="516">
        <f t="shared" si="545"/>
        <v>24.824324381288807</v>
      </c>
      <c r="K239" s="516">
        <f t="shared" si="545"/>
        <v>24.76476188454642</v>
      </c>
      <c r="L239" s="516">
        <f t="shared" si="545"/>
        <v>26.58212608852682</v>
      </c>
      <c r="M239" s="516">
        <f t="shared" si="545"/>
        <v>22.301705475397799</v>
      </c>
      <c r="N239" s="516">
        <f t="shared" si="545"/>
        <v>23.518484022224332</v>
      </c>
      <c r="O239" s="516">
        <f t="shared" si="545"/>
        <v>26.751836066619191</v>
      </c>
      <c r="P239" s="516">
        <f t="shared" si="545"/>
        <v>29.426378062217456</v>
      </c>
      <c r="Q239" s="516">
        <f t="shared" si="545"/>
        <v>21.24052660288525</v>
      </c>
      <c r="R239" s="516">
        <f t="shared" si="545"/>
        <v>22.396008203414024</v>
      </c>
      <c r="S239" s="516">
        <f t="shared" si="545"/>
        <v>31.957741649294878</v>
      </c>
      <c r="T239" s="516">
        <f t="shared" si="545"/>
        <v>27.321684672958732</v>
      </c>
      <c r="U239" s="516">
        <f t="shared" si="545"/>
        <v>24.622785089361923</v>
      </c>
      <c r="V239" s="516">
        <f t="shared" si="545"/>
        <v>28.261141386244105</v>
      </c>
      <c r="W239" s="516">
        <f t="shared" si="545"/>
        <v>38.61463276745625</v>
      </c>
      <c r="X239" s="516">
        <f t="shared" si="545"/>
        <v>31.915825523935393</v>
      </c>
      <c r="Y239" s="283"/>
      <c r="Z239" s="516">
        <f t="shared" ref="Z239:AH239" si="546">Z222/(Z174/10^3)</f>
        <v>26.902992723976098</v>
      </c>
      <c r="AA239" s="516">
        <f t="shared" si="546"/>
        <v>27.595217461166236</v>
      </c>
      <c r="AB239" s="516">
        <f t="shared" si="546"/>
        <v>29.588194547392977</v>
      </c>
      <c r="AC239" s="516">
        <f t="shared" si="546"/>
        <v>25.146396026339406</v>
      </c>
      <c r="AD239" s="516">
        <f t="shared" si="546"/>
        <v>25.320337091220868</v>
      </c>
      <c r="AE239" s="516">
        <f t="shared" si="546"/>
        <v>25.17920699080905</v>
      </c>
      <c r="AF239" s="516">
        <f t="shared" si="546"/>
        <v>30.211428571428574</v>
      </c>
      <c r="AG239" s="516">
        <f t="shared" si="546"/>
        <v>29.578441679999997</v>
      </c>
      <c r="AH239" s="516">
        <f t="shared" si="546"/>
        <v>29.50938321081081</v>
      </c>
    </row>
    <row r="240" spans="1:37" s="426" customFormat="1">
      <c r="A240" s="283"/>
      <c r="B240" s="513"/>
      <c r="C240" s="514" t="s">
        <v>596</v>
      </c>
      <c r="D240" s="515" t="s">
        <v>588</v>
      </c>
      <c r="E240" s="516">
        <f t="shared" ref="E240:X240" si="547">E229/(E174/10^3)</f>
        <v>29.483094575043694</v>
      </c>
      <c r="F240" s="516">
        <f t="shared" si="547"/>
        <v>26.117729302712135</v>
      </c>
      <c r="G240" s="516">
        <f t="shared" si="547"/>
        <v>20.754448504783319</v>
      </c>
      <c r="H240" s="516">
        <f t="shared" si="547"/>
        <v>20.032696066627135</v>
      </c>
      <c r="I240" s="516">
        <f t="shared" si="547"/>
        <v>20.924896551199041</v>
      </c>
      <c r="J240" s="516">
        <f t="shared" si="547"/>
        <v>18.450260720744268</v>
      </c>
      <c r="K240" s="516">
        <f t="shared" si="547"/>
        <v>18.717634859501782</v>
      </c>
      <c r="L240" s="516">
        <f t="shared" si="547"/>
        <v>18.718466011696076</v>
      </c>
      <c r="M240" s="516">
        <f t="shared" si="547"/>
        <v>14.464422938011831</v>
      </c>
      <c r="N240" s="516">
        <f t="shared" si="547"/>
        <v>16.875223998962937</v>
      </c>
      <c r="O240" s="516">
        <f t="shared" si="547"/>
        <v>20.173957537780382</v>
      </c>
      <c r="P240" s="516">
        <f t="shared" si="547"/>
        <v>18.214551732896719</v>
      </c>
      <c r="Q240" s="516">
        <f t="shared" si="547"/>
        <v>19.646249134385869</v>
      </c>
      <c r="R240" s="516">
        <f t="shared" si="547"/>
        <v>21.713562954401631</v>
      </c>
      <c r="S240" s="516">
        <f t="shared" si="547"/>
        <v>26.016317688744717</v>
      </c>
      <c r="T240" s="516">
        <f t="shared" si="547"/>
        <v>21.661469923341588</v>
      </c>
      <c r="U240" s="516">
        <f t="shared" si="547"/>
        <v>22.718087466282977</v>
      </c>
      <c r="V240" s="516">
        <f t="shared" si="547"/>
        <v>22.743266852801458</v>
      </c>
      <c r="W240" s="516">
        <f t="shared" si="547"/>
        <v>27.446148419043901</v>
      </c>
      <c r="X240" s="516">
        <f t="shared" si="547"/>
        <v>22.834956500240331</v>
      </c>
      <c r="Y240" s="283"/>
      <c r="Z240" s="516">
        <f t="shared" ref="Z240:AH240" si="548">Z229/(Z174/10^3)</f>
        <v>17.483141322194101</v>
      </c>
      <c r="AA240" s="516">
        <f t="shared" si="548"/>
        <v>21.834719408152559</v>
      </c>
      <c r="AB240" s="516">
        <f t="shared" si="548"/>
        <v>24.006529357526958</v>
      </c>
      <c r="AC240" s="516">
        <f t="shared" si="548"/>
        <v>19.152032962171866</v>
      </c>
      <c r="AD240" s="516">
        <f t="shared" si="548"/>
        <v>17.363102190566959</v>
      </c>
      <c r="AE240" s="516">
        <f t="shared" si="548"/>
        <v>21.97794232357505</v>
      </c>
      <c r="AF240" s="516">
        <f t="shared" si="548"/>
        <v>23.696114285714287</v>
      </c>
      <c r="AG240" s="516">
        <f t="shared" si="548"/>
        <v>23.486048164799996</v>
      </c>
      <c r="AH240" s="516">
        <f t="shared" si="548"/>
        <v>23.012015680216212</v>
      </c>
    </row>
    <row r="241" spans="1:34" s="426" customFormat="1">
      <c r="A241" s="283"/>
      <c r="B241" s="513"/>
      <c r="C241" s="532" t="s">
        <v>434</v>
      </c>
      <c r="D241" s="515" t="s">
        <v>588</v>
      </c>
      <c r="E241" s="517">
        <f t="shared" ref="E241:T241" si="549">E239-E240</f>
        <v>0.59323699373625161</v>
      </c>
      <c r="F241" s="517">
        <f t="shared" si="549"/>
        <v>4.4319631401481487</v>
      </c>
      <c r="G241" s="517">
        <f t="shared" si="549"/>
        <v>9.1983818095870973</v>
      </c>
      <c r="H241" s="517">
        <f t="shared" si="549"/>
        <v>7.9188819553671301</v>
      </c>
      <c r="I241" s="517">
        <f t="shared" si="549"/>
        <v>3.2359241777057584</v>
      </c>
      <c r="J241" s="517">
        <f t="shared" si="549"/>
        <v>6.3740636605445395</v>
      </c>
      <c r="K241" s="517">
        <f t="shared" si="549"/>
        <v>6.0471270250446381</v>
      </c>
      <c r="L241" s="517">
        <f t="shared" si="549"/>
        <v>7.8636600768307439</v>
      </c>
      <c r="M241" s="517">
        <f t="shared" si="549"/>
        <v>7.8372825373859687</v>
      </c>
      <c r="N241" s="517">
        <f t="shared" si="549"/>
        <v>6.6432600232613943</v>
      </c>
      <c r="O241" s="517">
        <f t="shared" si="549"/>
        <v>6.5778785288388093</v>
      </c>
      <c r="P241" s="517">
        <f t="shared" si="549"/>
        <v>11.211826329320736</v>
      </c>
      <c r="Q241" s="517">
        <f t="shared" si="549"/>
        <v>1.5942774684993815</v>
      </c>
      <c r="R241" s="517">
        <f t="shared" si="549"/>
        <v>0.68244524901239245</v>
      </c>
      <c r="S241" s="517">
        <f t="shared" si="549"/>
        <v>5.9414239605501606</v>
      </c>
      <c r="T241" s="517">
        <f t="shared" si="549"/>
        <v>5.6602147496171433</v>
      </c>
      <c r="U241" s="517">
        <f t="shared" ref="U241:X241" si="550">U239-U240</f>
        <v>1.9046976230789454</v>
      </c>
      <c r="V241" s="517">
        <f t="shared" si="550"/>
        <v>5.5178745334426473</v>
      </c>
      <c r="W241" s="517">
        <f t="shared" si="550"/>
        <v>11.168484348412349</v>
      </c>
      <c r="X241" s="517">
        <f t="shared" si="550"/>
        <v>9.0808690236950618</v>
      </c>
      <c r="Y241" s="283"/>
      <c r="Z241" s="517">
        <f t="shared" ref="Z241:AG241" si="551">Z239-Z240</f>
        <v>9.4198514017819974</v>
      </c>
      <c r="AA241" s="517">
        <f t="shared" si="551"/>
        <v>5.7604980530136771</v>
      </c>
      <c r="AB241" s="517">
        <f t="shared" si="551"/>
        <v>5.581665189866019</v>
      </c>
      <c r="AC241" s="517">
        <f t="shared" si="551"/>
        <v>5.9943630641675405</v>
      </c>
      <c r="AD241" s="517">
        <f t="shared" si="551"/>
        <v>7.9572349006539085</v>
      </c>
      <c r="AE241" s="517">
        <f t="shared" si="551"/>
        <v>3.2012646672339997</v>
      </c>
      <c r="AF241" s="517">
        <f t="shared" si="551"/>
        <v>6.5153142857142861</v>
      </c>
      <c r="AG241" s="517">
        <f t="shared" si="551"/>
        <v>6.0923935152000013</v>
      </c>
      <c r="AH241" s="517">
        <f t="shared" ref="AH241" si="552">AH239-AH240</f>
        <v>6.4973675305945982</v>
      </c>
    </row>
    <row r="242" spans="1:34" s="398" customFormat="1">
      <c r="A242" s="283"/>
      <c r="B242" s="400"/>
      <c r="C242" s="401"/>
      <c r="D242" s="497"/>
      <c r="E242" s="411"/>
      <c r="F242" s="411"/>
      <c r="G242" s="411"/>
      <c r="H242" s="411"/>
      <c r="I242" s="411"/>
      <c r="J242" s="411"/>
      <c r="K242" s="411"/>
      <c r="L242" s="411"/>
      <c r="M242" s="411"/>
      <c r="N242" s="411"/>
      <c r="O242" s="411"/>
      <c r="P242" s="411"/>
      <c r="Q242" s="411"/>
      <c r="R242" s="411"/>
      <c r="S242" s="411"/>
      <c r="T242" s="411"/>
      <c r="U242" s="411"/>
      <c r="V242" s="411"/>
      <c r="W242" s="411"/>
      <c r="X242" s="411"/>
      <c r="Y242" s="283"/>
      <c r="Z242" s="411"/>
      <c r="AA242" s="411"/>
      <c r="AB242" s="411"/>
      <c r="AC242" s="411"/>
      <c r="AD242" s="411"/>
      <c r="AE242" s="411"/>
    </row>
    <row r="243" spans="1:34" s="307" customFormat="1">
      <c r="A243" s="283"/>
      <c r="B243" s="507"/>
      <c r="C243" s="507" t="s">
        <v>704</v>
      </c>
      <c r="D243" s="508"/>
      <c r="E243" s="596">
        <f>+E$1-E241</f>
        <v>16.247597942939688</v>
      </c>
      <c r="F243" s="596">
        <f t="shared" ref="F243:AG243" si="553">+F$1-F241</f>
        <v>12.175247479476926</v>
      </c>
      <c r="G243" s="596">
        <f t="shared" si="553"/>
        <v>5.4855366938732413</v>
      </c>
      <c r="H243" s="596">
        <f t="shared" si="553"/>
        <v>6.6576475893867109</v>
      </c>
      <c r="I243" s="596">
        <f t="shared" si="553"/>
        <v>12.466179592269082</v>
      </c>
      <c r="J243" s="596">
        <f t="shared" si="553"/>
        <v>8.6338789968594138</v>
      </c>
      <c r="K243" s="596">
        <f t="shared" si="553"/>
        <v>12.131832804148026</v>
      </c>
      <c r="L243" s="596">
        <f t="shared" si="553"/>
        <v>9.6013994266017342</v>
      </c>
      <c r="M243" s="596">
        <f t="shared" si="553"/>
        <v>6.7126500803007314</v>
      </c>
      <c r="N243" s="596">
        <f t="shared" si="553"/>
        <v>11.798859297453681</v>
      </c>
      <c r="O243" s="596">
        <f t="shared" si="553"/>
        <v>18.742358086554411</v>
      </c>
      <c r="P243" s="596">
        <f t="shared" si="553"/>
        <v>13.948104896379771</v>
      </c>
      <c r="Q243" s="596">
        <f t="shared" si="553"/>
        <v>24.068877125934666</v>
      </c>
      <c r="R243" s="596">
        <f t="shared" si="553"/>
        <v>26.477846881134489</v>
      </c>
      <c r="S243" s="596">
        <f t="shared" si="553"/>
        <v>18.031245105061899</v>
      </c>
      <c r="T243" s="596">
        <f t="shared" si="553"/>
        <v>17.830332214788534</v>
      </c>
      <c r="U243" s="596">
        <f t="shared" ref="U243:X243" si="554">+U$1-U241</f>
        <v>22.779162752277085</v>
      </c>
      <c r="V243" s="596">
        <f t="shared" si="554"/>
        <v>16.197125466557353</v>
      </c>
      <c r="W243" s="596">
        <f t="shared" si="554"/>
        <v>10.686515651587651</v>
      </c>
      <c r="X243" s="596">
        <f t="shared" si="554"/>
        <v>13.014130976304937</v>
      </c>
      <c r="Y243" s="283"/>
      <c r="Z243" s="596">
        <f t="shared" si="553"/>
        <v>7.7356480435544839</v>
      </c>
      <c r="AA243" s="596">
        <f t="shared" si="553"/>
        <v>11.465934302646321</v>
      </c>
      <c r="AB243" s="596">
        <f t="shared" si="553"/>
        <v>10.044332647915745</v>
      </c>
      <c r="AC243" s="596">
        <f t="shared" si="553"/>
        <v>10.651704741228077</v>
      </c>
      <c r="AD243" s="596">
        <f t="shared" si="553"/>
        <v>13.189259098939946</v>
      </c>
      <c r="AE243" s="596">
        <f t="shared" si="553"/>
        <v>22.039494974368981</v>
      </c>
      <c r="AF243" s="596">
        <f t="shared" si="553"/>
        <v>15.969072292095468</v>
      </c>
      <c r="AG243" s="596">
        <f t="shared" si="553"/>
        <v>16.220273151466667</v>
      </c>
      <c r="AH243" s="596">
        <f t="shared" ref="AH243" si="555">+AH$1-AH241</f>
        <v>16.340382469405402</v>
      </c>
    </row>
    <row r="244" spans="1:34" s="398" customFormat="1">
      <c r="A244" s="283"/>
      <c r="B244" s="400"/>
      <c r="C244" s="401"/>
      <c r="D244" s="497"/>
      <c r="E244" s="411"/>
      <c r="F244" s="411"/>
      <c r="G244" s="411"/>
      <c r="H244" s="411"/>
      <c r="I244" s="411"/>
      <c r="J244" s="411"/>
      <c r="K244" s="411"/>
      <c r="L244" s="411"/>
      <c r="M244" s="411"/>
      <c r="N244" s="411"/>
      <c r="O244" s="411"/>
      <c r="P244" s="411"/>
      <c r="Q244" s="411"/>
      <c r="R244" s="411"/>
      <c r="S244" s="411"/>
      <c r="T244" s="411"/>
      <c r="U244" s="411"/>
      <c r="V244" s="411"/>
      <c r="W244" s="411"/>
      <c r="X244" s="411"/>
      <c r="Y244" s="283"/>
      <c r="Z244" s="411"/>
      <c r="AA244" s="411"/>
      <c r="AB244" s="411"/>
      <c r="AC244" s="411"/>
      <c r="AD244" s="411"/>
      <c r="AE244" s="411"/>
    </row>
    <row r="245" spans="1:34">
      <c r="C245" s="281" t="s">
        <v>559</v>
      </c>
      <c r="E245" s="305">
        <v>9.4819999999999993</v>
      </c>
      <c r="F245" s="305">
        <v>14.183</v>
      </c>
      <c r="G245" s="305">
        <v>11.029</v>
      </c>
      <c r="H245" s="305">
        <v>12.17</v>
      </c>
      <c r="I245" s="305">
        <v>5.3120000000000003</v>
      </c>
      <c r="J245" s="305">
        <v>8.6649999999999991</v>
      </c>
      <c r="K245" s="305">
        <v>8.9659999999999993</v>
      </c>
      <c r="L245" s="305">
        <v>12.885999999999999</v>
      </c>
      <c r="M245" s="305">
        <v>5.51</v>
      </c>
      <c r="N245" s="305">
        <v>4.5010000000000003</v>
      </c>
      <c r="O245" s="305">
        <v>8.2650000000000006</v>
      </c>
      <c r="P245" s="305">
        <v>10.521000000000001</v>
      </c>
      <c r="Q245" s="305">
        <v>4.8920000000000003</v>
      </c>
      <c r="R245" s="305">
        <v>6.3390000000000004</v>
      </c>
      <c r="S245" s="305">
        <v>6.2279999999999998</v>
      </c>
      <c r="T245" s="305">
        <v>6.4239999999999959</v>
      </c>
      <c r="U245" s="305">
        <v>3.0920000000000001</v>
      </c>
      <c r="V245" s="388"/>
      <c r="W245" s="388"/>
      <c r="X245" s="388"/>
      <c r="Y245" s="283"/>
      <c r="Z245" s="305">
        <v>47.045999999999999</v>
      </c>
      <c r="AA245" s="305">
        <v>35.255000000000003</v>
      </c>
      <c r="AB245" s="282">
        <f>SUMIF($E$5:$T$5,AB$5,$E245:$T245)</f>
        <v>46.864000000000004</v>
      </c>
      <c r="AC245" s="282">
        <f>SUMIF($E$5:$T$5,AC$5,$E245:$T245)</f>
        <v>35.828999999999994</v>
      </c>
      <c r="AD245" s="282">
        <f>SUMIF($E$5:$T$5,AD$5,$E245:$T245)</f>
        <v>28.797000000000001</v>
      </c>
      <c r="AE245" s="282">
        <f>SUMIF($E$5:$T$5,AE$5,$E245:$T245)</f>
        <v>23.882999999999999</v>
      </c>
      <c r="AF245" s="388"/>
      <c r="AG245" s="388"/>
      <c r="AH245" s="388"/>
    </row>
    <row r="246" spans="1:34">
      <c r="Y246" s="283"/>
      <c r="AB246" s="282"/>
      <c r="AC246" s="282"/>
      <c r="AD246" s="282"/>
      <c r="AE246" s="282"/>
    </row>
    <row r="247" spans="1:34" s="283" customFormat="1">
      <c r="B247" s="286" t="s">
        <v>137</v>
      </c>
      <c r="C247" s="287" t="s">
        <v>571</v>
      </c>
      <c r="D247" s="485"/>
      <c r="E247" s="286"/>
      <c r="F247" s="286"/>
      <c r="G247" s="286"/>
      <c r="H247" s="286"/>
      <c r="I247" s="286"/>
      <c r="J247" s="286"/>
      <c r="K247" s="286"/>
      <c r="L247" s="286"/>
      <c r="M247" s="286"/>
      <c r="N247" s="286"/>
      <c r="O247" s="286"/>
      <c r="P247" s="286"/>
      <c r="Q247" s="286"/>
      <c r="R247" s="286"/>
      <c r="S247" s="286"/>
      <c r="T247" s="286"/>
      <c r="U247" s="286"/>
      <c r="V247" s="286"/>
      <c r="W247" s="286"/>
      <c r="X247" s="286"/>
      <c r="Z247" s="286"/>
      <c r="AA247" s="286"/>
      <c r="AB247" s="286"/>
      <c r="AC247" s="286"/>
      <c r="AD247" s="286"/>
      <c r="AE247" s="286"/>
      <c r="AF247" s="286"/>
      <c r="AG247" s="286"/>
      <c r="AH247" s="286"/>
    </row>
    <row r="248" spans="1:34">
      <c r="C248" s="307"/>
      <c r="Y248" s="283"/>
      <c r="AB248" s="282"/>
      <c r="AC248" s="282"/>
      <c r="AD248" s="282"/>
      <c r="AE248" s="282"/>
    </row>
    <row r="249" spans="1:34">
      <c r="C249" s="414" t="s">
        <v>419</v>
      </c>
      <c r="E249" s="305">
        <v>9.5589999999999993</v>
      </c>
      <c r="F249" s="305">
        <v>3.4470000000000001</v>
      </c>
      <c r="G249" s="305">
        <v>3.0059999999999998</v>
      </c>
      <c r="H249" s="305">
        <v>1.2969999999999999</v>
      </c>
      <c r="I249" s="305">
        <v>13.803000000000001</v>
      </c>
      <c r="J249" s="305">
        <v>13.696999999999999</v>
      </c>
      <c r="K249" s="305">
        <v>13.254</v>
      </c>
      <c r="L249" s="305">
        <v>16.337</v>
      </c>
      <c r="M249" s="305">
        <v>10.218999999999999</v>
      </c>
      <c r="N249" s="305">
        <v>44.682000000000002</v>
      </c>
      <c r="O249" s="305">
        <v>55.05</v>
      </c>
      <c r="P249" s="305">
        <v>69.257000000000005</v>
      </c>
      <c r="Q249" s="305">
        <v>81.070999999999998</v>
      </c>
      <c r="R249" s="771">
        <v>82.441999999999993</v>
      </c>
      <c r="S249" s="771">
        <v>78.227000000000004</v>
      </c>
      <c r="T249" s="305">
        <v>80.096999999999994</v>
      </c>
      <c r="U249" s="771">
        <v>77.724999999999994</v>
      </c>
      <c r="V249" s="380">
        <f>+V262/V256/V250</f>
        <v>105.4618418552334</v>
      </c>
      <c r="W249" s="380">
        <f>+W262/W256/W250</f>
        <v>96.051623002961605</v>
      </c>
      <c r="X249" s="380">
        <f>+X262/X256/X250</f>
        <v>110.32411158984057</v>
      </c>
      <c r="Y249" s="283"/>
      <c r="Z249" s="305">
        <v>293.875</v>
      </c>
      <c r="AA249" s="305">
        <v>70.718000000000004</v>
      </c>
      <c r="AB249" s="282">
        <f>SUMIF($E$5:$X$5,AB$5,$E249:$X249)</f>
        <v>17.309000000000001</v>
      </c>
      <c r="AC249" s="282">
        <f t="shared" ref="AC249:AF249" si="556">SUMIF($E$5:$X$5,AC$5,$E249:$X249)</f>
        <v>57.090999999999994</v>
      </c>
      <c r="AD249" s="282">
        <f t="shared" si="556"/>
        <v>179.208</v>
      </c>
      <c r="AE249" s="282">
        <f t="shared" si="556"/>
        <v>321.83699999999999</v>
      </c>
      <c r="AF249" s="282">
        <f t="shared" si="556"/>
        <v>389.5625764480356</v>
      </c>
      <c r="AG249" s="380">
        <f>+AG262/AG256/AG250</f>
        <v>412.95131290854999</v>
      </c>
      <c r="AH249" s="380">
        <f>+AH262/AH256/AH250</f>
        <v>436.54853078903864</v>
      </c>
    </row>
    <row r="250" spans="1:34">
      <c r="C250" s="306" t="s">
        <v>564</v>
      </c>
      <c r="E250" s="305">
        <v>11.1</v>
      </c>
      <c r="F250" s="305">
        <v>10.63</v>
      </c>
      <c r="G250" s="305">
        <v>11.41</v>
      </c>
      <c r="H250" s="305">
        <v>7.33</v>
      </c>
      <c r="I250" s="305">
        <v>13.33</v>
      </c>
      <c r="J250" s="305">
        <v>10.119999999999999</v>
      </c>
      <c r="K250" s="305">
        <v>9.33</v>
      </c>
      <c r="L250" s="305">
        <v>14.02</v>
      </c>
      <c r="M250" s="305">
        <v>9.8699999999999992</v>
      </c>
      <c r="N250" s="305">
        <v>10.99</v>
      </c>
      <c r="O250" s="305">
        <v>12.1</v>
      </c>
      <c r="P250" s="305">
        <v>12.53</v>
      </c>
      <c r="Q250" s="305">
        <v>11.18</v>
      </c>
      <c r="R250" s="305">
        <v>11.6</v>
      </c>
      <c r="S250" s="305">
        <v>11.6</v>
      </c>
      <c r="T250" s="439">
        <v>12.54</v>
      </c>
      <c r="U250" s="439">
        <v>12.04</v>
      </c>
      <c r="V250" s="460">
        <f t="shared" ref="V250" si="557">+U250</f>
        <v>12.04</v>
      </c>
      <c r="W250" s="460">
        <f t="shared" ref="W250" si="558">+V250</f>
        <v>12.04</v>
      </c>
      <c r="X250" s="460">
        <f t="shared" ref="X250" si="559">+W250</f>
        <v>12.04</v>
      </c>
      <c r="Y250" s="283"/>
      <c r="Z250" s="305">
        <v>12.69</v>
      </c>
      <c r="AA250" s="305">
        <v>12.38</v>
      </c>
      <c r="AB250" s="305">
        <v>10.78</v>
      </c>
      <c r="AC250" s="305">
        <v>11.83</v>
      </c>
      <c r="AD250" s="305">
        <v>11.85</v>
      </c>
      <c r="AE250" s="439">
        <v>11.64</v>
      </c>
      <c r="AF250" s="282">
        <f t="shared" ref="AF250:AF253" si="560">AVERAGEIF($E$5:$X$5,AF$5,$E250:$X250)</f>
        <v>12.04</v>
      </c>
      <c r="AG250" s="460">
        <f t="shared" ref="AG250:AH253" si="561">+AF250</f>
        <v>12.04</v>
      </c>
      <c r="AH250" s="460">
        <f t="shared" si="561"/>
        <v>12.04</v>
      </c>
    </row>
    <row r="251" spans="1:34">
      <c r="C251" s="306" t="s">
        <v>563</v>
      </c>
      <c r="E251" s="305">
        <v>0</v>
      </c>
      <c r="F251" s="305">
        <v>0</v>
      </c>
      <c r="G251" s="305">
        <v>0</v>
      </c>
      <c r="H251" s="305">
        <v>0</v>
      </c>
      <c r="I251" s="305">
        <v>0</v>
      </c>
      <c r="J251" s="305">
        <v>0</v>
      </c>
      <c r="K251" s="305">
        <v>0</v>
      </c>
      <c r="L251" s="305">
        <v>0</v>
      </c>
      <c r="M251" s="305">
        <v>0</v>
      </c>
      <c r="N251" s="305">
        <v>0</v>
      </c>
      <c r="O251" s="305">
        <v>0</v>
      </c>
      <c r="P251" s="305">
        <v>0</v>
      </c>
      <c r="Q251" s="305">
        <v>0</v>
      </c>
      <c r="R251" s="305">
        <v>0</v>
      </c>
      <c r="S251" s="305">
        <v>0</v>
      </c>
      <c r="T251" s="428">
        <v>0</v>
      </c>
      <c r="U251" s="305">
        <v>0</v>
      </c>
      <c r="V251" s="305">
        <v>0</v>
      </c>
      <c r="W251" s="305">
        <v>0</v>
      </c>
      <c r="X251" s="305">
        <v>0</v>
      </c>
      <c r="Y251" s="283"/>
      <c r="Z251" s="305">
        <v>0</v>
      </c>
      <c r="AA251" s="305">
        <v>0</v>
      </c>
      <c r="AB251" s="305">
        <v>0</v>
      </c>
      <c r="AC251" s="305">
        <v>0</v>
      </c>
      <c r="AD251" s="305">
        <v>0</v>
      </c>
      <c r="AE251" s="305">
        <v>0</v>
      </c>
      <c r="AF251" s="282">
        <f t="shared" si="560"/>
        <v>0</v>
      </c>
      <c r="AG251" s="460">
        <f t="shared" si="561"/>
        <v>0</v>
      </c>
      <c r="AH251" s="460">
        <f t="shared" si="561"/>
        <v>0</v>
      </c>
    </row>
    <row r="252" spans="1:34">
      <c r="C252" s="306" t="s">
        <v>562</v>
      </c>
      <c r="E252" s="329">
        <v>4.7899999999999998E-2</v>
      </c>
      <c r="F252" s="329">
        <v>3.4300000000000004E-2</v>
      </c>
      <c r="G252" s="329">
        <v>3.6400000000000002E-2</v>
      </c>
      <c r="H252" s="329">
        <v>3.1300000000000001E-2</v>
      </c>
      <c r="I252" s="329">
        <v>3.5400000000000001E-2</v>
      </c>
      <c r="J252" s="329">
        <v>5.0300000000000004E-2</v>
      </c>
      <c r="K252" s="329">
        <v>3.1300000000000001E-2</v>
      </c>
      <c r="L252" s="329">
        <v>5.1100000000000007E-2</v>
      </c>
      <c r="M252" s="329">
        <v>3.85E-2</v>
      </c>
      <c r="N252" s="329">
        <v>4.07E-2</v>
      </c>
      <c r="O252" s="329">
        <v>3.7599999999999995E-2</v>
      </c>
      <c r="P252" s="329">
        <v>3.85E-2</v>
      </c>
      <c r="Q252" s="329">
        <v>3.7000000000000005E-2</v>
      </c>
      <c r="R252" s="329">
        <v>3.44E-2</v>
      </c>
      <c r="S252" s="329">
        <v>3.3000000000000002E-2</v>
      </c>
      <c r="T252" s="329">
        <v>3.3300000000000003E-2</v>
      </c>
      <c r="U252" s="457">
        <v>3.61E-2</v>
      </c>
      <c r="V252" s="459">
        <f>+U252</f>
        <v>3.61E-2</v>
      </c>
      <c r="W252" s="459">
        <f>+V252</f>
        <v>3.61E-2</v>
      </c>
      <c r="X252" s="459">
        <f>+W252</f>
        <v>3.61E-2</v>
      </c>
      <c r="Y252" s="283"/>
      <c r="Z252" s="329">
        <v>3.9199999999999999E-2</v>
      </c>
      <c r="AA252" s="329">
        <v>4.0099999999999997E-2</v>
      </c>
      <c r="AB252" s="329">
        <v>4.2000000000000003E-2</v>
      </c>
      <c r="AC252" s="329">
        <v>4.2500000000000003E-2</v>
      </c>
      <c r="AD252" s="329">
        <v>3.8800000000000001E-2</v>
      </c>
      <c r="AE252" s="457">
        <v>3.44E-2</v>
      </c>
      <c r="AF252" s="536">
        <f t="shared" si="560"/>
        <v>3.61E-2</v>
      </c>
      <c r="AG252" s="459">
        <f>+AF252</f>
        <v>3.61E-2</v>
      </c>
      <c r="AH252" s="459">
        <f>+AG252</f>
        <v>3.61E-2</v>
      </c>
    </row>
    <row r="253" spans="1:34">
      <c r="C253" s="306" t="s">
        <v>561</v>
      </c>
      <c r="E253" s="329">
        <v>6.9199999999999998E-2</v>
      </c>
      <c r="F253" s="329">
        <v>7.2800000000000004E-2</v>
      </c>
      <c r="G253" s="329">
        <v>8.0600000000000005E-2</v>
      </c>
      <c r="H253" s="329">
        <v>6.8900000000000003E-2</v>
      </c>
      <c r="I253" s="329">
        <v>7.9699999999999993E-2</v>
      </c>
      <c r="J253" s="329">
        <v>7.1900000000000006E-2</v>
      </c>
      <c r="K253" s="329">
        <v>7.0099999999999996E-2</v>
      </c>
      <c r="L253" s="329">
        <v>9.01E-2</v>
      </c>
      <c r="M253" s="329">
        <v>7.2300000000000003E-2</v>
      </c>
      <c r="N253" s="329">
        <v>7.3300000000000004E-2</v>
      </c>
      <c r="O253" s="329">
        <v>7.3499999999999996E-2</v>
      </c>
      <c r="P253" s="329">
        <v>7.7399999999999997E-2</v>
      </c>
      <c r="Q253" s="329">
        <v>7.51E-2</v>
      </c>
      <c r="R253" s="329">
        <v>7.5499999999999998E-2</v>
      </c>
      <c r="S253" s="329">
        <v>7.22E-2</v>
      </c>
      <c r="T253" s="329">
        <v>8.1100000000000005E-2</v>
      </c>
      <c r="U253" s="457">
        <v>0.12039999999999999</v>
      </c>
      <c r="V253" s="459">
        <f t="shared" ref="V253" si="562">+U253</f>
        <v>0.12039999999999999</v>
      </c>
      <c r="W253" s="459">
        <f t="shared" ref="W253" si="563">+V253</f>
        <v>0.12039999999999999</v>
      </c>
      <c r="X253" s="459">
        <f t="shared" ref="X253" si="564">+W253</f>
        <v>0.12039999999999999</v>
      </c>
      <c r="Y253" s="283"/>
      <c r="Z253" s="329">
        <v>7.7800000000000008E-2</v>
      </c>
      <c r="AA253" s="329">
        <v>7.0999999999999994E-2</v>
      </c>
      <c r="AB253" s="329">
        <v>7.1900000000000006E-2</v>
      </c>
      <c r="AC253" s="329">
        <v>7.8600000000000003E-2</v>
      </c>
      <c r="AD253" s="329">
        <v>7.4900000000000008E-2</v>
      </c>
      <c r="AE253" s="457">
        <v>7.5999999999999998E-2</v>
      </c>
      <c r="AF253" s="536">
        <f t="shared" si="560"/>
        <v>0.12039999999999999</v>
      </c>
      <c r="AG253" s="459">
        <f t="shared" si="561"/>
        <v>0.12039999999999999</v>
      </c>
      <c r="AH253" s="459">
        <f t="shared" si="561"/>
        <v>0.12039999999999999</v>
      </c>
    </row>
    <row r="254" spans="1:34">
      <c r="C254" s="306"/>
      <c r="E254" s="305">
        <v>100</v>
      </c>
      <c r="Y254" s="283"/>
      <c r="AE254" s="282"/>
    </row>
    <row r="255" spans="1:34" s="439" customFormat="1">
      <c r="A255" s="283"/>
      <c r="B255" s="306"/>
      <c r="C255" s="458" t="s">
        <v>501</v>
      </c>
      <c r="D255" s="492"/>
      <c r="R255" s="457"/>
      <c r="Y255" s="283"/>
      <c r="AE255" s="456"/>
    </row>
    <row r="256" spans="1:34" s="439" customFormat="1">
      <c r="A256" s="283"/>
      <c r="B256" s="306"/>
      <c r="C256" s="455" t="s">
        <v>444</v>
      </c>
      <c r="D256" s="492"/>
      <c r="E256" s="454">
        <f t="shared" ref="E256:T256" si="565">+E262/(E$249*E250)</f>
        <v>0.94039012335905325</v>
      </c>
      <c r="F256" s="454">
        <f t="shared" si="565"/>
        <v>0.67374222912148241</v>
      </c>
      <c r="G256" s="454">
        <f t="shared" si="565"/>
        <v>0.92246124170006472</v>
      </c>
      <c r="H256" s="454">
        <f t="shared" si="565"/>
        <v>1.3701468705723461</v>
      </c>
      <c r="I256" s="454">
        <f t="shared" si="565"/>
        <v>0.94365582267116432</v>
      </c>
      <c r="J256" s="454">
        <f t="shared" si="565"/>
        <v>0.91727625073549779</v>
      </c>
      <c r="K256" s="454">
        <f t="shared" si="565"/>
        <v>0.93548575438650972</v>
      </c>
      <c r="L256" s="454">
        <f t="shared" si="565"/>
        <v>0.94517778491660631</v>
      </c>
      <c r="M256" s="454">
        <f t="shared" si="565"/>
        <v>0.94930148293407823</v>
      </c>
      <c r="N256" s="454">
        <f t="shared" si="565"/>
        <v>0.95617971080154363</v>
      </c>
      <c r="O256" s="454">
        <f t="shared" si="565"/>
        <v>0.95538841473941816</v>
      </c>
      <c r="P256" s="454">
        <f t="shared" si="565"/>
        <v>0.95668283697277479</v>
      </c>
      <c r="Q256" s="454">
        <f t="shared" si="565"/>
        <v>0.95313988451872467</v>
      </c>
      <c r="R256" s="454">
        <f t="shared" si="565"/>
        <v>0.95500159359683601</v>
      </c>
      <c r="S256" s="454">
        <f t="shared" si="565"/>
        <v>0.91665369968830712</v>
      </c>
      <c r="T256" s="454">
        <f t="shared" si="565"/>
        <v>0.95120013873130993</v>
      </c>
      <c r="U256" s="454">
        <f t="shared" ref="U256" si="566">+U262/(U$249*U250)</f>
        <v>0.94875984308763872</v>
      </c>
      <c r="V256" s="333">
        <f t="shared" ref="V256:V259" si="567">+U256</f>
        <v>0.94875984308763872</v>
      </c>
      <c r="W256" s="333">
        <f t="shared" ref="W256:W259" si="568">+V256</f>
        <v>0.94875984308763872</v>
      </c>
      <c r="X256" s="333">
        <f t="shared" ref="X256:X259" si="569">+W256</f>
        <v>0.94875984308763872</v>
      </c>
      <c r="Y256" s="283"/>
      <c r="Z256" s="454">
        <f t="shared" ref="Z256:AE256" si="570">+Z262/(Z$249*Z250)</f>
        <v>0.96426549539303741</v>
      </c>
      <c r="AA256" s="454">
        <f t="shared" si="570"/>
        <v>0.95793111423327781</v>
      </c>
      <c r="AB256" s="454">
        <f t="shared" si="570"/>
        <v>0.90594391948765818</v>
      </c>
      <c r="AC256" s="454">
        <f t="shared" si="570"/>
        <v>0.93715816334092428</v>
      </c>
      <c r="AD256" s="454">
        <f t="shared" si="570"/>
        <v>0.956799698325704</v>
      </c>
      <c r="AE256" s="454">
        <f t="shared" si="570"/>
        <v>0.95147468889584408</v>
      </c>
      <c r="AF256" s="454">
        <f t="shared" ref="AF256" si="571">+AF262/(AF$249*AF250)</f>
        <v>0.94875984308763872</v>
      </c>
      <c r="AG256" s="333">
        <f t="shared" ref="AG256:AH257" si="572">+AF256</f>
        <v>0.94875984308763872</v>
      </c>
      <c r="AH256" s="333">
        <f t="shared" si="572"/>
        <v>0.94875984308763872</v>
      </c>
    </row>
    <row r="257" spans="1:35" s="439" customFormat="1">
      <c r="A257" s="283"/>
      <c r="B257" s="464"/>
      <c r="C257" s="465" t="s">
        <v>440</v>
      </c>
      <c r="D257" s="487"/>
      <c r="E257" s="456">
        <v>0</v>
      </c>
      <c r="F257" s="456">
        <v>0</v>
      </c>
      <c r="G257" s="456">
        <v>0</v>
      </c>
      <c r="H257" s="456">
        <v>0</v>
      </c>
      <c r="I257" s="456">
        <v>0</v>
      </c>
      <c r="J257" s="456">
        <v>0</v>
      </c>
      <c r="K257" s="456">
        <v>0</v>
      </c>
      <c r="L257" s="456">
        <v>0</v>
      </c>
      <c r="M257" s="456">
        <v>0</v>
      </c>
      <c r="N257" s="456">
        <v>0</v>
      </c>
      <c r="O257" s="456">
        <v>0</v>
      </c>
      <c r="P257" s="456">
        <v>0</v>
      </c>
      <c r="Q257" s="456">
        <v>0</v>
      </c>
      <c r="R257" s="456">
        <v>0</v>
      </c>
      <c r="S257" s="456">
        <v>0</v>
      </c>
      <c r="T257" s="456">
        <v>0</v>
      </c>
      <c r="U257" s="456">
        <v>0</v>
      </c>
      <c r="V257" s="466">
        <f t="shared" si="567"/>
        <v>0</v>
      </c>
      <c r="W257" s="466">
        <f t="shared" si="568"/>
        <v>0</v>
      </c>
      <c r="X257" s="466">
        <f t="shared" si="569"/>
        <v>0</v>
      </c>
      <c r="Y257" s="283"/>
      <c r="Z257" s="456">
        <v>0</v>
      </c>
      <c r="AA257" s="456">
        <v>0</v>
      </c>
      <c r="AB257" s="456">
        <v>0</v>
      </c>
      <c r="AC257" s="456">
        <v>0</v>
      </c>
      <c r="AD257" s="456">
        <v>0</v>
      </c>
      <c r="AE257" s="456">
        <v>0</v>
      </c>
      <c r="AF257" s="456">
        <v>0</v>
      </c>
      <c r="AG257" s="466">
        <f t="shared" si="572"/>
        <v>0</v>
      </c>
      <c r="AH257" s="466">
        <f t="shared" si="572"/>
        <v>0</v>
      </c>
    </row>
    <row r="258" spans="1:35" s="439" customFormat="1">
      <c r="A258" s="283"/>
      <c r="B258" s="306"/>
      <c r="C258" s="455" t="s">
        <v>439</v>
      </c>
      <c r="D258" s="492"/>
      <c r="E258" s="454">
        <f t="shared" ref="E258:T258" si="573">+E264/(E$249*E252)</f>
        <v>0.89980673811103051</v>
      </c>
      <c r="F258" s="454">
        <f t="shared" si="573"/>
        <v>1.0149527920082615</v>
      </c>
      <c r="G258" s="454">
        <f t="shared" si="573"/>
        <v>0.91392306961169245</v>
      </c>
      <c r="H258" s="454">
        <f t="shared" si="573"/>
        <v>0.83751887496582189</v>
      </c>
      <c r="I258" s="454">
        <f t="shared" si="573"/>
        <v>0.87183208759579389</v>
      </c>
      <c r="J258" s="454">
        <f t="shared" si="573"/>
        <v>0.8360438232109858</v>
      </c>
      <c r="K258" s="454">
        <f t="shared" si="573"/>
        <v>0.81957294464363284</v>
      </c>
      <c r="L258" s="454">
        <f t="shared" si="573"/>
        <v>0.85048202566131847</v>
      </c>
      <c r="M258" s="454">
        <f t="shared" si="573"/>
        <v>0.91502586854382528</v>
      </c>
      <c r="N258" s="454">
        <f t="shared" si="573"/>
        <v>0.91886019105033478</v>
      </c>
      <c r="O258" s="454">
        <f t="shared" si="573"/>
        <v>0.87444682783543026</v>
      </c>
      <c r="P258" s="454">
        <f t="shared" si="573"/>
        <v>0.92146904743465374</v>
      </c>
      <c r="Q258" s="454">
        <f t="shared" si="573"/>
        <v>0.91778077740999131</v>
      </c>
      <c r="R258" s="454">
        <f t="shared" si="573"/>
        <v>0.91713526013778268</v>
      </c>
      <c r="S258" s="454">
        <f t="shared" si="573"/>
        <v>0.89831806502521205</v>
      </c>
      <c r="T258" s="454">
        <f t="shared" si="573"/>
        <v>0.86081811989149326</v>
      </c>
      <c r="U258" s="454">
        <f t="shared" ref="U258" si="574">+U264/(U$249*U252)</f>
        <v>0.87388147536996064</v>
      </c>
      <c r="V258" s="333">
        <f>+U258</f>
        <v>0.87388147536996064</v>
      </c>
      <c r="W258" s="333">
        <f>+V258</f>
        <v>0.87388147536996064</v>
      </c>
      <c r="X258" s="333">
        <f>+W258</f>
        <v>0.87388147536996064</v>
      </c>
      <c r="Y258" s="283"/>
      <c r="Z258" s="454">
        <f t="shared" ref="Z258:AE259" si="575">+Z264/(Z$249*Z252)</f>
        <v>0.93637965607340345</v>
      </c>
      <c r="AA258" s="454">
        <f t="shared" si="575"/>
        <v>0.90274610428029312</v>
      </c>
      <c r="AB258" s="454">
        <f t="shared" si="575"/>
        <v>0.92575016025244217</v>
      </c>
      <c r="AC258" s="454">
        <f t="shared" si="575"/>
        <v>0.84570865707688547</v>
      </c>
      <c r="AD258" s="454">
        <f t="shared" si="575"/>
        <v>0.90576083449882805</v>
      </c>
      <c r="AE258" s="454">
        <f t="shared" si="575"/>
        <v>0.90044498186320077</v>
      </c>
      <c r="AF258" s="454">
        <f t="shared" ref="AF258" si="576">+AF264/(AF$249*AF252)</f>
        <v>0.87388147536996053</v>
      </c>
      <c r="AG258" s="333">
        <f>+AF258</f>
        <v>0.87388147536996053</v>
      </c>
      <c r="AH258" s="333">
        <f>+AG258</f>
        <v>0.87388147536996053</v>
      </c>
    </row>
    <row r="259" spans="1:35" s="439" customFormat="1">
      <c r="A259" s="283"/>
      <c r="B259" s="306"/>
      <c r="C259" s="455" t="s">
        <v>441</v>
      </c>
      <c r="D259" s="492"/>
      <c r="E259" s="454">
        <f t="shared" ref="E259:T259" si="577">+E265/(E$249*E253)</f>
        <v>0.91612359384098885</v>
      </c>
      <c r="F259" s="454">
        <f t="shared" si="577"/>
        <v>0.86474303184485934</v>
      </c>
      <c r="G259" s="454">
        <f t="shared" si="577"/>
        <v>0.87500763567983963</v>
      </c>
      <c r="H259" s="454">
        <f t="shared" si="577"/>
        <v>1.0742665053774874</v>
      </c>
      <c r="I259" s="454">
        <f t="shared" si="577"/>
        <v>0.91082703367360274</v>
      </c>
      <c r="J259" s="454">
        <f t="shared" si="577"/>
        <v>0.90067741705212845</v>
      </c>
      <c r="K259" s="454">
        <f t="shared" si="577"/>
        <v>0.91378222535354992</v>
      </c>
      <c r="L259" s="454">
        <f t="shared" si="577"/>
        <v>0.92393582803706387</v>
      </c>
      <c r="M259" s="454">
        <f t="shared" si="577"/>
        <v>0.94067176416018916</v>
      </c>
      <c r="N259" s="454">
        <f t="shared" si="577"/>
        <v>0.94284589116737205</v>
      </c>
      <c r="O259" s="454">
        <f t="shared" si="577"/>
        <v>0.94929161492026426</v>
      </c>
      <c r="P259" s="454">
        <f t="shared" si="577"/>
        <v>0.95196489247497773</v>
      </c>
      <c r="Q259" s="454">
        <f t="shared" si="577"/>
        <v>0.94934129264577016</v>
      </c>
      <c r="R259" s="454">
        <f t="shared" si="577"/>
        <v>0.94997550756534288</v>
      </c>
      <c r="S259" s="454">
        <f t="shared" si="577"/>
        <v>0.94068873429542899</v>
      </c>
      <c r="T259" s="454">
        <f t="shared" si="577"/>
        <v>0.94383094406786405</v>
      </c>
      <c r="U259" s="454">
        <f t="shared" ref="U259" si="578">+U265/(U$249*U253)</f>
        <v>0.63901928705537148</v>
      </c>
      <c r="V259" s="333">
        <f t="shared" si="567"/>
        <v>0.63901928705537148</v>
      </c>
      <c r="W259" s="333">
        <f t="shared" si="568"/>
        <v>0.63901928705537148</v>
      </c>
      <c r="X259" s="333">
        <f t="shared" si="569"/>
        <v>0.63901928705537148</v>
      </c>
      <c r="Y259" s="283"/>
      <c r="Z259" s="454">
        <f t="shared" si="575"/>
        <v>0.95680993374804135</v>
      </c>
      <c r="AA259" s="454">
        <f t="shared" si="575"/>
        <v>0.94344169602017791</v>
      </c>
      <c r="AB259" s="454">
        <f t="shared" si="575"/>
        <v>0.90878622720410984</v>
      </c>
      <c r="AC259" s="454">
        <f t="shared" si="575"/>
        <v>0.91323333940818474</v>
      </c>
      <c r="AD259" s="454">
        <f t="shared" si="575"/>
        <v>0.94817136060288165</v>
      </c>
      <c r="AE259" s="454">
        <f t="shared" si="575"/>
        <v>0.94592669744720403</v>
      </c>
      <c r="AF259" s="454">
        <f t="shared" ref="AF259" si="579">+AF265/(AF$249*AF253)</f>
        <v>0.63901928705537137</v>
      </c>
      <c r="AG259" s="333">
        <f>+AF259</f>
        <v>0.63901928705537137</v>
      </c>
      <c r="AH259" s="333">
        <f>+AG259</f>
        <v>0.63901928705537137</v>
      </c>
    </row>
    <row r="260" spans="1:35">
      <c r="Q260" s="453"/>
      <c r="R260" s="453"/>
      <c r="Y260" s="283"/>
      <c r="AE260" s="282"/>
    </row>
    <row r="261" spans="1:35">
      <c r="C261" s="414" t="s">
        <v>499</v>
      </c>
      <c r="Y261" s="283"/>
    </row>
    <row r="262" spans="1:35">
      <c r="C262" s="402" t="s">
        <v>460</v>
      </c>
      <c r="E262" s="305">
        <v>99.78</v>
      </c>
      <c r="F262" s="305">
        <v>24.687000000000001</v>
      </c>
      <c r="G262" s="305">
        <v>31.638999999999999</v>
      </c>
      <c r="H262" s="305">
        <v>13.026</v>
      </c>
      <c r="I262" s="305">
        <v>173.62700000000001</v>
      </c>
      <c r="J262" s="305">
        <v>127.14700000000001</v>
      </c>
      <c r="K262" s="305">
        <v>115.682</v>
      </c>
      <c r="L262" s="305">
        <v>216.488</v>
      </c>
      <c r="M262" s="305">
        <v>95.748000000000005</v>
      </c>
      <c r="N262" s="305">
        <v>469.53699999999998</v>
      </c>
      <c r="O262" s="305">
        <v>636.38900000000001</v>
      </c>
      <c r="P262" s="305">
        <v>830.2</v>
      </c>
      <c r="Q262" s="305">
        <v>863.90099999999995</v>
      </c>
      <c r="R262" s="305">
        <v>913.29399999999998</v>
      </c>
      <c r="S262" s="305">
        <v>831.80199999999957</v>
      </c>
      <c r="T262" s="305">
        <v>955.40099999999995</v>
      </c>
      <c r="U262" s="305">
        <v>887.85799999999995</v>
      </c>
      <c r="V262" s="282">
        <f t="shared" ref="V262" si="580">($AF262-$U262)*R262/SUM($R262:$T262)</f>
        <v>1204.6978447848676</v>
      </c>
      <c r="W262" s="282">
        <f t="shared" ref="W262" si="581">($AF262-$U262)*S262/SUM($R262:$T262)</f>
        <v>1097.2042701339788</v>
      </c>
      <c r="X262" s="282">
        <f t="shared" ref="X262" si="582">($AF262-$U262)*T262/SUM($R262:$T262)</f>
        <v>1260.2398850811537</v>
      </c>
      <c r="Y262" s="283"/>
      <c r="Z262" s="305">
        <v>3596.01</v>
      </c>
      <c r="AA262" s="305">
        <v>838.65800000000002</v>
      </c>
      <c r="AB262" s="305">
        <v>169.041</v>
      </c>
      <c r="AC262" s="282">
        <f t="shared" ref="AC262:AE262" si="583">SUMIF($E$5:$X$5,AC$5,$E262:$X262)</f>
        <v>632.94399999999996</v>
      </c>
      <c r="AD262" s="282">
        <f t="shared" si="583"/>
        <v>2031.874</v>
      </c>
      <c r="AE262" s="282">
        <f t="shared" si="583"/>
        <v>3564.3979999999992</v>
      </c>
      <c r="AF262" s="377">
        <f>AVERAGE(4300,4600)</f>
        <v>4450</v>
      </c>
      <c r="AG262" s="282">
        <f>+AG$127*($AF262/$AF$127)</f>
        <v>4717.1711389689217</v>
      </c>
      <c r="AH262" s="282">
        <f>+AH$127*($AF262/$AF$127)</f>
        <v>4986.7237754814314</v>
      </c>
      <c r="AI262" s="329"/>
    </row>
    <row r="263" spans="1:35">
      <c r="C263" s="402" t="s">
        <v>461</v>
      </c>
      <c r="E263" s="305">
        <v>0</v>
      </c>
      <c r="F263" s="305">
        <v>0</v>
      </c>
      <c r="G263" s="305">
        <v>0</v>
      </c>
      <c r="H263" s="305">
        <v>0</v>
      </c>
      <c r="I263" s="305">
        <v>0</v>
      </c>
      <c r="J263" s="305">
        <v>0</v>
      </c>
      <c r="K263" s="305">
        <v>0</v>
      </c>
      <c r="L263" s="305">
        <v>0</v>
      </c>
      <c r="M263" s="305">
        <v>0</v>
      </c>
      <c r="N263" s="305">
        <v>0</v>
      </c>
      <c r="O263" s="305">
        <v>0</v>
      </c>
      <c r="P263" s="305">
        <v>0</v>
      </c>
      <c r="Q263" s="305">
        <v>0</v>
      </c>
      <c r="R263" s="305">
        <v>0</v>
      </c>
      <c r="S263" s="305">
        <v>0</v>
      </c>
      <c r="T263" s="305">
        <v>0</v>
      </c>
      <c r="U263" s="305">
        <v>0</v>
      </c>
      <c r="V263" s="305">
        <v>0</v>
      </c>
      <c r="W263" s="305">
        <v>0</v>
      </c>
      <c r="X263" s="305">
        <v>0</v>
      </c>
      <c r="Y263" s="283"/>
      <c r="Z263" s="305">
        <v>0</v>
      </c>
      <c r="AA263" s="305">
        <v>0</v>
      </c>
      <c r="AB263" s="305">
        <v>0</v>
      </c>
      <c r="AC263" s="305">
        <v>0</v>
      </c>
      <c r="AD263" s="305">
        <v>0</v>
      </c>
      <c r="AE263" s="305">
        <v>0</v>
      </c>
      <c r="AF263" s="305">
        <v>0</v>
      </c>
      <c r="AG263" s="282">
        <f>+AG$127*($AF263/$AF$127)</f>
        <v>0</v>
      </c>
      <c r="AH263" s="282">
        <f>+AH$127*($AF263/$AF$127)</f>
        <v>0</v>
      </c>
      <c r="AI263" s="329"/>
    </row>
    <row r="264" spans="1:35">
      <c r="C264" s="402" t="s">
        <v>462</v>
      </c>
      <c r="E264" s="305">
        <v>0.41199999999999998</v>
      </c>
      <c r="F264" s="305">
        <v>0.12</v>
      </c>
      <c r="G264" s="305">
        <v>0.1</v>
      </c>
      <c r="H264" s="305">
        <v>3.4000000000000002E-2</v>
      </c>
      <c r="I264" s="305">
        <v>0.42599999999999999</v>
      </c>
      <c r="J264" s="305">
        <v>0.57599999999999996</v>
      </c>
      <c r="K264" s="305">
        <v>0.34</v>
      </c>
      <c r="L264" s="305">
        <v>0.71</v>
      </c>
      <c r="M264" s="305">
        <v>0.36</v>
      </c>
      <c r="N264" s="305">
        <v>1.671</v>
      </c>
      <c r="O264" s="305">
        <v>1.81</v>
      </c>
      <c r="P264" s="305">
        <v>2.4569999999999999</v>
      </c>
      <c r="Q264" s="305">
        <v>2.7530000000000001</v>
      </c>
      <c r="R264" s="305">
        <v>2.601</v>
      </c>
      <c r="S264" s="305">
        <v>2.319</v>
      </c>
      <c r="T264" s="305">
        <v>2.2959999999999998</v>
      </c>
      <c r="U264" s="305">
        <v>2.452</v>
      </c>
      <c r="V264" s="282">
        <f t="shared" ref="V264:X265" si="584">+V$249*V252*V258</f>
        <v>3.3270175134002224</v>
      </c>
      <c r="W264" s="282">
        <f t="shared" si="584"/>
        <v>3.030152198176415</v>
      </c>
      <c r="X264" s="282">
        <f t="shared" si="584"/>
        <v>3.4804081263208628</v>
      </c>
      <c r="Y264" s="283"/>
      <c r="Z264" s="305">
        <v>10.787000000000001</v>
      </c>
      <c r="AA264" s="305">
        <v>2.56</v>
      </c>
      <c r="AB264" s="305">
        <v>0.67300000000000004</v>
      </c>
      <c r="AC264" s="282">
        <f t="shared" ref="AC264:AF265" si="585">SUMIF($E$5:$X$5,AC$5,$E264:$X264)</f>
        <v>2.052</v>
      </c>
      <c r="AD264" s="282">
        <f t="shared" si="585"/>
        <v>6.298</v>
      </c>
      <c r="AE264" s="282">
        <f t="shared" si="585"/>
        <v>9.9689999999999994</v>
      </c>
      <c r="AF264" s="282">
        <f t="shared" si="585"/>
        <v>12.2895778378975</v>
      </c>
      <c r="AG264" s="282">
        <f t="shared" ref="AG264:AH265" si="586">+AG$249*AG252*AG258</f>
        <v>13.027425143155542</v>
      </c>
      <c r="AH264" s="282">
        <f t="shared" si="586"/>
        <v>13.771849437050145</v>
      </c>
      <c r="AI264" s="329"/>
    </row>
    <row r="265" spans="1:35">
      <c r="C265" s="402" t="s">
        <v>463</v>
      </c>
      <c r="E265" s="305">
        <v>0.60599999999999998</v>
      </c>
      <c r="F265" s="305">
        <v>0.217</v>
      </c>
      <c r="G265" s="305">
        <v>0.21199999999999999</v>
      </c>
      <c r="H265" s="305">
        <v>9.6000000000000002E-2</v>
      </c>
      <c r="I265" s="305">
        <v>1.002</v>
      </c>
      <c r="J265" s="305">
        <v>0.88700000000000001</v>
      </c>
      <c r="K265" s="305">
        <v>0.84899999999999998</v>
      </c>
      <c r="L265" s="305">
        <v>1.36</v>
      </c>
      <c r="M265" s="305">
        <v>0.69499999999999995</v>
      </c>
      <c r="N265" s="305">
        <v>3.0880000000000001</v>
      </c>
      <c r="O265" s="305">
        <v>3.8410000000000002</v>
      </c>
      <c r="P265" s="305">
        <v>5.1029999999999998</v>
      </c>
      <c r="Q265" s="305">
        <v>5.78</v>
      </c>
      <c r="R265" s="305">
        <v>5.9130000000000003</v>
      </c>
      <c r="S265" s="305">
        <v>5.3129999999999997</v>
      </c>
      <c r="T265" s="305">
        <v>6.1310000000000002</v>
      </c>
      <c r="U265" s="305">
        <v>5.98</v>
      </c>
      <c r="V265" s="282">
        <f t="shared" si="584"/>
        <v>8.1140149796628602</v>
      </c>
      <c r="W265" s="282">
        <f t="shared" si="584"/>
        <v>7.3900122940844062</v>
      </c>
      <c r="X265" s="282">
        <f t="shared" si="584"/>
        <v>8.4881079100321219</v>
      </c>
      <c r="Y265" s="283"/>
      <c r="Z265" s="305">
        <v>21.876000000000001</v>
      </c>
      <c r="AA265" s="305">
        <v>4.7370000000000001</v>
      </c>
      <c r="AB265" s="305">
        <v>1.131</v>
      </c>
      <c r="AC265" s="282">
        <f t="shared" si="585"/>
        <v>4.0979999999999999</v>
      </c>
      <c r="AD265" s="282">
        <f t="shared" si="585"/>
        <v>12.727</v>
      </c>
      <c r="AE265" s="282">
        <f t="shared" si="585"/>
        <v>23.137</v>
      </c>
      <c r="AF265" s="282">
        <f t="shared" si="585"/>
        <v>29.972135183779386</v>
      </c>
      <c r="AG265" s="282">
        <f t="shared" si="586"/>
        <v>31.771615969033501</v>
      </c>
      <c r="AH265" s="282">
        <f t="shared" si="586"/>
        <v>33.587136881549704</v>
      </c>
      <c r="AI265" s="329"/>
    </row>
    <row r="266" spans="1:35">
      <c r="C266" s="416" t="s">
        <v>464</v>
      </c>
      <c r="E266" s="382">
        <f t="shared" ref="E266:X266" si="587">SUM(E262:E265)</f>
        <v>100.798</v>
      </c>
      <c r="F266" s="382">
        <f t="shared" si="587"/>
        <v>25.024000000000001</v>
      </c>
      <c r="G266" s="382">
        <f t="shared" si="587"/>
        <v>31.951000000000001</v>
      </c>
      <c r="H266" s="382">
        <f t="shared" si="587"/>
        <v>13.156000000000001</v>
      </c>
      <c r="I266" s="382">
        <f t="shared" si="587"/>
        <v>175.05500000000001</v>
      </c>
      <c r="J266" s="382">
        <f t="shared" si="587"/>
        <v>128.60999999999999</v>
      </c>
      <c r="K266" s="382">
        <f t="shared" si="587"/>
        <v>116.87100000000001</v>
      </c>
      <c r="L266" s="382">
        <f t="shared" si="587"/>
        <v>218.55800000000002</v>
      </c>
      <c r="M266" s="382">
        <f t="shared" si="587"/>
        <v>96.802999999999997</v>
      </c>
      <c r="N266" s="382">
        <f t="shared" si="587"/>
        <v>474.29599999999999</v>
      </c>
      <c r="O266" s="382">
        <f t="shared" si="587"/>
        <v>642.04</v>
      </c>
      <c r="P266" s="382">
        <f t="shared" si="587"/>
        <v>837.76</v>
      </c>
      <c r="Q266" s="382">
        <f t="shared" si="587"/>
        <v>872.43399999999997</v>
      </c>
      <c r="R266" s="769">
        <f t="shared" si="587"/>
        <v>921.80799999999999</v>
      </c>
      <c r="S266" s="382">
        <f t="shared" si="587"/>
        <v>839.43399999999951</v>
      </c>
      <c r="T266" s="382">
        <f t="shared" si="587"/>
        <v>963.82799999999997</v>
      </c>
      <c r="U266" s="382">
        <f t="shared" si="587"/>
        <v>896.29</v>
      </c>
      <c r="V266" s="382">
        <f t="shared" si="587"/>
        <v>1216.1388772779308</v>
      </c>
      <c r="W266" s="382">
        <f t="shared" si="587"/>
        <v>1107.6244346262397</v>
      </c>
      <c r="X266" s="382">
        <f t="shared" si="587"/>
        <v>1272.2084011175066</v>
      </c>
      <c r="Y266" s="283"/>
      <c r="Z266" s="382">
        <f t="shared" ref="Z266:AH266" si="588">SUM(Z262:Z265)</f>
        <v>3628.6730000000002</v>
      </c>
      <c r="AA266" s="382">
        <f t="shared" si="588"/>
        <v>845.95499999999993</v>
      </c>
      <c r="AB266" s="382">
        <f t="shared" si="588"/>
        <v>170.845</v>
      </c>
      <c r="AC266" s="382">
        <f t="shared" si="588"/>
        <v>639.09399999999994</v>
      </c>
      <c r="AD266" s="382">
        <f t="shared" si="588"/>
        <v>2050.8989999999999</v>
      </c>
      <c r="AE266" s="382">
        <f t="shared" si="588"/>
        <v>3597.5039999999995</v>
      </c>
      <c r="AF266" s="382">
        <f t="shared" si="588"/>
        <v>4492.2617130216777</v>
      </c>
      <c r="AG266" s="382">
        <f t="shared" si="588"/>
        <v>4761.9701800811108</v>
      </c>
      <c r="AH266" s="382">
        <f t="shared" si="588"/>
        <v>5034.0827618000312</v>
      </c>
      <c r="AI266" s="329"/>
    </row>
    <row r="267" spans="1:35">
      <c r="C267" s="415"/>
      <c r="Y267" s="283"/>
      <c r="AC267" s="282"/>
      <c r="AD267" s="282"/>
      <c r="AE267" s="282"/>
    </row>
    <row r="268" spans="1:35">
      <c r="C268" s="414" t="s">
        <v>500</v>
      </c>
      <c r="Y268" s="283"/>
      <c r="AC268" s="282"/>
      <c r="AD268" s="282"/>
      <c r="AE268" s="282"/>
    </row>
    <row r="269" spans="1:35">
      <c r="C269" s="402" t="s">
        <v>460</v>
      </c>
      <c r="D269" s="375">
        <v>1</v>
      </c>
      <c r="E269" s="305">
        <v>155.74299999999999</v>
      </c>
      <c r="F269" s="305">
        <v>77.125</v>
      </c>
      <c r="G269" s="305">
        <v>0</v>
      </c>
      <c r="H269" s="282">
        <f>SUMIF($Z$6:$AG$6,H$6,$Z269:$AG269)-SUM(E269:G269)</f>
        <v>42.600999999999999</v>
      </c>
      <c r="I269" s="305">
        <v>86.844999999999999</v>
      </c>
      <c r="J269" s="305">
        <v>177.26599999999999</v>
      </c>
      <c r="K269" s="305">
        <v>107.992</v>
      </c>
      <c r="L269" s="282">
        <f>SUMIF($Z$6:$AG$6,L$6,$Z269:$AG269)-SUM(I269:K269)</f>
        <v>144.97099999999995</v>
      </c>
      <c r="M269" s="305">
        <v>101.102</v>
      </c>
      <c r="N269" s="305">
        <v>424.34800000000001</v>
      </c>
      <c r="O269" s="305">
        <v>585.11900000000003</v>
      </c>
      <c r="P269" s="282">
        <f>SUMIF($Z$6:$AG$6,P$6,$Z269:$AG269)-SUM(M269:O269)</f>
        <v>756.31400000000008</v>
      </c>
      <c r="Q269" s="305">
        <v>763.82299999999998</v>
      </c>
      <c r="R269" s="305">
        <v>934.25800000000004</v>
      </c>
      <c r="S269" s="305">
        <v>783.67200000000003</v>
      </c>
      <c r="T269" s="282">
        <f>SUMIF($Z$6:$AG$6,T$6,$Z269:$AG269)-SUM(Q269:S269)</f>
        <v>806.50799999999981</v>
      </c>
      <c r="U269" s="305">
        <v>899.45399999999995</v>
      </c>
      <c r="V269" s="282">
        <f>$D269*V262</f>
        <v>1204.6978447848676</v>
      </c>
      <c r="W269" s="282">
        <f>$D269*W262</f>
        <v>1097.2042701339788</v>
      </c>
      <c r="X269" s="282">
        <f>$D269*X262</f>
        <v>1260.2398850811537</v>
      </c>
      <c r="Y269" s="285"/>
      <c r="Z269" s="305">
        <v>3433.6179999999999</v>
      </c>
      <c r="AA269" s="305">
        <v>672.42100000000005</v>
      </c>
      <c r="AB269" s="305">
        <v>275.46899999999999</v>
      </c>
      <c r="AC269" s="305">
        <v>517.07399999999996</v>
      </c>
      <c r="AD269" s="305">
        <v>1866.883</v>
      </c>
      <c r="AE269" s="305">
        <v>3288.261</v>
      </c>
      <c r="AF269" s="282">
        <f t="shared" ref="AF269:AF272" si="589">SUMIF($E$5:$X$5,AF$5,$E269:$X269)</f>
        <v>4461.5959999999995</v>
      </c>
      <c r="AG269" s="282">
        <f>$D269*AG262</f>
        <v>4717.1711389689217</v>
      </c>
      <c r="AH269" s="282">
        <f>$D269*AH262</f>
        <v>4986.7237754814314</v>
      </c>
      <c r="AI269" s="329"/>
    </row>
    <row r="270" spans="1:35">
      <c r="C270" s="402" t="s">
        <v>461</v>
      </c>
      <c r="D270" s="375">
        <v>1</v>
      </c>
      <c r="E270" s="305">
        <v>0</v>
      </c>
      <c r="F270" s="305">
        <v>0</v>
      </c>
      <c r="G270" s="305">
        <v>0</v>
      </c>
      <c r="H270" s="282">
        <v>0</v>
      </c>
      <c r="I270" s="305">
        <v>0</v>
      </c>
      <c r="J270" s="305">
        <v>0</v>
      </c>
      <c r="K270" s="305">
        <v>0</v>
      </c>
      <c r="L270" s="282">
        <v>0</v>
      </c>
      <c r="M270" s="305">
        <v>0</v>
      </c>
      <c r="N270" s="305">
        <v>0</v>
      </c>
      <c r="O270" s="305">
        <v>0</v>
      </c>
      <c r="P270" s="282">
        <v>0</v>
      </c>
      <c r="Q270" s="305">
        <v>0</v>
      </c>
      <c r="R270" s="305">
        <v>0</v>
      </c>
      <c r="S270" s="305">
        <v>0</v>
      </c>
      <c r="T270" s="282">
        <v>0</v>
      </c>
      <c r="U270" s="305">
        <v>0</v>
      </c>
      <c r="V270" s="282">
        <v>0</v>
      </c>
      <c r="W270" s="282">
        <v>0</v>
      </c>
      <c r="X270" s="282">
        <v>0</v>
      </c>
      <c r="Y270" s="285"/>
      <c r="Z270" s="305">
        <v>0</v>
      </c>
      <c r="AA270" s="305">
        <v>0</v>
      </c>
      <c r="AB270" s="305">
        <v>0</v>
      </c>
      <c r="AC270" s="305">
        <v>0</v>
      </c>
      <c r="AD270" s="305">
        <v>0</v>
      </c>
      <c r="AE270" s="305">
        <v>0</v>
      </c>
      <c r="AF270" s="282">
        <f t="shared" si="589"/>
        <v>0</v>
      </c>
      <c r="AG270" s="282">
        <v>0</v>
      </c>
      <c r="AH270" s="282">
        <v>0</v>
      </c>
      <c r="AI270" s="329"/>
    </row>
    <row r="271" spans="1:35">
      <c r="C271" s="402" t="s">
        <v>462</v>
      </c>
      <c r="D271" s="375">
        <v>1</v>
      </c>
      <c r="E271" s="305">
        <v>0.312</v>
      </c>
      <c r="F271" s="305">
        <v>0.52700000000000002</v>
      </c>
      <c r="G271" s="305">
        <v>0</v>
      </c>
      <c r="H271" s="282">
        <f>SUMIF($Z$6:$AG$6,H$6,$Z271:$AG271)-SUM(E271:G271)</f>
        <v>9.6000000000000085E-2</v>
      </c>
      <c r="I271" s="305">
        <v>0</v>
      </c>
      <c r="J271" s="305">
        <v>0.36099999999999999</v>
      </c>
      <c r="K271" s="305">
        <v>0.66</v>
      </c>
      <c r="L271" s="282">
        <f>SUMIF($Z$6:$AG$6,L$6,$Z271:$AG271)-SUM(I271:K271)</f>
        <v>0.51100000000000012</v>
      </c>
      <c r="M271" s="305">
        <v>0.184</v>
      </c>
      <c r="N271" s="305">
        <v>1.339</v>
      </c>
      <c r="O271" s="305">
        <v>1.226</v>
      </c>
      <c r="P271" s="282">
        <f>SUMIF($Z$6:$AG$6,P$6,$Z271:$AG271)-SUM(M271:O271)</f>
        <v>1.7680000000000007</v>
      </c>
      <c r="Q271" s="305">
        <v>1.93</v>
      </c>
      <c r="R271" s="305">
        <v>1.929</v>
      </c>
      <c r="S271" s="305">
        <v>1.702</v>
      </c>
      <c r="T271" s="282">
        <f>SUMIF($Z$6:$AG$6,T$6,$Z271:$AG271)-SUM(Q271:S271)</f>
        <v>1.4850000000000003</v>
      </c>
      <c r="U271" s="305">
        <v>1.855</v>
      </c>
      <c r="V271" s="282">
        <f t="shared" ref="V271:X271" si="590">$D271*V264</f>
        <v>3.3270175134002224</v>
      </c>
      <c r="W271" s="282">
        <f t="shared" si="590"/>
        <v>3.030152198176415</v>
      </c>
      <c r="X271" s="282">
        <f t="shared" si="590"/>
        <v>3.4804081263208628</v>
      </c>
      <c r="Y271" s="285"/>
      <c r="Z271" s="305">
        <v>8.9849999999999994</v>
      </c>
      <c r="AA271" s="305">
        <v>1.6879999999999999</v>
      </c>
      <c r="AB271" s="305">
        <v>0.93500000000000005</v>
      </c>
      <c r="AC271" s="305">
        <v>1.532</v>
      </c>
      <c r="AD271" s="305">
        <v>4.5170000000000003</v>
      </c>
      <c r="AE271" s="305">
        <v>7.0460000000000003</v>
      </c>
      <c r="AF271" s="282">
        <f t="shared" si="589"/>
        <v>11.692577837897499</v>
      </c>
      <c r="AG271" s="282">
        <f t="shared" ref="AG271:AH271" si="591">$D271*AG264</f>
        <v>13.027425143155542</v>
      </c>
      <c r="AH271" s="282">
        <f t="shared" si="591"/>
        <v>13.771849437050145</v>
      </c>
      <c r="AI271" s="329"/>
    </row>
    <row r="272" spans="1:35">
      <c r="B272" s="402"/>
      <c r="C272" s="402" t="s">
        <v>463</v>
      </c>
      <c r="D272" s="375">
        <v>1</v>
      </c>
      <c r="E272" s="305">
        <v>0.94399999999999995</v>
      </c>
      <c r="F272" s="305">
        <v>0.48599999999999999</v>
      </c>
      <c r="G272" s="305">
        <v>0</v>
      </c>
      <c r="H272" s="282">
        <f>SUMIF($Z$6:$AG$6,H$6,$Z272:$AG272)-SUM(E272:G272)</f>
        <v>0.29300000000000015</v>
      </c>
      <c r="I272" s="305">
        <v>0.504</v>
      </c>
      <c r="J272" s="305">
        <v>1.153</v>
      </c>
      <c r="K272" s="305">
        <v>0.77100000000000002</v>
      </c>
      <c r="L272" s="282">
        <f>SUMIF($Z$6:$AG$6,L$6,$Z272:$AG272)-SUM(I272:K272)</f>
        <v>0.90399999999999991</v>
      </c>
      <c r="M272" s="305">
        <v>0.67</v>
      </c>
      <c r="N272" s="305">
        <v>2.7930000000000001</v>
      </c>
      <c r="O272" s="305">
        <v>3.5790000000000002</v>
      </c>
      <c r="P272" s="282">
        <f>SUMIF($Z$6:$AG$6,P$6,$Z272:$AG272)-SUM(M272:O272)</f>
        <v>4.6500000000000004</v>
      </c>
      <c r="Q272" s="305">
        <v>5.0229999999999997</v>
      </c>
      <c r="R272" s="305">
        <v>6.0449999999999999</v>
      </c>
      <c r="S272" s="305">
        <v>5.0010000000000003</v>
      </c>
      <c r="T272" s="282">
        <f>SUMIF($Z$6:$AG$6,T$6,$Z272:$AG272)-SUM(Q272:S272)</f>
        <v>5.1490000000000009</v>
      </c>
      <c r="U272" s="305">
        <v>5.9909999999999997</v>
      </c>
      <c r="V272" s="282">
        <f t="shared" ref="V272:X272" si="592">$D272*V265</f>
        <v>8.1140149796628602</v>
      </c>
      <c r="W272" s="282">
        <f t="shared" si="592"/>
        <v>7.3900122940844062</v>
      </c>
      <c r="X272" s="282">
        <f t="shared" si="592"/>
        <v>8.4881079100321219</v>
      </c>
      <c r="Y272" s="285"/>
      <c r="Z272" s="305">
        <v>20.724</v>
      </c>
      <c r="AA272" s="305">
        <v>3.7789999999999999</v>
      </c>
      <c r="AB272" s="305">
        <v>1.7230000000000001</v>
      </c>
      <c r="AC272" s="305">
        <v>3.3319999999999999</v>
      </c>
      <c r="AD272" s="305">
        <v>11.692</v>
      </c>
      <c r="AE272" s="305">
        <v>21.218</v>
      </c>
      <c r="AF272" s="282">
        <f t="shared" si="589"/>
        <v>29.983135183779389</v>
      </c>
      <c r="AG272" s="282">
        <f t="shared" ref="AG272:AH272" si="593">$D272*AG265</f>
        <v>31.771615969033501</v>
      </c>
      <c r="AH272" s="282">
        <f t="shared" si="593"/>
        <v>33.587136881549704</v>
      </c>
      <c r="AI272" s="329"/>
    </row>
    <row r="273" spans="1:35">
      <c r="C273" s="416" t="s">
        <v>465</v>
      </c>
      <c r="E273" s="382">
        <f t="shared" ref="E273:S273" si="594">SUM(E269:E272)</f>
        <v>156.999</v>
      </c>
      <c r="F273" s="382">
        <f t="shared" si="594"/>
        <v>78.138000000000005</v>
      </c>
      <c r="G273" s="382">
        <f t="shared" si="594"/>
        <v>0</v>
      </c>
      <c r="H273" s="382">
        <f t="shared" si="594"/>
        <v>42.99</v>
      </c>
      <c r="I273" s="382">
        <f t="shared" si="594"/>
        <v>87.349000000000004</v>
      </c>
      <c r="J273" s="382">
        <f t="shared" si="594"/>
        <v>178.77999999999997</v>
      </c>
      <c r="K273" s="382">
        <f t="shared" si="594"/>
        <v>109.423</v>
      </c>
      <c r="L273" s="382">
        <f t="shared" si="594"/>
        <v>146.38599999999994</v>
      </c>
      <c r="M273" s="382">
        <f t="shared" si="594"/>
        <v>101.956</v>
      </c>
      <c r="N273" s="382">
        <f t="shared" si="594"/>
        <v>428.48</v>
      </c>
      <c r="O273" s="382">
        <f t="shared" si="594"/>
        <v>589.92399999999998</v>
      </c>
      <c r="P273" s="382">
        <f t="shared" si="594"/>
        <v>762.73200000000008</v>
      </c>
      <c r="Q273" s="382">
        <f t="shared" si="594"/>
        <v>770.77599999999995</v>
      </c>
      <c r="R273" s="769">
        <f t="shared" si="594"/>
        <v>942.23199999999997</v>
      </c>
      <c r="S273" s="382">
        <f t="shared" si="594"/>
        <v>790.375</v>
      </c>
      <c r="T273" s="382">
        <f t="shared" ref="T273" si="595">SUM(T269:T272)</f>
        <v>813.14199999999983</v>
      </c>
      <c r="U273" s="382">
        <f t="shared" ref="U273:X273" si="596">SUM(U269:U272)</f>
        <v>907.3</v>
      </c>
      <c r="V273" s="382">
        <f t="shared" si="596"/>
        <v>1216.1388772779308</v>
      </c>
      <c r="W273" s="382">
        <f t="shared" si="596"/>
        <v>1107.6244346262397</v>
      </c>
      <c r="X273" s="382">
        <f t="shared" si="596"/>
        <v>1272.2084011175066</v>
      </c>
      <c r="Y273" s="283"/>
      <c r="Z273" s="382">
        <f t="shared" ref="Z273:AG273" si="597">SUM(Z269:Z272)</f>
        <v>3463.3270000000002</v>
      </c>
      <c r="AA273" s="382">
        <f t="shared" si="597"/>
        <v>677.88800000000003</v>
      </c>
      <c r="AB273" s="382">
        <f t="shared" si="597"/>
        <v>278.12700000000001</v>
      </c>
      <c r="AC273" s="382">
        <f t="shared" si="597"/>
        <v>521.93799999999999</v>
      </c>
      <c r="AD273" s="382">
        <f t="shared" si="597"/>
        <v>1883.0920000000001</v>
      </c>
      <c r="AE273" s="382">
        <f t="shared" si="597"/>
        <v>3316.5249999999996</v>
      </c>
      <c r="AF273" s="382">
        <f t="shared" si="597"/>
        <v>4503.2717130216761</v>
      </c>
      <c r="AG273" s="382">
        <f t="shared" si="597"/>
        <v>4761.9701800811108</v>
      </c>
      <c r="AH273" s="382">
        <f t="shared" ref="AH273" si="598">SUM(AH269:AH272)</f>
        <v>5034.0827618000312</v>
      </c>
      <c r="AI273" s="329"/>
    </row>
    <row r="274" spans="1:35">
      <c r="Y274" s="283"/>
      <c r="AB274" s="282"/>
      <c r="AC274" s="282"/>
      <c r="AD274" s="282"/>
      <c r="AE274" s="282"/>
      <c r="AI274" s="329"/>
    </row>
    <row r="275" spans="1:35">
      <c r="C275" s="414" t="s">
        <v>577</v>
      </c>
      <c r="E275" s="428"/>
      <c r="F275" s="428"/>
      <c r="G275" s="428"/>
      <c r="H275" s="428"/>
      <c r="I275" s="428"/>
      <c r="J275" s="428"/>
      <c r="K275" s="428"/>
      <c r="L275" s="428"/>
      <c r="M275" s="428"/>
      <c r="N275" s="428"/>
      <c r="O275" s="428"/>
      <c r="P275" s="428"/>
      <c r="Y275" s="283"/>
      <c r="AE275" s="282"/>
      <c r="AI275" s="329"/>
    </row>
    <row r="276" spans="1:35">
      <c r="C276" s="402" t="s">
        <v>444</v>
      </c>
      <c r="E276" s="282">
        <f>E$1*E269/1000</f>
        <v>2.6228421555427208</v>
      </c>
      <c r="F276" s="282">
        <f>F$1*F269/1000</f>
        <v>1.2808311190385839</v>
      </c>
      <c r="G276" s="282">
        <f>G$1*G269/1000</f>
        <v>0</v>
      </c>
      <c r="H276" s="282">
        <f>H$1*H269/1000</f>
        <v>0.62097473513605839</v>
      </c>
      <c r="I276" s="282">
        <f t="shared" ref="I276:S276" si="599">I$1*I269/1000</f>
        <v>1.3636492019034649</v>
      </c>
      <c r="J276" s="282">
        <f t="shared" si="599"/>
        <v>2.6603979631073691</v>
      </c>
      <c r="K276" s="282">
        <f t="shared" si="599"/>
        <v>1.9631822298741743</v>
      </c>
      <c r="L276" s="282">
        <f t="shared" si="599"/>
        <v>2.5319271412721087</v>
      </c>
      <c r="M276" s="282">
        <f t="shared" si="599"/>
        <v>1.4710272875133608</v>
      </c>
      <c r="N276" s="282">
        <f t="shared" si="599"/>
        <v>7.8258764495068007</v>
      </c>
      <c r="O276" s="282">
        <f t="shared" si="599"/>
        <v>14.815351528162266</v>
      </c>
      <c r="P276" s="282">
        <f t="shared" si="599"/>
        <v>19.028808225034457</v>
      </c>
      <c r="Q276" s="282">
        <f t="shared" si="599"/>
        <v>19.602107731784397</v>
      </c>
      <c r="R276" s="282">
        <f t="shared" si="599"/>
        <v>25.374720204926767</v>
      </c>
      <c r="S276" s="282">
        <f t="shared" si="599"/>
        <v>18.786709511986334</v>
      </c>
      <c r="T276" s="282">
        <f t="shared" ref="T276" si="600">T$1*T269/1000</f>
        <v>18.945314051168889</v>
      </c>
      <c r="U276" s="282">
        <f t="shared" ref="U276:X276" si="601">U$1*U269/1000</f>
        <v>22.201996950055481</v>
      </c>
      <c r="V276" s="282">
        <f t="shared" si="601"/>
        <v>26.160013699503402</v>
      </c>
      <c r="W276" s="282">
        <f t="shared" si="601"/>
        <v>23.979399323778107</v>
      </c>
      <c r="X276" s="282">
        <f t="shared" si="601"/>
        <v>27.84500026086809</v>
      </c>
      <c r="Y276" s="283"/>
      <c r="Z276" s="282">
        <f t="shared" ref="Z276:AH276" si="602">Z$1*Z269/1000</f>
        <v>58.905431694497352</v>
      </c>
      <c r="AA276" s="282">
        <f t="shared" si="602"/>
        <v>11.583414871025251</v>
      </c>
      <c r="AB276" s="282">
        <f t="shared" ref="AB276:AF279" si="603">SUMIF($E$5:$X$5,AB$5,$E276:$X276)</f>
        <v>4.5246480097173629</v>
      </c>
      <c r="AC276" s="282">
        <f t="shared" si="603"/>
        <v>8.5191565361571175</v>
      </c>
      <c r="AD276" s="282">
        <f t="shared" si="603"/>
        <v>43.141063490216879</v>
      </c>
      <c r="AE276" s="282">
        <f t="shared" si="603"/>
        <v>82.708851499866384</v>
      </c>
      <c r="AF276" s="282">
        <f t="shared" si="603"/>
        <v>100.18641023420508</v>
      </c>
      <c r="AG276" s="282">
        <f t="shared" si="602"/>
        <v>105.25266723343391</v>
      </c>
      <c r="AH276" s="282">
        <f t="shared" si="602"/>
        <v>113.88555090350106</v>
      </c>
      <c r="AI276" s="329"/>
    </row>
    <row r="277" spans="1:35">
      <c r="C277" s="402" t="s">
        <v>440</v>
      </c>
      <c r="E277" s="282">
        <f>E$2*E270/1000</f>
        <v>0</v>
      </c>
      <c r="F277" s="282">
        <f>F$2*F270/1000</f>
        <v>0</v>
      </c>
      <c r="G277" s="282">
        <f>G$2*G270/1000</f>
        <v>0</v>
      </c>
      <c r="H277" s="282">
        <f>H$2*H270/1000</f>
        <v>0</v>
      </c>
      <c r="I277" s="282">
        <f t="shared" ref="I277:S277" si="604">I$2*I270/1000</f>
        <v>0</v>
      </c>
      <c r="J277" s="282">
        <f t="shared" si="604"/>
        <v>0</v>
      </c>
      <c r="K277" s="282">
        <f t="shared" si="604"/>
        <v>0</v>
      </c>
      <c r="L277" s="282">
        <f t="shared" si="604"/>
        <v>0</v>
      </c>
      <c r="M277" s="282">
        <f t="shared" si="604"/>
        <v>0</v>
      </c>
      <c r="N277" s="282">
        <f t="shared" si="604"/>
        <v>0</v>
      </c>
      <c r="O277" s="282">
        <f t="shared" si="604"/>
        <v>0</v>
      </c>
      <c r="P277" s="282">
        <f t="shared" si="604"/>
        <v>0</v>
      </c>
      <c r="Q277" s="282">
        <f t="shared" si="604"/>
        <v>0</v>
      </c>
      <c r="R277" s="282">
        <f t="shared" si="604"/>
        <v>0</v>
      </c>
      <c r="S277" s="282">
        <f t="shared" si="604"/>
        <v>0</v>
      </c>
      <c r="T277" s="282">
        <f t="shared" ref="T277" si="605">T$2*T270/1000</f>
        <v>0</v>
      </c>
      <c r="U277" s="282">
        <f t="shared" ref="U277:X277" si="606">U$2*U270/1000</f>
        <v>0</v>
      </c>
      <c r="V277" s="282">
        <f t="shared" si="606"/>
        <v>0</v>
      </c>
      <c r="W277" s="282">
        <f t="shared" si="606"/>
        <v>0</v>
      </c>
      <c r="X277" s="282">
        <f t="shared" si="606"/>
        <v>0</v>
      </c>
      <c r="Y277" s="283"/>
      <c r="Z277" s="282">
        <f t="shared" ref="Z277:AH277" si="607">Z$2*Z270/1000</f>
        <v>0</v>
      </c>
      <c r="AA277" s="282">
        <f t="shared" si="607"/>
        <v>0</v>
      </c>
      <c r="AB277" s="282">
        <f t="shared" si="603"/>
        <v>0</v>
      </c>
      <c r="AC277" s="282">
        <f t="shared" si="603"/>
        <v>0</v>
      </c>
      <c r="AD277" s="282">
        <f t="shared" si="603"/>
        <v>0</v>
      </c>
      <c r="AE277" s="282">
        <f t="shared" si="603"/>
        <v>0</v>
      </c>
      <c r="AF277" s="282">
        <f t="shared" si="603"/>
        <v>0</v>
      </c>
      <c r="AG277" s="282">
        <f t="shared" si="607"/>
        <v>0</v>
      </c>
      <c r="AH277" s="282">
        <f t="shared" si="607"/>
        <v>0</v>
      </c>
      <c r="AI277" s="329"/>
    </row>
    <row r="278" spans="1:35">
      <c r="C278" s="402" t="s">
        <v>439</v>
      </c>
      <c r="E278" s="282">
        <f>E$3*E271*2</f>
        <v>0.92973159144893125</v>
      </c>
      <c r="F278" s="282">
        <f>F$3*F271*2</f>
        <v>1.3619633130556859</v>
      </c>
      <c r="G278" s="282">
        <f>G$3*G271*2</f>
        <v>0</v>
      </c>
      <c r="H278" s="282">
        <f>H$3*H271*2</f>
        <v>0.21999043686155201</v>
      </c>
      <c r="I278" s="282">
        <f t="shared" ref="I278:S278" si="608">I$3*I271*2</f>
        <v>0</v>
      </c>
      <c r="J278" s="282">
        <f t="shared" si="608"/>
        <v>0.84335009671179884</v>
      </c>
      <c r="K278" s="282">
        <f t="shared" si="608"/>
        <v>1.2811271896420411</v>
      </c>
      <c r="L278" s="282">
        <f t="shared" si="608"/>
        <v>1.1216672978758442</v>
      </c>
      <c r="M278" s="282">
        <f t="shared" si="608"/>
        <v>0.3237771451809679</v>
      </c>
      <c r="N278" s="282">
        <f t="shared" si="608"/>
        <v>2.3962169488697969</v>
      </c>
      <c r="O278" s="282">
        <f t="shared" si="608"/>
        <v>2.5466222463543287</v>
      </c>
      <c r="P278" s="282">
        <f t="shared" si="608"/>
        <v>4.4873335625859703</v>
      </c>
      <c r="Q278" s="282">
        <f t="shared" si="608"/>
        <v>5.1091529881200692</v>
      </c>
      <c r="R278" s="282">
        <f t="shared" si="608"/>
        <v>5.1993335427135685</v>
      </c>
      <c r="S278" s="282">
        <f t="shared" si="608"/>
        <v>4.6111192052980128</v>
      </c>
      <c r="T278" s="282">
        <f t="shared" ref="T278" si="609">T$3*T271*2</f>
        <v>5.1691922777669719</v>
      </c>
      <c r="U278" s="282">
        <f t="shared" ref="U278:X278" si="610">U$3*U271*2</f>
        <v>6.6460731878958468</v>
      </c>
      <c r="V278" s="282">
        <f t="shared" si="610"/>
        <v>11.920001019659908</v>
      </c>
      <c r="W278" s="282">
        <f t="shared" si="610"/>
        <v>10.856395298945518</v>
      </c>
      <c r="X278" s="282">
        <f t="shared" si="610"/>
        <v>12.469567186671648</v>
      </c>
      <c r="Y278" s="283"/>
      <c r="Z278" s="282">
        <f t="shared" ref="Z278:AH278" si="611">Z$3*Z271*2</f>
        <v>17.149835950363439</v>
      </c>
      <c r="AA278" s="282">
        <f t="shared" si="611"/>
        <v>4.4638708562131377</v>
      </c>
      <c r="AB278" s="282">
        <f t="shared" si="603"/>
        <v>2.5116853413661691</v>
      </c>
      <c r="AC278" s="282">
        <f t="shared" si="603"/>
        <v>3.2461445842296843</v>
      </c>
      <c r="AD278" s="282">
        <f t="shared" si="603"/>
        <v>9.7539499029910637</v>
      </c>
      <c r="AE278" s="282">
        <f t="shared" si="603"/>
        <v>20.088798013898622</v>
      </c>
      <c r="AF278" s="282">
        <f t="shared" si="603"/>
        <v>41.892036693172919</v>
      </c>
      <c r="AG278" s="282">
        <f t="shared" ca="1" si="611"/>
        <v>46.674512642181277</v>
      </c>
      <c r="AH278" s="282">
        <f t="shared" ca="1" si="611"/>
        <v>49.341627650305924</v>
      </c>
      <c r="AI278" s="329"/>
    </row>
    <row r="279" spans="1:35">
      <c r="C279" s="402" t="s">
        <v>441</v>
      </c>
      <c r="E279" s="282">
        <f>E$4*E272*2</f>
        <v>2.2518841778697003</v>
      </c>
      <c r="F279" s="282">
        <f>F$4*F272*2</f>
        <v>1.0946776232616942</v>
      </c>
      <c r="G279" s="282">
        <f>G$4*G272*2</f>
        <v>0</v>
      </c>
      <c r="H279" s="282">
        <f>H$4*H272*2</f>
        <v>0.51562811289430022</v>
      </c>
      <c r="I279" s="282">
        <f t="shared" ref="I279:S279" si="612">I$4*I272*2</f>
        <v>0.93824257425742563</v>
      </c>
      <c r="J279" s="282">
        <f t="shared" si="612"/>
        <v>1.9405778450668685</v>
      </c>
      <c r="K279" s="282">
        <f t="shared" si="612"/>
        <v>1.4373411949685535</v>
      </c>
      <c r="L279" s="282">
        <f t="shared" si="612"/>
        <v>1.6467301587301584</v>
      </c>
      <c r="M279" s="282">
        <f t="shared" si="612"/>
        <v>1.0415012106537531</v>
      </c>
      <c r="N279" s="282">
        <f t="shared" si="612"/>
        <v>4.3339175180662854</v>
      </c>
      <c r="O279" s="282">
        <f t="shared" si="612"/>
        <v>6.1402835878352358</v>
      </c>
      <c r="P279" s="282">
        <f t="shared" si="612"/>
        <v>8.3941690325398586</v>
      </c>
      <c r="Q279" s="282">
        <f t="shared" si="612"/>
        <v>9.2097991462851869</v>
      </c>
      <c r="R279" s="282">
        <f t="shared" si="612"/>
        <v>12.597340116279069</v>
      </c>
      <c r="S279" s="282">
        <f t="shared" si="612"/>
        <v>10.235210186757215</v>
      </c>
      <c r="T279" s="282">
        <f t="shared" ref="T279" si="613">T$4*T272*2</f>
        <v>11.596102693208428</v>
      </c>
      <c r="U279" s="282">
        <f t="shared" ref="U279:X279" si="614">U$4*U272*2</f>
        <v>12.945430086149768</v>
      </c>
      <c r="V279" s="282">
        <f t="shared" si="614"/>
        <v>17.532868241895759</v>
      </c>
      <c r="W279" s="282">
        <f t="shared" si="614"/>
        <v>15.968433898991311</v>
      </c>
      <c r="X279" s="282">
        <f t="shared" si="614"/>
        <v>18.341213071776941</v>
      </c>
      <c r="Y279" s="283"/>
      <c r="Z279" s="282">
        <f t="shared" ref="Z279:AH279" si="615">Z$4*Z272*2</f>
        <v>35.319011913963585</v>
      </c>
      <c r="AA279" s="282">
        <f t="shared" si="615"/>
        <v>7.9941598463337238</v>
      </c>
      <c r="AB279" s="282">
        <f t="shared" si="603"/>
        <v>3.8621899140256946</v>
      </c>
      <c r="AC279" s="282">
        <f t="shared" si="603"/>
        <v>5.9628917730230064</v>
      </c>
      <c r="AD279" s="282">
        <f t="shared" si="603"/>
        <v>19.909871349095134</v>
      </c>
      <c r="AE279" s="282">
        <f t="shared" si="603"/>
        <v>43.6384521425299</v>
      </c>
      <c r="AF279" s="282">
        <f t="shared" si="603"/>
        <v>64.787945298813781</v>
      </c>
      <c r="AG279" s="282">
        <f t="shared" ca="1" si="615"/>
        <v>68.652517651664624</v>
      </c>
      <c r="AH279" s="282">
        <f t="shared" ca="1" si="615"/>
        <v>72.57551866033117</v>
      </c>
      <c r="AI279" s="329"/>
    </row>
    <row r="280" spans="1:35">
      <c r="C280" s="416" t="s">
        <v>578</v>
      </c>
      <c r="E280" s="382">
        <f t="shared" ref="E280:S280" si="616">SUM(E276:E279)</f>
        <v>5.804457924861353</v>
      </c>
      <c r="F280" s="382">
        <f t="shared" si="616"/>
        <v>3.7374720553559642</v>
      </c>
      <c r="G280" s="382">
        <f t="shared" si="616"/>
        <v>0</v>
      </c>
      <c r="H280" s="382">
        <f t="shared" si="616"/>
        <v>1.3565932848919107</v>
      </c>
      <c r="I280" s="382">
        <f t="shared" si="616"/>
        <v>2.3018917761608906</v>
      </c>
      <c r="J280" s="382">
        <f t="shared" si="616"/>
        <v>5.4443259048860364</v>
      </c>
      <c r="K280" s="382">
        <f t="shared" si="616"/>
        <v>4.6816506144847692</v>
      </c>
      <c r="L280" s="382">
        <f t="shared" si="616"/>
        <v>5.3003245978781113</v>
      </c>
      <c r="M280" s="382">
        <f t="shared" si="616"/>
        <v>2.8363056433480818</v>
      </c>
      <c r="N280" s="382">
        <f t="shared" si="616"/>
        <v>14.556010916442883</v>
      </c>
      <c r="O280" s="382">
        <f t="shared" si="616"/>
        <v>23.50225736235183</v>
      </c>
      <c r="P280" s="382">
        <f t="shared" si="616"/>
        <v>31.910310820160284</v>
      </c>
      <c r="Q280" s="382">
        <f t="shared" si="616"/>
        <v>33.921059866189651</v>
      </c>
      <c r="R280" s="769">
        <f t="shared" si="616"/>
        <v>43.171393863919405</v>
      </c>
      <c r="S280" s="382">
        <f t="shared" si="616"/>
        <v>33.633038904041562</v>
      </c>
      <c r="T280" s="382">
        <f t="shared" ref="T280" si="617">SUM(T276:T279)</f>
        <v>35.71060902214429</v>
      </c>
      <c r="U280" s="382">
        <f t="shared" ref="U280:X280" si="618">SUM(U276:U279)</f>
        <v>41.793500224101095</v>
      </c>
      <c r="V280" s="382">
        <f t="shared" si="618"/>
        <v>55.612882961059071</v>
      </c>
      <c r="W280" s="382">
        <f t="shared" si="618"/>
        <v>50.804228521714933</v>
      </c>
      <c r="X280" s="382">
        <f t="shared" si="618"/>
        <v>58.655780519316679</v>
      </c>
      <c r="Y280" s="283"/>
      <c r="Z280" s="382">
        <f t="shared" ref="Z280:AG280" si="619">SUM(Z276:Z279)</f>
        <v>111.37427955882438</v>
      </c>
      <c r="AA280" s="382">
        <f t="shared" si="619"/>
        <v>24.041445573572112</v>
      </c>
      <c r="AB280" s="382">
        <f t="shared" si="619"/>
        <v>10.898523265109226</v>
      </c>
      <c r="AC280" s="382">
        <f t="shared" si="619"/>
        <v>17.728192893409808</v>
      </c>
      <c r="AD280" s="382">
        <f t="shared" si="619"/>
        <v>72.804884742303074</v>
      </c>
      <c r="AE280" s="382">
        <f t="shared" ref="AE280" si="620">SUM(AE276:AE279)</f>
        <v>146.43610165629491</v>
      </c>
      <c r="AF280" s="382">
        <f t="shared" si="619"/>
        <v>206.86639222619178</v>
      </c>
      <c r="AG280" s="382">
        <f t="shared" ca="1" si="619"/>
        <v>220.57969752727982</v>
      </c>
      <c r="AH280" s="382">
        <f t="shared" ref="AH280" ca="1" si="621">SUM(AH276:AH279)</f>
        <v>235.80269721413816</v>
      </c>
      <c r="AI280" s="329"/>
    </row>
    <row r="281" spans="1:35" ht="3" customHeight="1">
      <c r="C281" s="416"/>
      <c r="E281" s="308"/>
      <c r="F281" s="308"/>
      <c r="G281" s="308"/>
      <c r="H281" s="308"/>
      <c r="I281" s="308"/>
      <c r="J281" s="308"/>
      <c r="K281" s="308"/>
      <c r="L281" s="308"/>
      <c r="M281" s="308"/>
      <c r="N281" s="308"/>
      <c r="O281" s="308"/>
      <c r="P281" s="308"/>
      <c r="Q281" s="308"/>
      <c r="R281" s="308"/>
      <c r="S281" s="308"/>
      <c r="T281" s="308"/>
      <c r="U281" s="308"/>
      <c r="V281" s="308"/>
      <c r="W281" s="308"/>
      <c r="X281" s="308"/>
      <c r="Y281" s="283"/>
      <c r="Z281" s="308"/>
      <c r="AA281" s="308"/>
      <c r="AB281" s="308"/>
      <c r="AC281" s="308"/>
      <c r="AD281" s="308"/>
      <c r="AE281" s="308"/>
      <c r="AF281" s="308"/>
      <c r="AG281" s="308"/>
      <c r="AH281" s="308"/>
      <c r="AI281" s="329"/>
    </row>
    <row r="282" spans="1:35" s="456" customFormat="1">
      <c r="A282" s="283"/>
      <c r="C282" s="543" t="s">
        <v>575</v>
      </c>
      <c r="D282" s="544"/>
      <c r="E282" s="456">
        <f t="shared" ref="E282:R282" si="622">+E280-E285</f>
        <v>0.82745792486135272</v>
      </c>
      <c r="F282" s="456">
        <f t="shared" si="622"/>
        <v>0.45047205535596424</v>
      </c>
      <c r="G282" s="456">
        <f t="shared" si="622"/>
        <v>1.0999999999999999E-2</v>
      </c>
      <c r="H282" s="456">
        <f t="shared" si="622"/>
        <v>-0.14040671510808922</v>
      </c>
      <c r="I282" s="456">
        <f t="shared" si="622"/>
        <v>0.11989177616089064</v>
      </c>
      <c r="J282" s="456">
        <f t="shared" si="622"/>
        <v>0.49332590488603678</v>
      </c>
      <c r="K282" s="456">
        <f t="shared" si="622"/>
        <v>0.66465061448476881</v>
      </c>
      <c r="L282" s="456">
        <f t="shared" si="622"/>
        <v>-0.17067540212188881</v>
      </c>
      <c r="M282" s="456">
        <f t="shared" si="622"/>
        <v>6.305643348081702E-3</v>
      </c>
      <c r="N282" s="456">
        <f t="shared" si="622"/>
        <v>3.101010916442883</v>
      </c>
      <c r="O282" s="456">
        <f t="shared" si="622"/>
        <v>2.6902573623518293</v>
      </c>
      <c r="P282" s="456">
        <f t="shared" si="622"/>
        <v>3.9823108201602864</v>
      </c>
      <c r="Q282" s="456">
        <f t="shared" si="622"/>
        <v>4.7990598661896513</v>
      </c>
      <c r="R282" s="456">
        <f t="shared" si="622"/>
        <v>3.5263938639194023</v>
      </c>
      <c r="S282" s="456">
        <f t="shared" ref="S282:T282" si="623">+S280-S285</f>
        <v>3.8500389040415612</v>
      </c>
      <c r="T282" s="456">
        <f t="shared" si="623"/>
        <v>2.7726090221442874</v>
      </c>
      <c r="U282" s="456">
        <f t="shared" ref="U282" si="624">+U280-U285</f>
        <v>3.7535002241010957</v>
      </c>
      <c r="V282" s="282">
        <f t="shared" ref="V282:X282" si="625">+V280*V283</f>
        <v>4.9946275745735988</v>
      </c>
      <c r="W282" s="282">
        <f t="shared" si="625"/>
        <v>4.5627593314515629</v>
      </c>
      <c r="X282" s="282">
        <f t="shared" si="625"/>
        <v>5.2679120950275751</v>
      </c>
      <c r="Y282" s="283"/>
      <c r="Z282" s="456">
        <f t="shared" ref="Z282:AD282" si="626">+Z280-Z285</f>
        <v>16.895279558824384</v>
      </c>
      <c r="AA282" s="456">
        <f t="shared" si="626"/>
        <v>2.4864455735721123</v>
      </c>
      <c r="AB282" s="456">
        <f t="shared" si="626"/>
        <v>1.1485232651092261</v>
      </c>
      <c r="AC282" s="456">
        <f t="shared" si="626"/>
        <v>1.1071928934098096</v>
      </c>
      <c r="AD282" s="456">
        <f t="shared" si="626"/>
        <v>9.779884742303075</v>
      </c>
      <c r="AE282" s="456">
        <f t="shared" ref="AE282:AF282" si="627">+AE280-AE285</f>
        <v>14.948101656294909</v>
      </c>
      <c r="AF282" s="456">
        <f t="shared" si="627"/>
        <v>18.57879922515383</v>
      </c>
      <c r="AG282" s="282">
        <f ca="1">+AG280*AG283</f>
        <v>22.057969752727985</v>
      </c>
      <c r="AH282" s="282">
        <f ca="1">+AH280*AH283</f>
        <v>23.580269721413817</v>
      </c>
      <c r="AI282" s="329"/>
    </row>
    <row r="283" spans="1:35">
      <c r="C283" s="335" t="s">
        <v>579</v>
      </c>
      <c r="D283" s="498"/>
      <c r="E283" s="536">
        <f>E282/E280</f>
        <v>0.14255559012965327</v>
      </c>
      <c r="F283" s="536">
        <f t="shared" ref="F283:R283" si="628">F282/F280</f>
        <v>0.12052854140017387</v>
      </c>
      <c r="G283" s="542">
        <v>0</v>
      </c>
      <c r="H283" s="536">
        <f t="shared" si="628"/>
        <v>-0.10349949146274627</v>
      </c>
      <c r="I283" s="536">
        <f t="shared" si="628"/>
        <v>5.208401950192762E-2</v>
      </c>
      <c r="J283" s="536">
        <f t="shared" si="628"/>
        <v>9.0612853364141752E-2</v>
      </c>
      <c r="K283" s="536">
        <f t="shared" si="628"/>
        <v>0.1419692901534293</v>
      </c>
      <c r="L283" s="536">
        <f t="shared" si="628"/>
        <v>-3.2200933918314287E-2</v>
      </c>
      <c r="M283" s="536">
        <f t="shared" si="628"/>
        <v>2.2231889439948663E-3</v>
      </c>
      <c r="N283" s="536">
        <f t="shared" si="628"/>
        <v>0.21303988669999505</v>
      </c>
      <c r="O283" s="536">
        <f t="shared" si="628"/>
        <v>0.11446804112788508</v>
      </c>
      <c r="P283" s="536">
        <f t="shared" si="628"/>
        <v>0.12479699250200796</v>
      </c>
      <c r="Q283" s="536">
        <f t="shared" si="628"/>
        <v>0.14147729714580787</v>
      </c>
      <c r="R283" s="536">
        <f t="shared" si="628"/>
        <v>8.1683576746096082E-2</v>
      </c>
      <c r="S283" s="536">
        <f t="shared" ref="S283:T283" si="629">S282/S280</f>
        <v>0.11447193086019104</v>
      </c>
      <c r="T283" s="536">
        <f t="shared" si="629"/>
        <v>7.7641045562258024E-2</v>
      </c>
      <c r="U283" s="536">
        <f t="shared" ref="U283" si="630">U282/U280</f>
        <v>8.981062136395461E-2</v>
      </c>
      <c r="V283" s="481">
        <f t="shared" ref="V283:X283" si="631">+U283</f>
        <v>8.981062136395461E-2</v>
      </c>
      <c r="W283" s="481">
        <f t="shared" si="631"/>
        <v>8.981062136395461E-2</v>
      </c>
      <c r="X283" s="481">
        <f t="shared" si="631"/>
        <v>8.981062136395461E-2</v>
      </c>
      <c r="Y283" s="283"/>
      <c r="Z283" s="536">
        <f t="shared" ref="Z283:AD283" si="632">Z282/Z280</f>
        <v>0.15169821637230732</v>
      </c>
      <c r="AA283" s="536">
        <f t="shared" si="632"/>
        <v>0.10342329732058091</v>
      </c>
      <c r="AB283" s="536">
        <f t="shared" si="632"/>
        <v>0.10538338425960275</v>
      </c>
      <c r="AC283" s="536">
        <f t="shared" si="632"/>
        <v>6.2453793235823382E-2</v>
      </c>
      <c r="AD283" s="536">
        <f t="shared" si="632"/>
        <v>0.13433006283739779</v>
      </c>
      <c r="AE283" s="536">
        <f t="shared" ref="AE283:AF283" si="633">AE282/AE280</f>
        <v>0.10207934715020003</v>
      </c>
      <c r="AF283" s="536">
        <f t="shared" si="633"/>
        <v>8.9810621363954596E-2</v>
      </c>
      <c r="AG283" s="333">
        <v>0.1</v>
      </c>
      <c r="AH283" s="333">
        <v>0.1</v>
      </c>
      <c r="AI283" s="329"/>
    </row>
    <row r="284" spans="1:35">
      <c r="C284" s="335"/>
      <c r="D284" s="498"/>
      <c r="E284" s="308"/>
      <c r="F284" s="308"/>
      <c r="G284" s="308"/>
      <c r="H284" s="308"/>
      <c r="I284" s="308"/>
      <c r="J284" s="308"/>
      <c r="K284" s="308"/>
      <c r="L284" s="308"/>
      <c r="M284" s="308"/>
      <c r="N284" s="308"/>
      <c r="O284" s="308"/>
      <c r="P284" s="308"/>
      <c r="Q284" s="308"/>
      <c r="Y284" s="283"/>
      <c r="AI284" s="329"/>
    </row>
    <row r="285" spans="1:35" s="307" customFormat="1">
      <c r="A285" s="283"/>
      <c r="B285" s="507"/>
      <c r="C285" s="507" t="s">
        <v>453</v>
      </c>
      <c r="D285" s="508"/>
      <c r="E285" s="509">
        <v>4.9770000000000003</v>
      </c>
      <c r="F285" s="509">
        <v>3.2869999999999999</v>
      </c>
      <c r="G285" s="509">
        <v>-1.0999999999999999E-2</v>
      </c>
      <c r="H285" s="510">
        <f>SUMIF($Z$6:$AG$6,H$6,$Z285:$AG285)-SUM(E285:G285)</f>
        <v>1.4969999999999999</v>
      </c>
      <c r="I285" s="509">
        <v>2.1819999999999999</v>
      </c>
      <c r="J285" s="509">
        <v>4.9509999999999996</v>
      </c>
      <c r="K285" s="509">
        <v>4.0170000000000003</v>
      </c>
      <c r="L285" s="510">
        <f>SUMIF($Z$6:$AG$6,L$6,$Z285:$AG285)-SUM(I285:K285)</f>
        <v>5.4710000000000001</v>
      </c>
      <c r="M285" s="509">
        <v>2.83</v>
      </c>
      <c r="N285" s="509">
        <v>11.455</v>
      </c>
      <c r="O285" s="509">
        <v>20.812000000000001</v>
      </c>
      <c r="P285" s="510">
        <f>SUMIF($Z$6:$AG$6,P$6,$Z285:$AG285)-SUM(M285:O285)</f>
        <v>27.927999999999997</v>
      </c>
      <c r="Q285" s="509">
        <v>29.122</v>
      </c>
      <c r="R285" s="509">
        <v>39.645000000000003</v>
      </c>
      <c r="S285" s="772">
        <v>29.783000000000001</v>
      </c>
      <c r="T285" s="510">
        <f>SUMIF($Z$6:$AG$6,T$6,$Z285:$AG285)-SUM(Q285:S285)</f>
        <v>32.938000000000002</v>
      </c>
      <c r="U285" s="772">
        <v>38.04</v>
      </c>
      <c r="V285" s="511">
        <f t="shared" ref="V285:X285" si="634">V280-V282</f>
        <v>50.618255386485473</v>
      </c>
      <c r="W285" s="511">
        <f t="shared" si="634"/>
        <v>46.241469190263373</v>
      </c>
      <c r="X285" s="511">
        <f t="shared" si="634"/>
        <v>53.387868424289103</v>
      </c>
      <c r="Y285" s="283"/>
      <c r="Z285" s="509">
        <v>94.478999999999999</v>
      </c>
      <c r="AA285" s="509">
        <v>21.555</v>
      </c>
      <c r="AB285" s="509">
        <v>9.75</v>
      </c>
      <c r="AC285" s="509">
        <v>16.620999999999999</v>
      </c>
      <c r="AD285" s="509">
        <v>63.024999999999999</v>
      </c>
      <c r="AE285" s="509">
        <v>131.488</v>
      </c>
      <c r="AF285" s="511">
        <f t="shared" ref="AF285" si="635">SUMIF($E$5:$X$5,AF$5,$E285:$X285)</f>
        <v>188.28759300103795</v>
      </c>
      <c r="AG285" s="511">
        <f ca="1">AG280-AG282</f>
        <v>198.52172777455183</v>
      </c>
      <c r="AH285" s="511">
        <f ca="1">AH280-AH282</f>
        <v>212.22242749272434</v>
      </c>
      <c r="AI285" s="329"/>
    </row>
    <row r="286" spans="1:35" s="307" customFormat="1">
      <c r="A286" s="283"/>
      <c r="D286" s="498"/>
      <c r="E286" s="315"/>
      <c r="F286" s="315"/>
      <c r="G286" s="315"/>
      <c r="H286" s="308"/>
      <c r="I286" s="315"/>
      <c r="J286" s="315"/>
      <c r="K286" s="315"/>
      <c r="L286" s="308"/>
      <c r="M286" s="315"/>
      <c r="N286" s="315"/>
      <c r="O286" s="315"/>
      <c r="P286" s="308"/>
      <c r="Q286" s="315"/>
      <c r="R286" s="512"/>
      <c r="S286" s="512"/>
      <c r="T286" s="512"/>
      <c r="U286" s="512"/>
      <c r="V286" s="512"/>
      <c r="W286" s="512"/>
      <c r="X286" s="512"/>
      <c r="Y286" s="283"/>
      <c r="Z286" s="315"/>
      <c r="AA286" s="315"/>
      <c r="AB286" s="315"/>
      <c r="AC286" s="315"/>
      <c r="AD286" s="315"/>
      <c r="AE286" s="308"/>
      <c r="AF286" s="512"/>
      <c r="AG286" s="512"/>
      <c r="AH286" s="512"/>
    </row>
    <row r="287" spans="1:35" s="281" customFormat="1">
      <c r="A287" s="283"/>
      <c r="B287" s="518"/>
      <c r="C287" s="518" t="s">
        <v>311</v>
      </c>
      <c r="D287" s="519"/>
      <c r="E287" s="520">
        <v>3.4790000000000001</v>
      </c>
      <c r="F287" s="520">
        <v>1.5620000000000001</v>
      </c>
      <c r="G287" s="520">
        <v>1E-3</v>
      </c>
      <c r="H287" s="521">
        <f>SUMIF($Z$6:$AG$6,H$6,$Z287:$AG287)-SUM(E287:G287)</f>
        <v>3.6959999999999988</v>
      </c>
      <c r="I287" s="520">
        <v>2.012</v>
      </c>
      <c r="J287" s="520">
        <v>4.5289999999999999</v>
      </c>
      <c r="K287" s="520">
        <v>3.718</v>
      </c>
      <c r="L287" s="521">
        <f>SUMIF($Z$6:$AG$6,L$6,$Z287:$AG287)-SUM(I287:K287)</f>
        <v>5.1869999999999994</v>
      </c>
      <c r="M287" s="520">
        <v>2.5299999999999998</v>
      </c>
      <c r="N287" s="520">
        <v>9.5609999999999999</v>
      </c>
      <c r="O287" s="520">
        <v>18.544</v>
      </c>
      <c r="P287" s="521">
        <f>SUMIF($Z$6:$AG$6,P$6,$Z287:$AG287)-SUM(M287:O287)</f>
        <v>14.597999999999999</v>
      </c>
      <c r="Q287" s="520">
        <v>16.457999999999998</v>
      </c>
      <c r="R287" s="520">
        <v>20.498999999999999</v>
      </c>
      <c r="S287" s="520">
        <v>17.001000000000001</v>
      </c>
      <c r="T287" s="521">
        <f>SUMIF($Z$6:$AG$6,T$6,$Z287:$AG287)-SUM(Q287:S287)</f>
        <v>16.733999999999995</v>
      </c>
      <c r="U287" s="520">
        <v>21.231999999999999</v>
      </c>
      <c r="V287" s="521">
        <f t="shared" ref="V287" si="636">($AF287-$U287)*R287/SUM($R287:$T287)</f>
        <v>20.644141719216726</v>
      </c>
      <c r="W287" s="521">
        <f t="shared" ref="W287" si="637">($AF287-$U287)*S287/SUM($R287:$T287)</f>
        <v>17.12137437769665</v>
      </c>
      <c r="X287" s="521">
        <f t="shared" ref="X287" si="638">($AF287-$U287)*T287/SUM($R287:$T287)</f>
        <v>16.852483903086622</v>
      </c>
      <c r="Y287" s="283"/>
      <c r="Z287" s="520">
        <v>64.400000000000006</v>
      </c>
      <c r="AA287" s="520">
        <v>12.66</v>
      </c>
      <c r="AB287" s="520">
        <v>8.7379999999999995</v>
      </c>
      <c r="AC287" s="520">
        <v>15.446</v>
      </c>
      <c r="AD287" s="520">
        <v>45.232999999999997</v>
      </c>
      <c r="AE287" s="520">
        <v>70.691999999999993</v>
      </c>
      <c r="AF287" s="377">
        <f>115-AF288</f>
        <v>75.849999999999994</v>
      </c>
      <c r="AG287" s="805">
        <f>AF287+2.5</f>
        <v>78.349999999999994</v>
      </c>
      <c r="AH287" s="805">
        <f>AG287+4</f>
        <v>82.35</v>
      </c>
    </row>
    <row r="288" spans="1:35" s="281" customFormat="1">
      <c r="A288" s="283"/>
      <c r="B288" s="518"/>
      <c r="C288" s="518" t="s">
        <v>312</v>
      </c>
      <c r="D288" s="519"/>
      <c r="E288" s="520">
        <v>0.621</v>
      </c>
      <c r="F288" s="520">
        <v>0.182</v>
      </c>
      <c r="G288" s="520">
        <v>0</v>
      </c>
      <c r="H288" s="521">
        <f>SUMIF($Z$6:$AG$6,H$6,$Z288:$AG288)-SUM(E288:G288)</f>
        <v>0.20900000000000007</v>
      </c>
      <c r="I288" s="520">
        <v>0.16900000000000001</v>
      </c>
      <c r="J288" s="520">
        <v>0.42199999999999999</v>
      </c>
      <c r="K288" s="520">
        <v>0.3</v>
      </c>
      <c r="L288" s="521">
        <f>SUMIF($Z$6:$AG$6,L$6,$Z288:$AG288)-SUM(I288:K288)</f>
        <v>0.28400000000000003</v>
      </c>
      <c r="M288" s="520">
        <v>0.30199999999999999</v>
      </c>
      <c r="N288" s="520">
        <v>1.8939999999999999</v>
      </c>
      <c r="O288" s="520">
        <v>2.956</v>
      </c>
      <c r="P288" s="521">
        <f>SUMIF($Z$6:$AG$6,P$6,$Z288:$AG288)-SUM(M288:O288)</f>
        <v>6.3210000000000015</v>
      </c>
      <c r="Q288" s="520">
        <v>4.3942500000000013</v>
      </c>
      <c r="R288" s="520">
        <v>7.4020000000000001</v>
      </c>
      <c r="S288" s="520">
        <v>6.59</v>
      </c>
      <c r="T288" s="521">
        <f>SUMIF($Z$6:$AG$6,T$6,$Z288:$AG288)-SUM(Q288:S288)</f>
        <v>8.4597499999999997</v>
      </c>
      <c r="U288" s="520">
        <v>8.032</v>
      </c>
      <c r="V288" s="521">
        <f t="shared" ref="V288" si="639">($AF288-$U288)*R288/SUM($R288:$T288)</f>
        <v>10.259130624561559</v>
      </c>
      <c r="W288" s="521">
        <f t="shared" ref="W288" si="640">($AF288-$U288)*S288/SUM($R288:$T288)</f>
        <v>9.1337031634505088</v>
      </c>
      <c r="X288" s="521">
        <f t="shared" ref="X288" si="641">($AF288-$U288)*T288/SUM($R288:$T288)</f>
        <v>11.725166211987929</v>
      </c>
      <c r="Y288" s="283"/>
      <c r="Z288" s="520">
        <v>11.81</v>
      </c>
      <c r="AA288" s="520">
        <v>2.4470000000000001</v>
      </c>
      <c r="AB288" s="520">
        <v>1.012</v>
      </c>
      <c r="AC288" s="520">
        <v>1.175</v>
      </c>
      <c r="AD288" s="520">
        <v>11.473000000000001</v>
      </c>
      <c r="AE288" s="520">
        <v>26.846</v>
      </c>
      <c r="AF288" s="377">
        <v>39.15</v>
      </c>
      <c r="AG288" s="805">
        <f>AF288+2</f>
        <v>41.15</v>
      </c>
      <c r="AH288" s="805">
        <f>AG288+4</f>
        <v>45.15</v>
      </c>
    </row>
    <row r="289" spans="1:34" s="281" customFormat="1">
      <c r="A289" s="283"/>
      <c r="B289" s="518"/>
      <c r="C289" s="522" t="s">
        <v>161</v>
      </c>
      <c r="D289" s="519"/>
      <c r="E289" s="523">
        <f t="shared" ref="E289:S289" si="642">E285-SUM(E287:E288)</f>
        <v>0.87700000000000067</v>
      </c>
      <c r="F289" s="523">
        <f t="shared" si="642"/>
        <v>1.5429999999999999</v>
      </c>
      <c r="G289" s="523">
        <f t="shared" si="642"/>
        <v>-1.2E-2</v>
      </c>
      <c r="H289" s="523">
        <f t="shared" si="642"/>
        <v>-2.407999999999999</v>
      </c>
      <c r="I289" s="523">
        <f t="shared" si="642"/>
        <v>9.9999999999988987E-4</v>
      </c>
      <c r="J289" s="523">
        <f t="shared" si="642"/>
        <v>0</v>
      </c>
      <c r="K289" s="523">
        <f t="shared" si="642"/>
        <v>-9.9999999999944578E-4</v>
      </c>
      <c r="L289" s="523">
        <f t="shared" si="642"/>
        <v>0</v>
      </c>
      <c r="M289" s="523">
        <f t="shared" si="642"/>
        <v>-1.9999999999997797E-3</v>
      </c>
      <c r="N289" s="523">
        <f t="shared" si="642"/>
        <v>0</v>
      </c>
      <c r="O289" s="523">
        <f t="shared" si="642"/>
        <v>-0.68799999999999883</v>
      </c>
      <c r="P289" s="523">
        <f t="shared" si="642"/>
        <v>7.0089999999999968</v>
      </c>
      <c r="Q289" s="523">
        <f t="shared" si="642"/>
        <v>8.2697500000000019</v>
      </c>
      <c r="R289" s="773">
        <f t="shared" si="642"/>
        <v>11.744000000000003</v>
      </c>
      <c r="S289" s="773">
        <f t="shared" si="642"/>
        <v>6.1920000000000002</v>
      </c>
      <c r="T289" s="523">
        <f t="shared" ref="T289" si="643">T285-SUM(T287:T288)</f>
        <v>7.7442500000000081</v>
      </c>
      <c r="U289" s="773">
        <f t="shared" ref="U289:X289" si="644">U285-SUM(U287:U288)</f>
        <v>8.7759999999999998</v>
      </c>
      <c r="V289" s="773">
        <f t="shared" si="644"/>
        <v>19.714983042707189</v>
      </c>
      <c r="W289" s="773">
        <f t="shared" si="644"/>
        <v>19.986391649116214</v>
      </c>
      <c r="X289" s="773">
        <f t="shared" si="644"/>
        <v>24.810218309214552</v>
      </c>
      <c r="Y289" s="283"/>
      <c r="Z289" s="523">
        <f t="shared" ref="Z289:AG289" si="645">Z285-SUM(Z287:Z288)</f>
        <v>18.268999999999991</v>
      </c>
      <c r="AA289" s="523">
        <f t="shared" si="645"/>
        <v>6.4480000000000004</v>
      </c>
      <c r="AB289" s="523">
        <f t="shared" si="645"/>
        <v>0</v>
      </c>
      <c r="AC289" s="523">
        <f t="shared" si="645"/>
        <v>0</v>
      </c>
      <c r="AD289" s="523">
        <f t="shared" si="645"/>
        <v>6.3190000000000026</v>
      </c>
      <c r="AE289" s="523">
        <f t="shared" si="645"/>
        <v>33.950000000000003</v>
      </c>
      <c r="AF289" s="523">
        <f t="shared" si="645"/>
        <v>73.287593001037948</v>
      </c>
      <c r="AG289" s="523">
        <f t="shared" ca="1" si="645"/>
        <v>79.021727774551835</v>
      </c>
      <c r="AH289" s="523">
        <f t="shared" ref="AH289" ca="1" si="646">AH285-SUM(AH287:AH288)</f>
        <v>84.722427492724336</v>
      </c>
    </row>
    <row r="290" spans="1:34" s="281" customFormat="1" ht="2.2000000000000002" customHeight="1">
      <c r="A290" s="283"/>
      <c r="B290" s="518"/>
      <c r="C290" s="522"/>
      <c r="D290" s="519"/>
      <c r="E290" s="506"/>
      <c r="F290" s="506"/>
      <c r="G290" s="506"/>
      <c r="H290" s="506"/>
      <c r="I290" s="506"/>
      <c r="J290" s="506"/>
      <c r="K290" s="506"/>
      <c r="L290" s="506"/>
      <c r="M290" s="506"/>
      <c r="N290" s="506"/>
      <c r="O290" s="506"/>
      <c r="P290" s="506"/>
      <c r="Q290" s="506"/>
      <c r="R290" s="506"/>
      <c r="S290" s="506"/>
      <c r="T290" s="506"/>
      <c r="U290" s="506"/>
      <c r="V290" s="506"/>
      <c r="W290" s="506"/>
      <c r="X290" s="506"/>
      <c r="Y290" s="283"/>
      <c r="Z290" s="506"/>
      <c r="AA290" s="506"/>
      <c r="AB290" s="506"/>
      <c r="AC290" s="506"/>
      <c r="AD290" s="506"/>
      <c r="AE290" s="506"/>
      <c r="AF290" s="506"/>
      <c r="AG290" s="506"/>
      <c r="AH290" s="506"/>
    </row>
    <row r="291" spans="1:34" s="306" customFormat="1">
      <c r="A291" s="283"/>
      <c r="B291" s="524"/>
      <c r="C291" s="525" t="s">
        <v>598</v>
      </c>
      <c r="D291" s="526"/>
      <c r="E291" s="527">
        <f t="shared" ref="E291:AG291" si="647">+E289/E285</f>
        <v>0.17621056861563203</v>
      </c>
      <c r="F291" s="527">
        <f t="shared" si="647"/>
        <v>0.46942500760571948</v>
      </c>
      <c r="G291" s="527">
        <f t="shared" si="647"/>
        <v>1.0909090909090911</v>
      </c>
      <c r="H291" s="527">
        <f t="shared" si="647"/>
        <v>-1.6085504342017363</v>
      </c>
      <c r="I291" s="527">
        <f t="shared" si="647"/>
        <v>4.5829514207144359E-4</v>
      </c>
      <c r="J291" s="527">
        <f t="shared" si="647"/>
        <v>0</v>
      </c>
      <c r="K291" s="527">
        <f t="shared" si="647"/>
        <v>-2.4894199651467408E-4</v>
      </c>
      <c r="L291" s="527">
        <f t="shared" si="647"/>
        <v>0</v>
      </c>
      <c r="M291" s="527">
        <f t="shared" si="647"/>
        <v>-7.0671378091865004E-4</v>
      </c>
      <c r="N291" s="527">
        <f t="shared" si="647"/>
        <v>0</v>
      </c>
      <c r="O291" s="527">
        <f t="shared" si="647"/>
        <v>-3.3057851239669367E-2</v>
      </c>
      <c r="P291" s="527">
        <f t="shared" si="647"/>
        <v>0.25096677169865361</v>
      </c>
      <c r="Q291" s="527">
        <f t="shared" si="647"/>
        <v>0.28396916420575519</v>
      </c>
      <c r="R291" s="527">
        <f t="shared" si="647"/>
        <v>0.29622903266490108</v>
      </c>
      <c r="S291" s="527">
        <f t="shared" si="647"/>
        <v>0.20790383775979585</v>
      </c>
      <c r="T291" s="527">
        <f t="shared" si="647"/>
        <v>0.23511597546906332</v>
      </c>
      <c r="U291" s="527">
        <f t="shared" ref="U291:X291" si="648">+U289/U285</f>
        <v>0.23070452155625656</v>
      </c>
      <c r="V291" s="527">
        <f t="shared" si="648"/>
        <v>0.38948365351941538</v>
      </c>
      <c r="W291" s="527">
        <f t="shared" si="648"/>
        <v>0.43221792038832019</v>
      </c>
      <c r="X291" s="527">
        <f t="shared" si="648"/>
        <v>0.46471640545826715</v>
      </c>
      <c r="Y291" s="283"/>
      <c r="Z291" s="527">
        <f t="shared" si="647"/>
        <v>0.19336572148308082</v>
      </c>
      <c r="AA291" s="527">
        <f t="shared" si="647"/>
        <v>0.29914173045697057</v>
      </c>
      <c r="AB291" s="527">
        <f t="shared" si="647"/>
        <v>0</v>
      </c>
      <c r="AC291" s="527">
        <f t="shared" si="647"/>
        <v>0</v>
      </c>
      <c r="AD291" s="527">
        <f t="shared" si="647"/>
        <v>0.10026180087266962</v>
      </c>
      <c r="AE291" s="527">
        <f t="shared" si="647"/>
        <v>0.2581984667802385</v>
      </c>
      <c r="AF291" s="527">
        <f t="shared" si="647"/>
        <v>0.38923219439442269</v>
      </c>
      <c r="AG291" s="527">
        <f t="shared" ca="1" si="647"/>
        <v>0.39805077590444737</v>
      </c>
      <c r="AH291" s="527">
        <f t="shared" ref="AH291" ca="1" si="649">+AH289/AH285</f>
        <v>0.39921524079083909</v>
      </c>
    </row>
    <row r="292" spans="1:34" s="306" customFormat="1">
      <c r="A292" s="283"/>
      <c r="B292" s="524"/>
      <c r="C292" s="525"/>
      <c r="D292" s="526"/>
      <c r="E292" s="527"/>
      <c r="F292" s="527"/>
      <c r="G292" s="527"/>
      <c r="H292" s="527"/>
      <c r="I292" s="527"/>
      <c r="J292" s="527"/>
      <c r="K292" s="527"/>
      <c r="L292" s="527"/>
      <c r="M292" s="527"/>
      <c r="N292" s="527"/>
      <c r="O292" s="527"/>
      <c r="P292" s="527"/>
      <c r="Q292" s="527"/>
      <c r="R292" s="527"/>
      <c r="S292" s="527"/>
      <c r="T292" s="527"/>
      <c r="U292" s="527"/>
      <c r="V292" s="527"/>
      <c r="W292" s="527"/>
      <c r="X292" s="527"/>
      <c r="Y292" s="283"/>
      <c r="Z292" s="527"/>
      <c r="AA292" s="527"/>
      <c r="AB292" s="527"/>
      <c r="AC292" s="527"/>
      <c r="AD292" s="527"/>
      <c r="AE292" s="527"/>
      <c r="AF292" s="527"/>
      <c r="AG292" s="527"/>
      <c r="AH292" s="527"/>
    </row>
    <row r="293" spans="1:34" s="281" customFormat="1">
      <c r="A293" s="283"/>
      <c r="B293" s="518"/>
      <c r="C293" s="528" t="s">
        <v>314</v>
      </c>
      <c r="D293" s="519"/>
      <c r="E293" s="529">
        <f>+E307</f>
        <v>0</v>
      </c>
      <c r="F293" s="529">
        <f t="shared" ref="F293:S293" si="650">+F307</f>
        <v>0</v>
      </c>
      <c r="G293" s="529">
        <f t="shared" si="650"/>
        <v>0</v>
      </c>
      <c r="H293" s="529">
        <f t="shared" si="650"/>
        <v>0</v>
      </c>
      <c r="I293" s="529">
        <f t="shared" si="650"/>
        <v>0</v>
      </c>
      <c r="J293" s="529">
        <f t="shared" si="650"/>
        <v>0</v>
      </c>
      <c r="K293" s="529">
        <f t="shared" si="650"/>
        <v>0</v>
      </c>
      <c r="L293" s="529">
        <f t="shared" si="650"/>
        <v>0</v>
      </c>
      <c r="M293" s="529">
        <f t="shared" si="650"/>
        <v>0</v>
      </c>
      <c r="N293" s="529">
        <f t="shared" si="650"/>
        <v>0</v>
      </c>
      <c r="O293" s="529">
        <f t="shared" si="650"/>
        <v>0</v>
      </c>
      <c r="P293" s="529">
        <f t="shared" si="650"/>
        <v>0</v>
      </c>
      <c r="Q293" s="529">
        <f t="shared" si="650"/>
        <v>0</v>
      </c>
      <c r="R293" s="529">
        <f t="shared" si="650"/>
        <v>0</v>
      </c>
      <c r="S293" s="529">
        <f t="shared" si="650"/>
        <v>0</v>
      </c>
      <c r="T293" s="529">
        <f t="shared" ref="T293" si="651">+T307</f>
        <v>0</v>
      </c>
      <c r="U293" s="529">
        <f t="shared" ref="U293:X293" si="652">+U307</f>
        <v>0</v>
      </c>
      <c r="V293" s="529">
        <f t="shared" si="652"/>
        <v>0</v>
      </c>
      <c r="W293" s="529">
        <f t="shared" si="652"/>
        <v>0</v>
      </c>
      <c r="X293" s="529">
        <f t="shared" si="652"/>
        <v>0</v>
      </c>
      <c r="Y293" s="283"/>
      <c r="Z293" s="529">
        <f t="shared" ref="Z293:AG293" si="653">+Z307</f>
        <v>7.5999999999999998E-2</v>
      </c>
      <c r="AA293" s="529">
        <f t="shared" si="653"/>
        <v>-1E-3</v>
      </c>
      <c r="AB293" s="529">
        <f t="shared" si="653"/>
        <v>0</v>
      </c>
      <c r="AC293" s="529">
        <f t="shared" si="653"/>
        <v>0</v>
      </c>
      <c r="AD293" s="529">
        <f t="shared" si="653"/>
        <v>0</v>
      </c>
      <c r="AE293" s="529">
        <f t="shared" si="653"/>
        <v>0</v>
      </c>
      <c r="AF293" s="529">
        <f t="shared" si="653"/>
        <v>0</v>
      </c>
      <c r="AG293" s="529">
        <f t="shared" si="653"/>
        <v>0</v>
      </c>
      <c r="AH293" s="529">
        <f t="shared" ref="AH293" si="654">+AH307</f>
        <v>0</v>
      </c>
    </row>
    <row r="294" spans="1:34" s="281" customFormat="1">
      <c r="A294" s="283"/>
      <c r="B294" s="518"/>
      <c r="C294" s="528" t="s">
        <v>637</v>
      </c>
      <c r="D294" s="519"/>
      <c r="E294" s="529">
        <f>+E289-E295-E293</f>
        <v>5.0230000000000006</v>
      </c>
      <c r="F294" s="529">
        <f t="shared" ref="F294:AE294" si="655">+F289-F295-F293</f>
        <v>6.8040000000000003</v>
      </c>
      <c r="G294" s="529">
        <f t="shared" si="655"/>
        <v>5.3920000000000003</v>
      </c>
      <c r="H294" s="529">
        <f t="shared" si="655"/>
        <v>2.9800000000000026</v>
      </c>
      <c r="I294" s="529">
        <f t="shared" si="655"/>
        <v>2.782</v>
      </c>
      <c r="J294" s="529">
        <f t="shared" si="655"/>
        <v>2.2709999999999999</v>
      </c>
      <c r="K294" s="529">
        <f t="shared" si="655"/>
        <v>3.7260000000000004</v>
      </c>
      <c r="L294" s="529">
        <f t="shared" si="655"/>
        <v>3.7409999999999997</v>
      </c>
      <c r="M294" s="529">
        <f t="shared" si="655"/>
        <v>8.1179999999999986</v>
      </c>
      <c r="N294" s="529">
        <f t="shared" si="655"/>
        <v>5.218</v>
      </c>
      <c r="O294" s="529">
        <f t="shared" si="655"/>
        <v>-1.6449999999999987</v>
      </c>
      <c r="P294" s="529">
        <f t="shared" si="655"/>
        <v>-3.6610000000000014</v>
      </c>
      <c r="Q294" s="529">
        <f t="shared" si="655"/>
        <v>1.9467500000000015</v>
      </c>
      <c r="R294" s="529">
        <f t="shared" si="655"/>
        <v>7.0000000000032259E-3</v>
      </c>
      <c r="S294" s="529">
        <f t="shared" si="655"/>
        <v>4.9999999999998934E-3</v>
      </c>
      <c r="T294" s="529">
        <f t="shared" ref="T294:U294" si="656">+T289-T295-T293</f>
        <v>0.30825000000001168</v>
      </c>
      <c r="U294" s="529">
        <f t="shared" si="656"/>
        <v>4.9999999999990052E-3</v>
      </c>
      <c r="V294" s="521">
        <v>0</v>
      </c>
      <c r="W294" s="521">
        <v>0</v>
      </c>
      <c r="X294" s="521">
        <v>0</v>
      </c>
      <c r="Y294" s="283"/>
      <c r="Z294" s="529">
        <f t="shared" si="655"/>
        <v>1.7999999999990537E-2</v>
      </c>
      <c r="AA294" s="529">
        <f t="shared" si="655"/>
        <v>22.486000000000001</v>
      </c>
      <c r="AB294" s="529">
        <f t="shared" si="655"/>
        <v>20.199000000000002</v>
      </c>
      <c r="AC294" s="529">
        <f t="shared" si="655"/>
        <v>12.52</v>
      </c>
      <c r="AD294" s="529">
        <f t="shared" si="655"/>
        <v>8.0300000000000029</v>
      </c>
      <c r="AE294" s="529">
        <f t="shared" si="655"/>
        <v>2.267000000000003</v>
      </c>
      <c r="AF294" s="529">
        <f>SUMIF($E$5:$X$5,AF$5,$E294:$X294)</f>
        <v>4.9999999999990052E-3</v>
      </c>
      <c r="AG294" s="529">
        <v>0</v>
      </c>
      <c r="AH294" s="529">
        <v>0</v>
      </c>
    </row>
    <row r="295" spans="1:34" s="307" customFormat="1">
      <c r="A295" s="283"/>
      <c r="B295" s="504"/>
      <c r="C295" s="522" t="s">
        <v>599</v>
      </c>
      <c r="D295" s="505"/>
      <c r="E295" s="530">
        <v>-4.1459999999999999</v>
      </c>
      <c r="F295" s="530">
        <v>-5.2610000000000001</v>
      </c>
      <c r="G295" s="530">
        <v>-5.4039999999999999</v>
      </c>
      <c r="H295" s="531">
        <f>SUMIF($Z$6:$AG$6,H$6,$Z295:$AG295)-SUM(E295:G295)</f>
        <v>-5.3880000000000017</v>
      </c>
      <c r="I295" s="530">
        <v>-2.7810000000000001</v>
      </c>
      <c r="J295" s="530">
        <v>-2.2709999999999999</v>
      </c>
      <c r="K295" s="530">
        <v>-3.7269999999999999</v>
      </c>
      <c r="L295" s="531">
        <f>SUMIF($Z$6:$AG$6,L$6,$Z295:$AG295)-SUM(I295:K295)</f>
        <v>-3.7409999999999997</v>
      </c>
      <c r="M295" s="530">
        <v>-8.1199999999999992</v>
      </c>
      <c r="N295" s="530">
        <v>-5.218</v>
      </c>
      <c r="O295" s="530">
        <v>0.95699999999999996</v>
      </c>
      <c r="P295" s="531">
        <f>SUMIF($Z$6:$AG$6,P$6,$Z295:$AG295)-SUM(M295:O295)</f>
        <v>10.669999999999998</v>
      </c>
      <c r="Q295" s="530">
        <v>6.3230000000000004</v>
      </c>
      <c r="R295" s="774">
        <v>11.737</v>
      </c>
      <c r="S295" s="774">
        <v>6.1870000000000003</v>
      </c>
      <c r="T295" s="531">
        <f>SUMIF($Z$6:$AG$6,T$6,$Z295:$AG295)-SUM(Q295:S295)</f>
        <v>7.4359999999999964</v>
      </c>
      <c r="U295" s="530">
        <v>8.7710000000000008</v>
      </c>
      <c r="V295" s="531">
        <f t="shared" ref="V295:X295" si="657">+V289-SUM(V293:V294)</f>
        <v>19.714983042707189</v>
      </c>
      <c r="W295" s="531">
        <f t="shared" si="657"/>
        <v>19.986391649116214</v>
      </c>
      <c r="X295" s="531">
        <f t="shared" si="657"/>
        <v>24.810218309214552</v>
      </c>
      <c r="Y295" s="283"/>
      <c r="Z295" s="530">
        <v>18.175000000000001</v>
      </c>
      <c r="AA295" s="530">
        <v>-16.036999999999999</v>
      </c>
      <c r="AB295" s="530">
        <v>-20.199000000000002</v>
      </c>
      <c r="AC295" s="530">
        <v>-12.52</v>
      </c>
      <c r="AD295" s="530">
        <v>-1.7110000000000001</v>
      </c>
      <c r="AE295" s="530">
        <v>31.683</v>
      </c>
      <c r="AF295" s="531">
        <f>+AF289-SUM(AF293:AF294)</f>
        <v>73.282593001037952</v>
      </c>
      <c r="AG295" s="531">
        <f ca="1">+AG289-SUM(AG293:AG294)</f>
        <v>79.021727774551835</v>
      </c>
      <c r="AH295" s="531">
        <f ca="1">+AH289-SUM(AH293:AH294)</f>
        <v>84.722427492724336</v>
      </c>
    </row>
    <row r="296" spans="1:34" s="281" customFormat="1" ht="2.2000000000000002" customHeight="1">
      <c r="A296" s="283"/>
      <c r="B296" s="518"/>
      <c r="C296" s="522"/>
      <c r="D296" s="519"/>
      <c r="E296" s="506"/>
      <c r="F296" s="506"/>
      <c r="G296" s="506"/>
      <c r="H296" s="506"/>
      <c r="I296" s="506"/>
      <c r="J296" s="506"/>
      <c r="K296" s="506"/>
      <c r="L296" s="506"/>
      <c r="M296" s="506"/>
      <c r="N296" s="506"/>
      <c r="O296" s="506"/>
      <c r="P296" s="506"/>
      <c r="Q296" s="506"/>
      <c r="R296" s="506"/>
      <c r="S296" s="506"/>
      <c r="T296" s="506"/>
      <c r="U296" s="506"/>
      <c r="V296" s="506"/>
      <c r="W296" s="506"/>
      <c r="X296" s="506"/>
      <c r="Y296" s="283"/>
      <c r="Z296" s="506"/>
      <c r="AA296" s="506"/>
      <c r="AB296" s="506"/>
      <c r="AC296" s="506"/>
      <c r="AD296" s="506"/>
      <c r="AE296" s="506"/>
      <c r="AF296" s="506"/>
      <c r="AG296" s="506"/>
      <c r="AH296" s="506"/>
    </row>
    <row r="297" spans="1:34" s="306" customFormat="1">
      <c r="A297" s="283"/>
      <c r="B297" s="524"/>
      <c r="C297" s="525" t="s">
        <v>598</v>
      </c>
      <c r="D297" s="526"/>
      <c r="E297" s="527">
        <f t="shared" ref="E297:R297" si="658">+E295/E285</f>
        <v>-0.83303194695599747</v>
      </c>
      <c r="F297" s="527">
        <f t="shared" si="658"/>
        <v>-1.6005476118040767</v>
      </c>
      <c r="G297" s="527">
        <f t="shared" si="658"/>
        <v>491.27272727272731</v>
      </c>
      <c r="H297" s="527">
        <f t="shared" si="658"/>
        <v>-3.5991983967935886</v>
      </c>
      <c r="I297" s="527">
        <f t="shared" si="658"/>
        <v>-1.274518790100825</v>
      </c>
      <c r="J297" s="527">
        <f t="shared" si="658"/>
        <v>-0.458695213088265</v>
      </c>
      <c r="K297" s="527">
        <f t="shared" si="658"/>
        <v>-0.92780682101070444</v>
      </c>
      <c r="L297" s="527">
        <f t="shared" si="658"/>
        <v>-0.6837872418205081</v>
      </c>
      <c r="M297" s="527">
        <f t="shared" si="658"/>
        <v>-2.8692579505300349</v>
      </c>
      <c r="N297" s="527">
        <f t="shared" si="658"/>
        <v>-0.45552160628546484</v>
      </c>
      <c r="O297" s="527">
        <f t="shared" si="658"/>
        <v>4.5983086680761093E-2</v>
      </c>
      <c r="P297" s="527">
        <f t="shared" si="658"/>
        <v>0.38205385276425091</v>
      </c>
      <c r="Q297" s="527">
        <f t="shared" si="658"/>
        <v>0.21712107684911752</v>
      </c>
      <c r="R297" s="527">
        <f t="shared" si="658"/>
        <v>0.29605246563248833</v>
      </c>
      <c r="S297" s="527">
        <f>+S295/S285</f>
        <v>0.20773595675385287</v>
      </c>
      <c r="T297" s="527">
        <f>+T295/T285</f>
        <v>0.22575748375736218</v>
      </c>
      <c r="U297" s="527">
        <f t="shared" ref="U297:X297" si="659">+U295/U285</f>
        <v>0.23057308096740275</v>
      </c>
      <c r="V297" s="527">
        <f t="shared" si="659"/>
        <v>0.38948365351941538</v>
      </c>
      <c r="W297" s="527">
        <f t="shared" si="659"/>
        <v>0.43221792038832019</v>
      </c>
      <c r="X297" s="527">
        <f t="shared" si="659"/>
        <v>0.46471640545826715</v>
      </c>
      <c r="Y297" s="283"/>
      <c r="Z297" s="527">
        <f t="shared" ref="Z297:AF297" si="660">+Z295/Z285</f>
        <v>0.19237079139279628</v>
      </c>
      <c r="AA297" s="527">
        <f t="shared" si="660"/>
        <v>-0.74400371143586175</v>
      </c>
      <c r="AB297" s="527">
        <f t="shared" si="660"/>
        <v>-2.0716923076923077</v>
      </c>
      <c r="AC297" s="527">
        <f t="shared" si="660"/>
        <v>-0.75326394320438006</v>
      </c>
      <c r="AD297" s="527">
        <f t="shared" si="660"/>
        <v>-2.7147957159857201E-2</v>
      </c>
      <c r="AE297" s="527">
        <f t="shared" si="660"/>
        <v>0.24095734972012656</v>
      </c>
      <c r="AF297" s="527">
        <f t="shared" si="660"/>
        <v>0.3892056392724399</v>
      </c>
      <c r="AG297" s="527">
        <f ca="1">+AG295/AG285</f>
        <v>0.39805077590444737</v>
      </c>
      <c r="AH297" s="527">
        <f ca="1">+AH295/AH285</f>
        <v>0.39921524079083909</v>
      </c>
    </row>
    <row r="298" spans="1:34">
      <c r="H298" s="282"/>
      <c r="L298" s="282"/>
      <c r="P298" s="282"/>
      <c r="U298" s="329"/>
      <c r="V298" s="329"/>
      <c r="W298" s="329"/>
      <c r="X298" s="329"/>
      <c r="Y298" s="283"/>
      <c r="AE298" s="282"/>
    </row>
    <row r="299" spans="1:34">
      <c r="C299" s="281" t="s">
        <v>311</v>
      </c>
      <c r="E299" s="283">
        <f t="shared" ref="E299:T299" si="661">E287</f>
        <v>3.4790000000000001</v>
      </c>
      <c r="F299" s="283">
        <f t="shared" si="661"/>
        <v>1.5620000000000001</v>
      </c>
      <c r="G299" s="283">
        <f t="shared" si="661"/>
        <v>1E-3</v>
      </c>
      <c r="H299" s="283">
        <f t="shared" si="661"/>
        <v>3.6959999999999988</v>
      </c>
      <c r="I299" s="283">
        <f t="shared" si="661"/>
        <v>2.012</v>
      </c>
      <c r="J299" s="283">
        <f t="shared" si="661"/>
        <v>4.5289999999999999</v>
      </c>
      <c r="K299" s="283">
        <f t="shared" si="661"/>
        <v>3.718</v>
      </c>
      <c r="L299" s="283">
        <f t="shared" si="661"/>
        <v>5.1869999999999994</v>
      </c>
      <c r="M299" s="283">
        <f t="shared" si="661"/>
        <v>2.5299999999999998</v>
      </c>
      <c r="N299" s="283">
        <f t="shared" si="661"/>
        <v>9.5609999999999999</v>
      </c>
      <c r="O299" s="283">
        <f t="shared" si="661"/>
        <v>18.544</v>
      </c>
      <c r="P299" s="283">
        <f t="shared" si="661"/>
        <v>14.597999999999999</v>
      </c>
      <c r="Q299" s="283">
        <f t="shared" si="661"/>
        <v>16.457999999999998</v>
      </c>
      <c r="R299" s="283">
        <f t="shared" si="661"/>
        <v>20.498999999999999</v>
      </c>
      <c r="S299" s="283">
        <f t="shared" si="661"/>
        <v>17.001000000000001</v>
      </c>
      <c r="T299" s="283">
        <f t="shared" si="661"/>
        <v>16.733999999999995</v>
      </c>
      <c r="U299" s="283">
        <f t="shared" ref="U299:X299" si="662">U287</f>
        <v>21.231999999999999</v>
      </c>
      <c r="V299" s="283">
        <f t="shared" si="662"/>
        <v>20.644141719216726</v>
      </c>
      <c r="W299" s="283">
        <f t="shared" si="662"/>
        <v>17.12137437769665</v>
      </c>
      <c r="X299" s="283">
        <f t="shared" si="662"/>
        <v>16.852483903086622</v>
      </c>
      <c r="Y299" s="283"/>
      <c r="Z299" s="283">
        <f t="shared" ref="Z299:AG299" si="663">Z287</f>
        <v>64.400000000000006</v>
      </c>
      <c r="AA299" s="283">
        <f t="shared" si="663"/>
        <v>12.66</v>
      </c>
      <c r="AB299" s="283">
        <f t="shared" si="663"/>
        <v>8.7379999999999995</v>
      </c>
      <c r="AC299" s="283">
        <f t="shared" si="663"/>
        <v>15.446</v>
      </c>
      <c r="AD299" s="283">
        <f t="shared" si="663"/>
        <v>45.232999999999997</v>
      </c>
      <c r="AE299" s="283">
        <f t="shared" ref="AE299" si="664">AE287</f>
        <v>70.691999999999993</v>
      </c>
      <c r="AF299" s="283">
        <f t="shared" si="663"/>
        <v>75.849999999999994</v>
      </c>
      <c r="AG299" s="283">
        <f t="shared" si="663"/>
        <v>78.349999999999994</v>
      </c>
      <c r="AH299" s="283">
        <f t="shared" ref="AH299" si="665">AH287</f>
        <v>82.35</v>
      </c>
    </row>
    <row r="300" spans="1:34">
      <c r="C300" s="281" t="s">
        <v>427</v>
      </c>
      <c r="E300" s="305">
        <v>0.57199999999999995</v>
      </c>
      <c r="F300" s="305">
        <v>5.5E-2</v>
      </c>
      <c r="G300" s="305">
        <v>0.13400000000000001</v>
      </c>
      <c r="H300" s="305">
        <v>7.8E-2</v>
      </c>
      <c r="I300" s="305">
        <v>0.81</v>
      </c>
      <c r="J300" s="305">
        <v>0.52400000000000002</v>
      </c>
      <c r="K300" s="305">
        <v>0.5</v>
      </c>
      <c r="L300" s="305">
        <v>1.05</v>
      </c>
      <c r="M300" s="305">
        <v>0.432</v>
      </c>
      <c r="N300" s="305">
        <v>3.032</v>
      </c>
      <c r="O300" s="305">
        <v>4.0380000000000003</v>
      </c>
      <c r="P300" s="305">
        <v>4.59</v>
      </c>
      <c r="Q300" s="305">
        <v>4.9779999999999998</v>
      </c>
      <c r="R300" s="305">
        <v>4.6859999999999999</v>
      </c>
      <c r="S300" s="305">
        <v>3.427</v>
      </c>
      <c r="T300" s="305">
        <v>3.6360000000000001</v>
      </c>
      <c r="U300" s="305">
        <v>3.677</v>
      </c>
      <c r="V300" s="282">
        <f t="shared" ref="V300" si="666">($AF300-$U300)*R300/SUM($R300:$T300)</f>
        <v>4.7753407098476472</v>
      </c>
      <c r="W300" s="282">
        <f t="shared" ref="W300" si="667">($AF300-$U300)*S300/SUM($R300:$T300)</f>
        <v>3.4923373053025797</v>
      </c>
      <c r="X300" s="282">
        <f t="shared" ref="X300" si="668">($AF300-$U300)*T300/SUM($R300:$T300)</f>
        <v>3.7053219848497756</v>
      </c>
      <c r="Y300" s="283"/>
      <c r="Z300" s="305">
        <v>20.277000000000001</v>
      </c>
      <c r="AA300" s="305">
        <v>4.7590000000000003</v>
      </c>
      <c r="AB300" s="282">
        <f t="shared" ref="AB300:AE303" si="669">SUMIF($E$5:$T$5,AB$5,$E300:$T300)</f>
        <v>0.83899999999999997</v>
      </c>
      <c r="AC300" s="282">
        <f t="shared" si="669"/>
        <v>2.8840000000000003</v>
      </c>
      <c r="AD300" s="282">
        <f t="shared" si="669"/>
        <v>12.092000000000001</v>
      </c>
      <c r="AE300" s="282">
        <f t="shared" si="669"/>
        <v>16.727</v>
      </c>
      <c r="AF300" s="377">
        <v>15.65</v>
      </c>
      <c r="AG300" s="539">
        <f t="shared" ref="AG300:AH303" si="670">+AF300</f>
        <v>15.65</v>
      </c>
      <c r="AH300" s="539">
        <f t="shared" si="670"/>
        <v>15.65</v>
      </c>
    </row>
    <row r="301" spans="1:34">
      <c r="C301" s="281" t="s">
        <v>428</v>
      </c>
      <c r="E301" s="305">
        <v>-1.022</v>
      </c>
      <c r="F301" s="305">
        <v>-1.1599999999999999</v>
      </c>
      <c r="G301" s="305">
        <v>0</v>
      </c>
      <c r="H301" s="305">
        <v>-0.14799999999999999</v>
      </c>
      <c r="I301" s="305">
        <v>1.4830000000000001</v>
      </c>
      <c r="J301" s="305">
        <v>-0.64100000000000001</v>
      </c>
      <c r="K301" s="305">
        <v>-0.13400000000000001</v>
      </c>
      <c r="L301" s="305">
        <v>0.308</v>
      </c>
      <c r="M301" s="305">
        <v>0.91400000000000003</v>
      </c>
      <c r="N301" s="305">
        <v>-0.11799999999999999</v>
      </c>
      <c r="O301" s="305">
        <v>1.0999999999999999E-2</v>
      </c>
      <c r="P301" s="305">
        <v>1.5329999999999999</v>
      </c>
      <c r="Q301" s="305">
        <v>-9.2999999999999999E-2</v>
      </c>
      <c r="R301" s="305">
        <v>-1.5960000000000001</v>
      </c>
      <c r="S301" s="305">
        <v>-6.8000000000000005E-2</v>
      </c>
      <c r="T301" s="305">
        <v>1.351</v>
      </c>
      <c r="U301" s="305">
        <v>-0.90500000000000003</v>
      </c>
      <c r="V301" s="314">
        <f>($AF$301-$U$301)/3</f>
        <v>-0.19833333333333333</v>
      </c>
      <c r="W301" s="314">
        <f t="shared" ref="W301:X301" si="671">($AF$301-$U$301)/3</f>
        <v>-0.19833333333333333</v>
      </c>
      <c r="X301" s="314">
        <f t="shared" si="671"/>
        <v>-0.19833333333333333</v>
      </c>
      <c r="Y301" s="283"/>
      <c r="Z301" s="305">
        <v>-1.1619999999999999</v>
      </c>
      <c r="AA301" s="305">
        <v>1.853</v>
      </c>
      <c r="AB301" s="282">
        <f t="shared" si="669"/>
        <v>-2.33</v>
      </c>
      <c r="AC301" s="282">
        <f t="shared" si="669"/>
        <v>1.016</v>
      </c>
      <c r="AD301" s="282">
        <f t="shared" si="669"/>
        <v>2.34</v>
      </c>
      <c r="AE301" s="282">
        <f t="shared" si="669"/>
        <v>-0.40600000000000014</v>
      </c>
      <c r="AF301" s="377">
        <v>-1.5</v>
      </c>
      <c r="AG301" s="539">
        <f t="shared" si="670"/>
        <v>-1.5</v>
      </c>
      <c r="AH301" s="539">
        <f t="shared" si="670"/>
        <v>-1.5</v>
      </c>
    </row>
    <row r="302" spans="1:34">
      <c r="C302" s="281" t="s">
        <v>429</v>
      </c>
      <c r="E302" s="305">
        <v>-4.4999999999999998E-2</v>
      </c>
      <c r="F302" s="305">
        <v>-5.8000000000000003E-2</v>
      </c>
      <c r="G302" s="305">
        <v>0.10299999999999999</v>
      </c>
      <c r="H302" s="305">
        <v>0</v>
      </c>
      <c r="I302" s="305">
        <v>0</v>
      </c>
      <c r="J302" s="305">
        <v>0</v>
      </c>
      <c r="K302" s="305">
        <v>0</v>
      </c>
      <c r="L302" s="305">
        <v>0</v>
      </c>
      <c r="M302" s="305">
        <v>0</v>
      </c>
      <c r="N302" s="305">
        <v>0</v>
      </c>
      <c r="O302" s="305">
        <v>0</v>
      </c>
      <c r="P302" s="305">
        <v>-0.27400000000000002</v>
      </c>
      <c r="Q302" s="305">
        <v>-0.23300000000000001</v>
      </c>
      <c r="R302" s="305">
        <v>-0.32500000000000001</v>
      </c>
      <c r="S302" s="305">
        <v>-0.28100000000000003</v>
      </c>
      <c r="T302" s="305">
        <v>-0.19900000000000001</v>
      </c>
      <c r="U302" s="305">
        <v>-0.36099999999999999</v>
      </c>
      <c r="V302" s="282">
        <f t="shared" ref="V302" si="672">($AF302-$U302)*R302/SUM($R302:$T302)</f>
        <v>0.67059006211180106</v>
      </c>
      <c r="W302" s="282">
        <f t="shared" ref="W302" si="673">($AF302-$U302)*S302/SUM($R302:$T302)</f>
        <v>0.57980248447204963</v>
      </c>
      <c r="X302" s="282">
        <f t="shared" ref="X302" si="674">($AF302-$U302)*T302/SUM($R302:$T302)</f>
        <v>0.41060745341614902</v>
      </c>
      <c r="Y302" s="283"/>
      <c r="Z302" s="305">
        <v>-0.82199999999999995</v>
      </c>
      <c r="AA302" s="305">
        <v>-0.115</v>
      </c>
      <c r="AB302" s="282">
        <f t="shared" si="669"/>
        <v>-1.3877787807814457E-17</v>
      </c>
      <c r="AC302" s="282">
        <f t="shared" si="669"/>
        <v>0</v>
      </c>
      <c r="AD302" s="282">
        <f t="shared" si="669"/>
        <v>-0.27400000000000002</v>
      </c>
      <c r="AE302" s="282">
        <f t="shared" si="669"/>
        <v>-1.038</v>
      </c>
      <c r="AF302" s="377">
        <v>1.3</v>
      </c>
      <c r="AG302" s="539">
        <f t="shared" si="670"/>
        <v>1.3</v>
      </c>
      <c r="AH302" s="539">
        <f t="shared" si="670"/>
        <v>1.3</v>
      </c>
    </row>
    <row r="303" spans="1:34">
      <c r="C303" s="281" t="s">
        <v>442</v>
      </c>
      <c r="E303" s="305">
        <v>-2.984</v>
      </c>
      <c r="F303" s="305">
        <v>-0.39900000000000002</v>
      </c>
      <c r="G303" s="305">
        <v>-0.23799999999999999</v>
      </c>
      <c r="H303" s="305">
        <v>-3.6259999999999999</v>
      </c>
      <c r="I303" s="305">
        <v>-4.3049999999999997</v>
      </c>
      <c r="J303" s="305">
        <v>-4.4119999999999999</v>
      </c>
      <c r="K303" s="305">
        <v>-4.0839999999999996</v>
      </c>
      <c r="L303" s="305">
        <v>-6.5449999999999999</v>
      </c>
      <c r="M303" s="305">
        <v>-3.8759999999999999</v>
      </c>
      <c r="N303" s="305">
        <v>-12.475</v>
      </c>
      <c r="O303" s="305">
        <v>-22.593</v>
      </c>
      <c r="P303" s="305">
        <v>0</v>
      </c>
      <c r="Q303" s="305">
        <v>0</v>
      </c>
      <c r="R303" s="305">
        <v>0</v>
      </c>
      <c r="S303" s="305">
        <v>0</v>
      </c>
      <c r="T303" s="305">
        <v>0</v>
      </c>
      <c r="U303" s="305">
        <v>0</v>
      </c>
      <c r="V303" s="305">
        <v>0</v>
      </c>
      <c r="W303" s="305">
        <v>0</v>
      </c>
      <c r="X303" s="305">
        <v>0</v>
      </c>
      <c r="Y303" s="283"/>
      <c r="Z303" s="305">
        <v>0</v>
      </c>
      <c r="AA303" s="305">
        <v>0</v>
      </c>
      <c r="AB303" s="282">
        <f t="shared" si="669"/>
        <v>-7.2469999999999999</v>
      </c>
      <c r="AC303" s="282">
        <f t="shared" si="669"/>
        <v>-19.345999999999997</v>
      </c>
      <c r="AD303" s="282">
        <f t="shared" si="669"/>
        <v>-38.944000000000003</v>
      </c>
      <c r="AE303" s="282">
        <f t="shared" si="669"/>
        <v>0</v>
      </c>
      <c r="AF303" s="377">
        <v>0</v>
      </c>
      <c r="AG303" s="539">
        <f t="shared" si="670"/>
        <v>0</v>
      </c>
      <c r="AH303" s="539">
        <f t="shared" si="670"/>
        <v>0</v>
      </c>
    </row>
    <row r="304" spans="1:34">
      <c r="C304" s="320" t="s">
        <v>436</v>
      </c>
      <c r="E304" s="382">
        <f>SUM(E299:E303)</f>
        <v>0</v>
      </c>
      <c r="F304" s="382">
        <f t="shared" ref="F304:Q304" si="675">SUM(F299:F303)</f>
        <v>0</v>
      </c>
      <c r="G304" s="382">
        <f t="shared" si="675"/>
        <v>0</v>
      </c>
      <c r="H304" s="382">
        <f t="shared" si="675"/>
        <v>0</v>
      </c>
      <c r="I304" s="382">
        <f t="shared" si="675"/>
        <v>0</v>
      </c>
      <c r="J304" s="382">
        <f t="shared" si="675"/>
        <v>0</v>
      </c>
      <c r="K304" s="382">
        <f t="shared" si="675"/>
        <v>0</v>
      </c>
      <c r="L304" s="382">
        <f t="shared" si="675"/>
        <v>0</v>
      </c>
      <c r="M304" s="382">
        <f t="shared" si="675"/>
        <v>0</v>
      </c>
      <c r="N304" s="382">
        <f t="shared" si="675"/>
        <v>0</v>
      </c>
      <c r="O304" s="382">
        <f t="shared" si="675"/>
        <v>0</v>
      </c>
      <c r="P304" s="382">
        <f t="shared" si="675"/>
        <v>20.446999999999999</v>
      </c>
      <c r="Q304" s="382">
        <f t="shared" si="675"/>
        <v>21.11</v>
      </c>
      <c r="R304" s="769">
        <f t="shared" ref="R304:T304" si="676">SUM(R299:R303)</f>
        <v>23.263999999999999</v>
      </c>
      <c r="S304" s="769">
        <f t="shared" ref="S304" si="677">SUM(S299:S303)</f>
        <v>20.079000000000001</v>
      </c>
      <c r="T304" s="769">
        <f t="shared" si="676"/>
        <v>21.521999999999991</v>
      </c>
      <c r="U304" s="769">
        <f t="shared" ref="U304:X304" si="678">SUM(U299:U303)</f>
        <v>23.642999999999997</v>
      </c>
      <c r="V304" s="769">
        <f t="shared" si="678"/>
        <v>25.891739157842842</v>
      </c>
      <c r="W304" s="769">
        <f t="shared" si="678"/>
        <v>20.995180834137948</v>
      </c>
      <c r="X304" s="769">
        <f t="shared" si="678"/>
        <v>20.77008000801921</v>
      </c>
      <c r="Y304" s="283"/>
      <c r="Z304" s="382">
        <f t="shared" ref="Z304:AG304" si="679">SUM(Z299:Z303)</f>
        <v>82.692999999999998</v>
      </c>
      <c r="AA304" s="382">
        <f t="shared" si="679"/>
        <v>19.157000000000004</v>
      </c>
      <c r="AB304" s="382">
        <f t="shared" si="679"/>
        <v>0</v>
      </c>
      <c r="AC304" s="382">
        <f t="shared" si="679"/>
        <v>0</v>
      </c>
      <c r="AD304" s="382">
        <f t="shared" si="679"/>
        <v>20.446999999999989</v>
      </c>
      <c r="AE304" s="382">
        <f t="shared" ref="AE304" si="680">SUM(AE299:AE303)</f>
        <v>85.974999999999994</v>
      </c>
      <c r="AF304" s="382">
        <f t="shared" si="679"/>
        <v>91.3</v>
      </c>
      <c r="AG304" s="382">
        <f t="shared" si="679"/>
        <v>93.8</v>
      </c>
      <c r="AH304" s="382">
        <f t="shared" ref="AH304" si="681">SUM(AH299:AH303)</f>
        <v>97.8</v>
      </c>
    </row>
    <row r="305" spans="1:35">
      <c r="E305" s="314"/>
      <c r="F305" s="314"/>
      <c r="G305" s="314"/>
      <c r="H305" s="314"/>
      <c r="I305" s="314"/>
      <c r="J305" s="314"/>
      <c r="K305" s="314"/>
      <c r="L305" s="314"/>
      <c r="M305" s="314"/>
      <c r="N305" s="314"/>
      <c r="O305" s="314"/>
      <c r="P305" s="314"/>
      <c r="Q305" s="314"/>
      <c r="Y305" s="283"/>
      <c r="AB305" s="282"/>
      <c r="AC305" s="282"/>
      <c r="AD305" s="282"/>
      <c r="AE305" s="282"/>
      <c r="AF305" s="329"/>
      <c r="AG305" s="329"/>
      <c r="AH305" s="329"/>
      <c r="AI305" s="329"/>
    </row>
    <row r="306" spans="1:35">
      <c r="C306" s="281" t="s">
        <v>429</v>
      </c>
      <c r="E306" s="305">
        <v>0</v>
      </c>
      <c r="F306" s="305">
        <v>0</v>
      </c>
      <c r="G306" s="305">
        <v>0</v>
      </c>
      <c r="H306" s="305">
        <v>0</v>
      </c>
      <c r="I306" s="305">
        <v>0</v>
      </c>
      <c r="J306" s="305">
        <v>0</v>
      </c>
      <c r="K306" s="305">
        <v>0</v>
      </c>
      <c r="L306" s="305">
        <v>0</v>
      </c>
      <c r="M306" s="305">
        <v>0</v>
      </c>
      <c r="N306" s="305">
        <v>0</v>
      </c>
      <c r="O306" s="305">
        <v>0</v>
      </c>
      <c r="P306" s="305">
        <v>0.222</v>
      </c>
      <c r="Q306" s="305">
        <v>0.26400000000000001</v>
      </c>
      <c r="R306" s="305">
        <v>0.26400000000000001</v>
      </c>
      <c r="S306" s="305">
        <v>0.26400000000000001</v>
      </c>
      <c r="T306" s="305">
        <v>0.26400000000000001</v>
      </c>
      <c r="U306" s="305">
        <v>0.28199999999999997</v>
      </c>
      <c r="V306" s="282">
        <f t="shared" ref="V306" si="682">($AF306-$U306)*R306/SUM($R306:$T306)</f>
        <v>0.23933333333333331</v>
      </c>
      <c r="W306" s="282">
        <f t="shared" ref="W306" si="683">($AF306-$U306)*S306/SUM($R306:$T306)</f>
        <v>0.23933333333333331</v>
      </c>
      <c r="X306" s="282">
        <f t="shared" ref="X306" si="684">($AF306-$U306)*T306/SUM($R306:$T306)</f>
        <v>0.23933333333333331</v>
      </c>
      <c r="Y306" s="283"/>
      <c r="Z306" s="305">
        <v>0.72</v>
      </c>
      <c r="AA306" s="305">
        <v>0.217</v>
      </c>
      <c r="AB306" s="282">
        <f t="shared" ref="AB306:AE309" si="685">SUMIF($E$5:$T$5,AB$5,$E306:$T306)</f>
        <v>0</v>
      </c>
      <c r="AC306" s="282">
        <f t="shared" si="685"/>
        <v>0</v>
      </c>
      <c r="AD306" s="282">
        <f t="shared" si="685"/>
        <v>0.222</v>
      </c>
      <c r="AE306" s="282">
        <f t="shared" si="685"/>
        <v>1.056</v>
      </c>
      <c r="AF306" s="377">
        <v>1</v>
      </c>
      <c r="AG306" s="539">
        <f t="shared" ref="AG306:AH309" si="686">+AF306</f>
        <v>1</v>
      </c>
      <c r="AH306" s="539">
        <f t="shared" si="686"/>
        <v>1</v>
      </c>
    </row>
    <row r="307" spans="1:35">
      <c r="C307" s="281" t="s">
        <v>314</v>
      </c>
      <c r="E307" s="305">
        <v>0</v>
      </c>
      <c r="F307" s="305">
        <v>0</v>
      </c>
      <c r="G307" s="305">
        <v>0</v>
      </c>
      <c r="H307" s="305">
        <v>0</v>
      </c>
      <c r="I307" s="305">
        <v>0</v>
      </c>
      <c r="J307" s="305">
        <v>0</v>
      </c>
      <c r="K307" s="305">
        <v>0</v>
      </c>
      <c r="L307" s="305">
        <v>0</v>
      </c>
      <c r="M307" s="305">
        <v>0</v>
      </c>
      <c r="N307" s="305">
        <v>0</v>
      </c>
      <c r="O307" s="305">
        <v>0</v>
      </c>
      <c r="P307" s="305">
        <v>0</v>
      </c>
      <c r="Q307" s="305">
        <v>0</v>
      </c>
      <c r="R307" s="305">
        <v>0</v>
      </c>
      <c r="S307" s="305">
        <v>0</v>
      </c>
      <c r="T307" s="305">
        <v>0</v>
      </c>
      <c r="U307" s="305">
        <v>0</v>
      </c>
      <c r="V307" s="305">
        <v>0</v>
      </c>
      <c r="W307" s="305">
        <v>0</v>
      </c>
      <c r="X307" s="305">
        <v>0</v>
      </c>
      <c r="Y307" s="283"/>
      <c r="Z307" s="305">
        <v>7.5999999999999998E-2</v>
      </c>
      <c r="AA307" s="305">
        <v>-1E-3</v>
      </c>
      <c r="AB307" s="282">
        <f t="shared" si="685"/>
        <v>0</v>
      </c>
      <c r="AC307" s="282">
        <f t="shared" si="685"/>
        <v>0</v>
      </c>
      <c r="AD307" s="282">
        <f t="shared" si="685"/>
        <v>0</v>
      </c>
      <c r="AE307" s="282">
        <f t="shared" si="685"/>
        <v>0</v>
      </c>
      <c r="AF307" s="377">
        <v>0</v>
      </c>
      <c r="AG307" s="539">
        <f t="shared" si="686"/>
        <v>0</v>
      </c>
      <c r="AH307" s="539">
        <f t="shared" si="686"/>
        <v>0</v>
      </c>
    </row>
    <row r="308" spans="1:35">
      <c r="C308" s="281" t="s">
        <v>430</v>
      </c>
      <c r="E308" s="305">
        <v>0</v>
      </c>
      <c r="F308" s="305">
        <v>0</v>
      </c>
      <c r="G308" s="305">
        <v>0</v>
      </c>
      <c r="H308" s="305">
        <v>0</v>
      </c>
      <c r="I308" s="305">
        <v>0</v>
      </c>
      <c r="J308" s="305">
        <v>0</v>
      </c>
      <c r="K308" s="305">
        <v>0</v>
      </c>
      <c r="L308" s="305">
        <v>0</v>
      </c>
      <c r="M308" s="305">
        <v>0</v>
      </c>
      <c r="N308" s="305">
        <v>0</v>
      </c>
      <c r="O308" s="305">
        <v>0</v>
      </c>
      <c r="P308" s="305">
        <v>7.1539999999999999</v>
      </c>
      <c r="Q308" s="305">
        <v>5.4539999999999997</v>
      </c>
      <c r="R308" s="305">
        <v>5.2439999999999998</v>
      </c>
      <c r="S308" s="305">
        <v>8.4060000000000006</v>
      </c>
      <c r="T308" s="305">
        <v>7.4130000000000003</v>
      </c>
      <c r="U308" s="305">
        <v>5.5620000000000003</v>
      </c>
      <c r="V308" s="282">
        <f t="shared" ref="V308" si="687">($AF308-$U308)*R308/SUM($R308:$T308)</f>
        <v>5.8104007976071772</v>
      </c>
      <c r="W308" s="282">
        <f t="shared" ref="W308" si="688">($AF308-$U308)*S308/SUM($R308:$T308)</f>
        <v>9.3139262213359899</v>
      </c>
      <c r="X308" s="282">
        <f t="shared" ref="X308" si="689">($AF308-$U308)*T308/SUM($R308:$T308)</f>
        <v>8.2136729810568276</v>
      </c>
      <c r="Y308" s="283"/>
      <c r="Z308" s="305">
        <v>41.536000000000001</v>
      </c>
      <c r="AA308" s="305">
        <v>5.3769999999999998</v>
      </c>
      <c r="AB308" s="282">
        <f t="shared" si="685"/>
        <v>0</v>
      </c>
      <c r="AC308" s="282">
        <f t="shared" si="685"/>
        <v>0</v>
      </c>
      <c r="AD308" s="282">
        <f t="shared" si="685"/>
        <v>7.1539999999999999</v>
      </c>
      <c r="AE308" s="282">
        <f t="shared" si="685"/>
        <v>26.516999999999999</v>
      </c>
      <c r="AF308" s="377">
        <v>28.9</v>
      </c>
      <c r="AG308" s="539">
        <f t="shared" si="686"/>
        <v>28.9</v>
      </c>
      <c r="AH308" s="539">
        <f t="shared" si="686"/>
        <v>28.9</v>
      </c>
    </row>
    <row r="309" spans="1:35">
      <c r="C309" s="281" t="s">
        <v>313</v>
      </c>
      <c r="E309" s="305">
        <v>0</v>
      </c>
      <c r="F309" s="305">
        <v>0</v>
      </c>
      <c r="G309" s="305">
        <v>0</v>
      </c>
      <c r="H309" s="305">
        <v>0</v>
      </c>
      <c r="I309" s="305">
        <v>0</v>
      </c>
      <c r="J309" s="305">
        <v>0</v>
      </c>
      <c r="K309" s="305">
        <v>0</v>
      </c>
      <c r="L309" s="305">
        <v>0</v>
      </c>
      <c r="M309" s="305">
        <v>0</v>
      </c>
      <c r="N309" s="305">
        <v>0</v>
      </c>
      <c r="O309" s="305">
        <v>0</v>
      </c>
      <c r="P309" s="305">
        <v>0</v>
      </c>
      <c r="Q309" s="305">
        <v>0</v>
      </c>
      <c r="R309" s="305">
        <v>0</v>
      </c>
      <c r="S309" s="305">
        <v>0</v>
      </c>
      <c r="T309" s="305">
        <v>0</v>
      </c>
      <c r="U309" s="305">
        <v>0</v>
      </c>
      <c r="V309" s="305">
        <v>0</v>
      </c>
      <c r="W309" s="305">
        <v>0</v>
      </c>
      <c r="X309" s="305">
        <v>0</v>
      </c>
      <c r="Y309" s="283"/>
      <c r="Z309" s="305">
        <v>0</v>
      </c>
      <c r="AA309" s="305">
        <v>0</v>
      </c>
      <c r="AB309" s="282">
        <f t="shared" si="685"/>
        <v>0</v>
      </c>
      <c r="AC309" s="282">
        <f t="shared" si="685"/>
        <v>0</v>
      </c>
      <c r="AD309" s="282">
        <f t="shared" si="685"/>
        <v>0</v>
      </c>
      <c r="AE309" s="282">
        <f t="shared" si="685"/>
        <v>0</v>
      </c>
      <c r="AF309" s="377">
        <v>0</v>
      </c>
      <c r="AG309" s="539">
        <f t="shared" si="686"/>
        <v>0</v>
      </c>
      <c r="AH309" s="539">
        <f t="shared" si="686"/>
        <v>0</v>
      </c>
    </row>
    <row r="310" spans="1:35">
      <c r="C310" s="320" t="s">
        <v>437</v>
      </c>
      <c r="D310" s="498"/>
      <c r="E310" s="382">
        <f t="shared" ref="E310:O310" si="690">SUM(E305:E309)</f>
        <v>0</v>
      </c>
      <c r="F310" s="382">
        <f t="shared" si="690"/>
        <v>0</v>
      </c>
      <c r="G310" s="382">
        <f t="shared" si="690"/>
        <v>0</v>
      </c>
      <c r="H310" s="382">
        <f t="shared" si="690"/>
        <v>0</v>
      </c>
      <c r="I310" s="382">
        <f t="shared" si="690"/>
        <v>0</v>
      </c>
      <c r="J310" s="382">
        <f t="shared" si="690"/>
        <v>0</v>
      </c>
      <c r="K310" s="382">
        <f t="shared" si="690"/>
        <v>0</v>
      </c>
      <c r="L310" s="382">
        <f t="shared" si="690"/>
        <v>0</v>
      </c>
      <c r="M310" s="382">
        <f t="shared" si="690"/>
        <v>0</v>
      </c>
      <c r="N310" s="382">
        <f t="shared" si="690"/>
        <v>0</v>
      </c>
      <c r="O310" s="382">
        <f t="shared" si="690"/>
        <v>0</v>
      </c>
      <c r="P310" s="382">
        <f>SUM(P304:P309)</f>
        <v>27.823</v>
      </c>
      <c r="Q310" s="382">
        <f>SUM(Q304:Q309)</f>
        <v>26.827999999999999</v>
      </c>
      <c r="R310" s="769">
        <f t="shared" ref="R310" si="691">SUM(R304:R309)</f>
        <v>28.771999999999998</v>
      </c>
      <c r="S310" s="769">
        <f t="shared" ref="S310" si="692">SUM(S304:S309)</f>
        <v>28.749000000000002</v>
      </c>
      <c r="T310" s="769">
        <f>SUM(T304:T309)</f>
        <v>29.198999999999991</v>
      </c>
      <c r="U310" s="769">
        <f t="shared" ref="U310:X310" si="693">SUM(U304:U309)</f>
        <v>29.486999999999998</v>
      </c>
      <c r="V310" s="769">
        <f t="shared" si="693"/>
        <v>31.941473288783353</v>
      </c>
      <c r="W310" s="769">
        <f t="shared" si="693"/>
        <v>30.548440388807272</v>
      </c>
      <c r="X310" s="769">
        <f t="shared" si="693"/>
        <v>29.223086322409372</v>
      </c>
      <c r="Y310" s="283"/>
      <c r="Z310" s="382">
        <f t="shared" ref="Z310:AG310" si="694">SUM(Z304:Z309)</f>
        <v>125.02499999999999</v>
      </c>
      <c r="AA310" s="382">
        <f t="shared" si="694"/>
        <v>24.75</v>
      </c>
      <c r="AB310" s="382">
        <f t="shared" si="694"/>
        <v>0</v>
      </c>
      <c r="AC310" s="382">
        <f t="shared" si="694"/>
        <v>0</v>
      </c>
      <c r="AD310" s="382">
        <f t="shared" si="694"/>
        <v>27.82299999999999</v>
      </c>
      <c r="AE310" s="382">
        <f t="shared" ref="AE310" si="695">SUM(AE304:AE309)</f>
        <v>113.54799999999999</v>
      </c>
      <c r="AF310" s="382">
        <f t="shared" si="694"/>
        <v>121.19999999999999</v>
      </c>
      <c r="AG310" s="382">
        <f t="shared" si="694"/>
        <v>123.69999999999999</v>
      </c>
      <c r="AH310" s="382">
        <f t="shared" ref="AH310" si="696">SUM(AH304:AH309)</f>
        <v>127.69999999999999</v>
      </c>
    </row>
    <row r="311" spans="1:35">
      <c r="B311" s="283"/>
      <c r="C311" s="316"/>
      <c r="D311" s="486"/>
      <c r="E311" s="308"/>
      <c r="F311" s="308"/>
      <c r="G311" s="308"/>
      <c r="H311" s="308"/>
      <c r="I311" s="308"/>
      <c r="J311" s="308"/>
      <c r="K311" s="308"/>
      <c r="L311" s="308"/>
      <c r="M311" s="308"/>
      <c r="N311" s="308"/>
      <c r="O311" s="308"/>
      <c r="P311" s="308"/>
      <c r="Q311" s="308"/>
      <c r="Y311" s="283"/>
    </row>
    <row r="312" spans="1:35">
      <c r="C312" s="414" t="s">
        <v>431</v>
      </c>
      <c r="Y312" s="283"/>
    </row>
    <row r="313" spans="1:35">
      <c r="C313" s="281" t="s">
        <v>444</v>
      </c>
      <c r="E313" s="305">
        <v>0</v>
      </c>
      <c r="F313" s="305">
        <v>0</v>
      </c>
      <c r="G313" s="305">
        <v>0</v>
      </c>
      <c r="H313" s="305">
        <v>0</v>
      </c>
      <c r="I313" s="305">
        <v>0</v>
      </c>
      <c r="J313" s="305">
        <v>0</v>
      </c>
      <c r="K313" s="305">
        <v>0</v>
      </c>
      <c r="L313" s="305">
        <v>0</v>
      </c>
      <c r="M313" s="305">
        <v>0</v>
      </c>
      <c r="N313" s="305">
        <v>0</v>
      </c>
      <c r="O313" s="305">
        <v>0</v>
      </c>
      <c r="P313" s="305">
        <v>0</v>
      </c>
      <c r="Q313" s="305">
        <v>0</v>
      </c>
      <c r="R313" s="305">
        <v>0</v>
      </c>
      <c r="S313" s="305">
        <v>0</v>
      </c>
      <c r="T313" s="305">
        <v>0</v>
      </c>
      <c r="U313" s="305">
        <v>0</v>
      </c>
      <c r="V313" s="305">
        <v>0</v>
      </c>
      <c r="W313" s="305">
        <v>0</v>
      </c>
      <c r="X313" s="305">
        <v>0</v>
      </c>
      <c r="Y313" s="283"/>
      <c r="Z313" s="305">
        <v>0</v>
      </c>
      <c r="AA313" s="305">
        <v>0</v>
      </c>
      <c r="AB313" s="305">
        <v>0</v>
      </c>
      <c r="AC313" s="305">
        <v>0</v>
      </c>
      <c r="AD313" s="305">
        <v>0</v>
      </c>
      <c r="AE313" s="305">
        <v>0</v>
      </c>
      <c r="AF313" s="305">
        <v>0</v>
      </c>
      <c r="AG313" s="305">
        <v>0</v>
      </c>
      <c r="AH313" s="305">
        <v>0</v>
      </c>
    </row>
    <row r="314" spans="1:35">
      <c r="C314" s="281" t="s">
        <v>440</v>
      </c>
      <c r="E314" s="305">
        <v>0</v>
      </c>
      <c r="F314" s="305">
        <v>0</v>
      </c>
      <c r="G314" s="305">
        <v>0</v>
      </c>
      <c r="H314" s="305">
        <v>0</v>
      </c>
      <c r="I314" s="305">
        <v>0</v>
      </c>
      <c r="J314" s="305">
        <v>0</v>
      </c>
      <c r="K314" s="305">
        <v>0</v>
      </c>
      <c r="L314" s="305">
        <v>0</v>
      </c>
      <c r="M314" s="305">
        <v>0</v>
      </c>
      <c r="N314" s="305">
        <v>0</v>
      </c>
      <c r="O314" s="305">
        <v>0</v>
      </c>
      <c r="P314" s="305">
        <v>0</v>
      </c>
      <c r="Q314" s="305">
        <v>0</v>
      </c>
      <c r="R314" s="305">
        <v>0</v>
      </c>
      <c r="S314" s="305">
        <v>0</v>
      </c>
      <c r="T314" s="305">
        <v>0</v>
      </c>
      <c r="U314" s="305">
        <v>0</v>
      </c>
      <c r="V314" s="305">
        <v>0</v>
      </c>
      <c r="W314" s="305">
        <v>0</v>
      </c>
      <c r="X314" s="305">
        <v>0</v>
      </c>
      <c r="Y314" s="283"/>
      <c r="Z314" s="305">
        <v>0</v>
      </c>
      <c r="AA314" s="305">
        <v>0</v>
      </c>
      <c r="AB314" s="282">
        <f t="shared" ref="AB314:AE316" si="697">SUMIF($E$5:$T$5,AB$5,$E314:$T314)</f>
        <v>0</v>
      </c>
      <c r="AC314" s="282">
        <f t="shared" si="697"/>
        <v>0</v>
      </c>
      <c r="AD314" s="282">
        <f t="shared" si="697"/>
        <v>0</v>
      </c>
      <c r="AE314" s="282">
        <f t="shared" si="697"/>
        <v>0</v>
      </c>
      <c r="AF314" s="305">
        <v>0</v>
      </c>
      <c r="AG314" s="305">
        <v>0</v>
      </c>
      <c r="AH314" s="305">
        <v>0</v>
      </c>
    </row>
    <row r="315" spans="1:35">
      <c r="C315" s="281" t="s">
        <v>439</v>
      </c>
      <c r="E315" s="305">
        <v>0</v>
      </c>
      <c r="F315" s="305">
        <v>0</v>
      </c>
      <c r="G315" s="305">
        <v>0</v>
      </c>
      <c r="H315" s="305">
        <v>0</v>
      </c>
      <c r="I315" s="305">
        <v>0</v>
      </c>
      <c r="J315" s="305">
        <v>0</v>
      </c>
      <c r="K315" s="305">
        <v>0</v>
      </c>
      <c r="L315" s="305">
        <v>0</v>
      </c>
      <c r="M315" s="305">
        <v>0</v>
      </c>
      <c r="N315" s="305">
        <v>0</v>
      </c>
      <c r="O315" s="305">
        <v>0</v>
      </c>
      <c r="P315" s="305">
        <v>4.2729999999999997</v>
      </c>
      <c r="Q315" s="305">
        <v>4.7530000000000001</v>
      </c>
      <c r="R315" s="305">
        <v>5.093</v>
      </c>
      <c r="S315" s="305">
        <v>4.6109999999999998</v>
      </c>
      <c r="T315" s="305">
        <v>5.0220000000000002</v>
      </c>
      <c r="U315" s="305">
        <v>5.9770000000000003</v>
      </c>
      <c r="V315" s="282">
        <f t="shared" ref="V315:V316" si="698">($AF315-$U315)*R315/SUM($R315:$T315)</f>
        <v>8.0870310335461077</v>
      </c>
      <c r="W315" s="282">
        <f t="shared" ref="W315:W316" si="699">($AF315-$U315)*S315/SUM($R315:$T315)</f>
        <v>7.3216768300964263</v>
      </c>
      <c r="X315" s="282">
        <f t="shared" ref="X315:X316" si="700">($AF315-$U315)*T315/SUM($R315:$T315)</f>
        <v>7.9742921363574633</v>
      </c>
      <c r="Y315" s="283"/>
      <c r="Z315" s="305">
        <v>15.567</v>
      </c>
      <c r="AA315" s="305">
        <v>4.9139999999999997</v>
      </c>
      <c r="AB315" s="282">
        <f t="shared" si="697"/>
        <v>0</v>
      </c>
      <c r="AC315" s="282">
        <f t="shared" si="697"/>
        <v>0</v>
      </c>
      <c r="AD315" s="282">
        <f t="shared" si="697"/>
        <v>4.2729999999999997</v>
      </c>
      <c r="AE315" s="282">
        <f t="shared" si="697"/>
        <v>19.478999999999999</v>
      </c>
      <c r="AF315" s="377">
        <v>29.36</v>
      </c>
      <c r="AG315" s="805">
        <f>+AF315+1.2</f>
        <v>30.56</v>
      </c>
      <c r="AH315" s="805">
        <f>+AG315+1.5</f>
        <v>32.06</v>
      </c>
    </row>
    <row r="316" spans="1:35">
      <c r="C316" s="281" t="s">
        <v>441</v>
      </c>
      <c r="E316" s="305">
        <v>0</v>
      </c>
      <c r="F316" s="305">
        <v>0</v>
      </c>
      <c r="G316" s="305">
        <v>0</v>
      </c>
      <c r="H316" s="305">
        <v>0</v>
      </c>
      <c r="I316" s="305">
        <v>0</v>
      </c>
      <c r="J316" s="305">
        <v>0</v>
      </c>
      <c r="K316" s="305">
        <v>0</v>
      </c>
      <c r="L316" s="305">
        <v>0</v>
      </c>
      <c r="M316" s="305">
        <v>0</v>
      </c>
      <c r="N316" s="305">
        <v>0</v>
      </c>
      <c r="O316" s="305">
        <v>0</v>
      </c>
      <c r="P316" s="305">
        <v>8.4209999999999994</v>
      </c>
      <c r="Q316" s="305">
        <v>9.7750000000000004</v>
      </c>
      <c r="R316" s="305">
        <v>10.798999999999999</v>
      </c>
      <c r="S316" s="305">
        <v>10.188000000000001</v>
      </c>
      <c r="T316" s="305">
        <v>12.204000000000001</v>
      </c>
      <c r="U316" s="305">
        <v>11.836</v>
      </c>
      <c r="V316" s="282">
        <f t="shared" si="698"/>
        <v>15.141895724744659</v>
      </c>
      <c r="W316" s="282">
        <f t="shared" si="699"/>
        <v>14.285177668645114</v>
      </c>
      <c r="X316" s="282">
        <f t="shared" si="700"/>
        <v>17.111926606610229</v>
      </c>
      <c r="Y316" s="283"/>
      <c r="Z316" s="305">
        <v>35.155999999999999</v>
      </c>
      <c r="AA316" s="305">
        <v>9.3670000000000009</v>
      </c>
      <c r="AB316" s="282">
        <f t="shared" si="697"/>
        <v>0</v>
      </c>
      <c r="AC316" s="282">
        <f t="shared" si="697"/>
        <v>0</v>
      </c>
      <c r="AD316" s="282">
        <f t="shared" si="697"/>
        <v>8.4209999999999994</v>
      </c>
      <c r="AE316" s="282">
        <f t="shared" si="697"/>
        <v>42.966000000000001</v>
      </c>
      <c r="AF316" s="377">
        <v>58.375</v>
      </c>
      <c r="AG316" s="805">
        <f>+AF316+1.2</f>
        <v>59.575000000000003</v>
      </c>
      <c r="AH316" s="805">
        <f>+AG316+1.5</f>
        <v>61.075000000000003</v>
      </c>
    </row>
    <row r="317" spans="1:35">
      <c r="C317" s="320" t="s">
        <v>432</v>
      </c>
      <c r="E317" s="382">
        <f>SUM(E313:E316)</f>
        <v>0</v>
      </c>
      <c r="F317" s="382">
        <f t="shared" ref="F317:T317" si="701">SUM(F313:F316)</f>
        <v>0</v>
      </c>
      <c r="G317" s="382">
        <f t="shared" si="701"/>
        <v>0</v>
      </c>
      <c r="H317" s="382">
        <f t="shared" si="701"/>
        <v>0</v>
      </c>
      <c r="I317" s="382">
        <f t="shared" si="701"/>
        <v>0</v>
      </c>
      <c r="J317" s="382">
        <f t="shared" si="701"/>
        <v>0</v>
      </c>
      <c r="K317" s="382">
        <f t="shared" si="701"/>
        <v>0</v>
      </c>
      <c r="L317" s="382">
        <f t="shared" si="701"/>
        <v>0</v>
      </c>
      <c r="M317" s="382">
        <f t="shared" si="701"/>
        <v>0</v>
      </c>
      <c r="N317" s="382">
        <f t="shared" si="701"/>
        <v>0</v>
      </c>
      <c r="O317" s="382">
        <f t="shared" si="701"/>
        <v>0</v>
      </c>
      <c r="P317" s="382">
        <f t="shared" si="701"/>
        <v>12.693999999999999</v>
      </c>
      <c r="Q317" s="382">
        <f t="shared" si="701"/>
        <v>14.528</v>
      </c>
      <c r="R317" s="769">
        <f t="shared" si="701"/>
        <v>15.891999999999999</v>
      </c>
      <c r="S317" s="769">
        <f t="shared" ref="S317" si="702">SUM(S313:S316)</f>
        <v>14.798999999999999</v>
      </c>
      <c r="T317" s="769">
        <f t="shared" si="701"/>
        <v>17.225999999999999</v>
      </c>
      <c r="U317" s="769">
        <f t="shared" ref="U317:X317" si="703">SUM(U313:U316)</f>
        <v>17.813000000000002</v>
      </c>
      <c r="V317" s="769">
        <f t="shared" si="703"/>
        <v>23.228926758290768</v>
      </c>
      <c r="W317" s="769">
        <f t="shared" si="703"/>
        <v>21.606854498741541</v>
      </c>
      <c r="X317" s="769">
        <f t="shared" si="703"/>
        <v>25.086218742967691</v>
      </c>
      <c r="Y317" s="283"/>
      <c r="Z317" s="382">
        <f t="shared" ref="Z317:AG317" si="704">SUM(Z313:Z316)</f>
        <v>50.722999999999999</v>
      </c>
      <c r="AA317" s="382">
        <f t="shared" si="704"/>
        <v>14.281000000000001</v>
      </c>
      <c r="AB317" s="382">
        <f t="shared" si="704"/>
        <v>0</v>
      </c>
      <c r="AC317" s="382">
        <f t="shared" si="704"/>
        <v>0</v>
      </c>
      <c r="AD317" s="382">
        <f t="shared" si="704"/>
        <v>12.693999999999999</v>
      </c>
      <c r="AE317" s="382">
        <f t="shared" ref="AE317" si="705">SUM(AE313:AE316)</f>
        <v>62.445</v>
      </c>
      <c r="AF317" s="382">
        <f t="shared" si="704"/>
        <v>87.734999999999999</v>
      </c>
      <c r="AG317" s="382">
        <f t="shared" si="704"/>
        <v>90.135000000000005</v>
      </c>
      <c r="AH317" s="382">
        <f t="shared" ref="AH317" si="706">SUM(AH313:AH316)</f>
        <v>93.135000000000005</v>
      </c>
    </row>
    <row r="318" spans="1:35">
      <c r="C318" s="320"/>
      <c r="D318" s="498"/>
      <c r="E318" s="308"/>
      <c r="F318" s="308"/>
      <c r="G318" s="308"/>
      <c r="H318" s="308"/>
      <c r="I318" s="308"/>
      <c r="J318" s="308"/>
      <c r="K318" s="308"/>
      <c r="L318" s="308"/>
      <c r="M318" s="308"/>
      <c r="N318" s="308"/>
      <c r="O318" s="308"/>
      <c r="P318" s="308"/>
      <c r="Q318" s="308"/>
      <c r="R318" s="308"/>
      <c r="S318" s="308"/>
      <c r="T318" s="308"/>
      <c r="U318" s="308"/>
      <c r="V318" s="308"/>
      <c r="W318" s="308"/>
      <c r="X318" s="308"/>
      <c r="Y318" s="283"/>
      <c r="Z318" s="308"/>
      <c r="AA318" s="308"/>
      <c r="AB318" s="308"/>
      <c r="AC318" s="308"/>
      <c r="AD318" s="308"/>
      <c r="AE318" s="308"/>
    </row>
    <row r="319" spans="1:35" s="315" customFormat="1">
      <c r="A319" s="283"/>
      <c r="B319" s="467"/>
      <c r="C319" s="467" t="s">
        <v>433</v>
      </c>
      <c r="D319" s="499"/>
      <c r="E319" s="461">
        <f t="shared" ref="E319:O319" si="707">E317+E304</f>
        <v>0</v>
      </c>
      <c r="F319" s="461">
        <f t="shared" si="707"/>
        <v>0</v>
      </c>
      <c r="G319" s="461">
        <f t="shared" si="707"/>
        <v>0</v>
      </c>
      <c r="H319" s="461">
        <f t="shared" si="707"/>
        <v>0</v>
      </c>
      <c r="I319" s="461">
        <f t="shared" si="707"/>
        <v>0</v>
      </c>
      <c r="J319" s="461">
        <f t="shared" si="707"/>
        <v>0</v>
      </c>
      <c r="K319" s="461">
        <f t="shared" si="707"/>
        <v>0</v>
      </c>
      <c r="L319" s="461">
        <f t="shared" si="707"/>
        <v>0</v>
      </c>
      <c r="M319" s="461">
        <f t="shared" si="707"/>
        <v>0</v>
      </c>
      <c r="N319" s="461">
        <f t="shared" si="707"/>
        <v>0</v>
      </c>
      <c r="O319" s="461">
        <f t="shared" si="707"/>
        <v>0</v>
      </c>
      <c r="P319" s="461">
        <f>P304-P317</f>
        <v>7.7530000000000001</v>
      </c>
      <c r="Q319" s="461">
        <f>Q304-Q317</f>
        <v>6.581999999999999</v>
      </c>
      <c r="R319" s="461">
        <f>R304-R317</f>
        <v>7.3719999999999999</v>
      </c>
      <c r="S319" s="461">
        <f>S304-S317</f>
        <v>5.2800000000000011</v>
      </c>
      <c r="T319" s="461">
        <f>T304-T317</f>
        <v>4.2959999999999923</v>
      </c>
      <c r="U319" s="461">
        <f t="shared" ref="U319:X319" si="708">U304-U317</f>
        <v>5.8299999999999947</v>
      </c>
      <c r="V319" s="461">
        <f t="shared" si="708"/>
        <v>2.6628123995520738</v>
      </c>
      <c r="W319" s="461">
        <f t="shared" si="708"/>
        <v>-0.61167366460359318</v>
      </c>
      <c r="X319" s="461">
        <f t="shared" si="708"/>
        <v>-4.3161387349484812</v>
      </c>
      <c r="Y319" s="283"/>
      <c r="Z319" s="461">
        <f t="shared" ref="Z319:AG319" si="709">Z304-Z317</f>
        <v>31.97</v>
      </c>
      <c r="AA319" s="461">
        <f t="shared" si="709"/>
        <v>4.876000000000003</v>
      </c>
      <c r="AB319" s="461">
        <f t="shared" si="709"/>
        <v>0</v>
      </c>
      <c r="AC319" s="461">
        <f t="shared" si="709"/>
        <v>0</v>
      </c>
      <c r="AD319" s="461">
        <f t="shared" si="709"/>
        <v>7.7529999999999895</v>
      </c>
      <c r="AE319" s="461">
        <f t="shared" si="709"/>
        <v>23.529999999999994</v>
      </c>
      <c r="AF319" s="461">
        <f t="shared" si="709"/>
        <v>3.5649999999999977</v>
      </c>
      <c r="AG319" s="461">
        <f t="shared" si="709"/>
        <v>3.664999999999992</v>
      </c>
      <c r="AH319" s="461">
        <f t="shared" ref="AH319" si="710">AH304-AH317</f>
        <v>4.664999999999992</v>
      </c>
    </row>
    <row r="320" spans="1:35" s="315" customFormat="1">
      <c r="A320" s="283"/>
      <c r="B320" s="468"/>
      <c r="C320" s="468" t="s">
        <v>434</v>
      </c>
      <c r="D320" s="500"/>
      <c r="E320" s="469">
        <f t="shared" ref="E320:O320" si="711">E317+E310</f>
        <v>0</v>
      </c>
      <c r="F320" s="469">
        <f t="shared" si="711"/>
        <v>0</v>
      </c>
      <c r="G320" s="469">
        <f t="shared" si="711"/>
        <v>0</v>
      </c>
      <c r="H320" s="469">
        <f t="shared" si="711"/>
        <v>0</v>
      </c>
      <c r="I320" s="469">
        <f t="shared" si="711"/>
        <v>0</v>
      </c>
      <c r="J320" s="469">
        <f t="shared" si="711"/>
        <v>0</v>
      </c>
      <c r="K320" s="469">
        <f t="shared" si="711"/>
        <v>0</v>
      </c>
      <c r="L320" s="469">
        <f t="shared" si="711"/>
        <v>0</v>
      </c>
      <c r="M320" s="469">
        <f t="shared" si="711"/>
        <v>0</v>
      </c>
      <c r="N320" s="469">
        <f t="shared" si="711"/>
        <v>0</v>
      </c>
      <c r="O320" s="469">
        <f t="shared" si="711"/>
        <v>0</v>
      </c>
      <c r="P320" s="469">
        <f>P310-P317</f>
        <v>15.129000000000001</v>
      </c>
      <c r="Q320" s="469">
        <f>Q310-Q317</f>
        <v>12.299999999999999</v>
      </c>
      <c r="R320" s="469">
        <f>R310-R317</f>
        <v>12.879999999999999</v>
      </c>
      <c r="S320" s="469">
        <f>S310-S317</f>
        <v>13.950000000000003</v>
      </c>
      <c r="T320" s="469">
        <f>T310-T317</f>
        <v>11.972999999999992</v>
      </c>
      <c r="U320" s="469">
        <f t="shared" ref="U320:X320" si="712">U310-U317</f>
        <v>11.673999999999996</v>
      </c>
      <c r="V320" s="469">
        <f t="shared" si="712"/>
        <v>8.7125465304925847</v>
      </c>
      <c r="W320" s="469">
        <f t="shared" si="712"/>
        <v>8.9415858900657312</v>
      </c>
      <c r="X320" s="469">
        <f t="shared" si="712"/>
        <v>4.1368675794416809</v>
      </c>
      <c r="Y320" s="283"/>
      <c r="Z320" s="469">
        <f t="shared" ref="Z320:AG320" si="713">Z310-Z317</f>
        <v>74.301999999999992</v>
      </c>
      <c r="AA320" s="469">
        <f t="shared" si="713"/>
        <v>10.468999999999999</v>
      </c>
      <c r="AB320" s="469">
        <f t="shared" si="713"/>
        <v>0</v>
      </c>
      <c r="AC320" s="469">
        <f t="shared" si="713"/>
        <v>0</v>
      </c>
      <c r="AD320" s="469">
        <f t="shared" si="713"/>
        <v>15.128999999999991</v>
      </c>
      <c r="AE320" s="469">
        <f t="shared" si="713"/>
        <v>51.102999999999987</v>
      </c>
      <c r="AF320" s="469">
        <f t="shared" si="713"/>
        <v>33.464999999999989</v>
      </c>
      <c r="AG320" s="469">
        <f t="shared" si="713"/>
        <v>33.564999999999984</v>
      </c>
      <c r="AH320" s="469">
        <f t="shared" ref="AH320" si="714">AH310-AH317</f>
        <v>34.564999999999984</v>
      </c>
    </row>
    <row r="321" spans="1:34">
      <c r="E321" s="282"/>
      <c r="F321" s="282"/>
      <c r="G321" s="282"/>
      <c r="H321" s="282"/>
      <c r="I321" s="282"/>
      <c r="J321" s="282"/>
      <c r="K321" s="282"/>
      <c r="L321" s="282"/>
      <c r="M321" s="282"/>
      <c r="N321" s="282"/>
      <c r="O321" s="282"/>
      <c r="P321" s="282"/>
      <c r="Q321" s="282"/>
      <c r="Y321" s="283"/>
      <c r="Z321" s="282"/>
      <c r="AA321" s="282"/>
      <c r="AB321" s="282"/>
      <c r="AC321" s="282"/>
      <c r="AD321" s="282"/>
      <c r="AE321" s="282"/>
      <c r="AF321" s="282"/>
      <c r="AG321" s="282"/>
      <c r="AH321" s="282"/>
    </row>
    <row r="322" spans="1:34" s="398" customFormat="1">
      <c r="A322" s="283"/>
      <c r="B322" s="445"/>
      <c r="C322" s="470" t="s">
        <v>597</v>
      </c>
      <c r="D322" s="496"/>
      <c r="E322" s="446"/>
      <c r="F322" s="446"/>
      <c r="G322" s="446"/>
      <c r="H322" s="446"/>
      <c r="I322" s="446"/>
      <c r="J322" s="446"/>
      <c r="K322" s="446"/>
      <c r="L322" s="446"/>
      <c r="M322" s="446"/>
      <c r="N322" s="446"/>
      <c r="O322" s="446"/>
      <c r="P322" s="446"/>
      <c r="Q322" s="446"/>
      <c r="R322" s="446"/>
      <c r="S322" s="446"/>
      <c r="T322" s="446"/>
      <c r="U322" s="446"/>
      <c r="V322" s="446"/>
      <c r="W322" s="446"/>
      <c r="X322" s="446"/>
      <c r="Y322" s="283"/>
      <c r="Z322" s="446"/>
      <c r="AA322" s="446"/>
      <c r="AB322" s="446"/>
      <c r="AC322" s="446"/>
      <c r="AD322" s="446"/>
      <c r="AE322" s="446"/>
      <c r="AF322" s="446"/>
      <c r="AG322" s="446"/>
      <c r="AH322" s="446"/>
    </row>
    <row r="323" spans="1:34" s="426" customFormat="1">
      <c r="A323" s="283"/>
      <c r="B323" s="513"/>
      <c r="C323" s="514" t="s">
        <v>565</v>
      </c>
      <c r="D323" s="515" t="s">
        <v>588</v>
      </c>
      <c r="E323" s="516">
        <f t="shared" ref="E323:O323" si="715">E305/(E262/10^3)</f>
        <v>0</v>
      </c>
      <c r="F323" s="516">
        <f t="shared" si="715"/>
        <v>0</v>
      </c>
      <c r="G323" s="516">
        <f t="shared" si="715"/>
        <v>0</v>
      </c>
      <c r="H323" s="516">
        <f t="shared" si="715"/>
        <v>0</v>
      </c>
      <c r="I323" s="516">
        <f t="shared" si="715"/>
        <v>0</v>
      </c>
      <c r="J323" s="516">
        <f t="shared" si="715"/>
        <v>0</v>
      </c>
      <c r="K323" s="516">
        <f t="shared" si="715"/>
        <v>0</v>
      </c>
      <c r="L323" s="516">
        <f t="shared" si="715"/>
        <v>0</v>
      </c>
      <c r="M323" s="516">
        <f t="shared" si="715"/>
        <v>0</v>
      </c>
      <c r="N323" s="516">
        <f t="shared" si="715"/>
        <v>0</v>
      </c>
      <c r="O323" s="516">
        <f t="shared" si="715"/>
        <v>0</v>
      </c>
      <c r="P323" s="516">
        <f t="shared" ref="P323:X323" si="716">P304/(P262/10^3)</f>
        <v>24.629005059021921</v>
      </c>
      <c r="Q323" s="516">
        <f t="shared" si="716"/>
        <v>24.435670290924541</v>
      </c>
      <c r="R323" s="516">
        <f t="shared" si="716"/>
        <v>25.472629843183029</v>
      </c>
      <c r="S323" s="516">
        <f t="shared" si="716"/>
        <v>24.139158116955731</v>
      </c>
      <c r="T323" s="516">
        <f t="shared" si="716"/>
        <v>22.526666813201988</v>
      </c>
      <c r="U323" s="516">
        <f t="shared" si="716"/>
        <v>26.629258282292888</v>
      </c>
      <c r="V323" s="516">
        <f t="shared" si="716"/>
        <v>21.492309685725832</v>
      </c>
      <c r="W323" s="516">
        <f t="shared" si="716"/>
        <v>19.135161433134272</v>
      </c>
      <c r="X323" s="516">
        <f t="shared" si="716"/>
        <v>16.481052737575997</v>
      </c>
      <c r="Y323" s="283"/>
      <c r="Z323" s="516">
        <f>Z304/(Z262/10^3)</f>
        <v>22.995764750376111</v>
      </c>
      <c r="AA323" s="516">
        <f>AA304/(AA262/10^3)</f>
        <v>22.842445907628619</v>
      </c>
      <c r="AB323" s="516">
        <f>AB304/(AB262/10^3)</f>
        <v>0</v>
      </c>
      <c r="AC323" s="516">
        <f>AC304/(AC262/10^3)</f>
        <v>0</v>
      </c>
      <c r="AD323" s="516">
        <f>AD304/(P262/10^3)</f>
        <v>24.629005059021907</v>
      </c>
      <c r="AE323" s="516">
        <f>AE304/(AE262/10^3)</f>
        <v>24.12048261726104</v>
      </c>
      <c r="AF323" s="516">
        <f>AF304/(AF262/10^3)</f>
        <v>20.516853932584269</v>
      </c>
      <c r="AG323" s="516">
        <f>AG304/(AG262/10^3)</f>
        <v>19.884799011235955</v>
      </c>
      <c r="AH323" s="516">
        <f>AH304/(AH262/10^3)</f>
        <v>19.61207486182812</v>
      </c>
    </row>
    <row r="324" spans="1:34" s="426" customFormat="1">
      <c r="A324" s="283"/>
      <c r="B324" s="513"/>
      <c r="C324" s="514" t="s">
        <v>596</v>
      </c>
      <c r="D324" s="515" t="s">
        <v>588</v>
      </c>
      <c r="E324" s="516">
        <f t="shared" ref="E324:X324" si="717">E317/(E262/10^3)</f>
        <v>0</v>
      </c>
      <c r="F324" s="516">
        <f t="shared" si="717"/>
        <v>0</v>
      </c>
      <c r="G324" s="516">
        <f t="shared" si="717"/>
        <v>0</v>
      </c>
      <c r="H324" s="516">
        <f t="shared" si="717"/>
        <v>0</v>
      </c>
      <c r="I324" s="516">
        <f t="shared" si="717"/>
        <v>0</v>
      </c>
      <c r="J324" s="516">
        <f t="shared" si="717"/>
        <v>0</v>
      </c>
      <c r="K324" s="516">
        <f t="shared" si="717"/>
        <v>0</v>
      </c>
      <c r="L324" s="516">
        <f t="shared" si="717"/>
        <v>0</v>
      </c>
      <c r="M324" s="516">
        <f t="shared" si="717"/>
        <v>0</v>
      </c>
      <c r="N324" s="516">
        <f t="shared" si="717"/>
        <v>0</v>
      </c>
      <c r="O324" s="516">
        <f t="shared" si="717"/>
        <v>0</v>
      </c>
      <c r="P324" s="516">
        <f t="shared" si="717"/>
        <v>15.290291496025052</v>
      </c>
      <c r="Q324" s="516">
        <f t="shared" si="717"/>
        <v>16.816741733138407</v>
      </c>
      <c r="R324" s="516">
        <f t="shared" si="717"/>
        <v>17.400749375338062</v>
      </c>
      <c r="S324" s="516">
        <f t="shared" si="717"/>
        <v>17.791493648728913</v>
      </c>
      <c r="T324" s="516">
        <f t="shared" si="717"/>
        <v>18.030125570310268</v>
      </c>
      <c r="U324" s="516">
        <f t="shared" si="717"/>
        <v>20.06289294008727</v>
      </c>
      <c r="V324" s="516">
        <f t="shared" si="717"/>
        <v>19.281952614797731</v>
      </c>
      <c r="W324" s="516">
        <f t="shared" si="717"/>
        <v>19.692645286645799</v>
      </c>
      <c r="X324" s="516">
        <f t="shared" si="717"/>
        <v>19.905907629127491</v>
      </c>
      <c r="Y324" s="283"/>
      <c r="Z324" s="516">
        <f>Z317/(Z262/10^3)</f>
        <v>14.10535565807659</v>
      </c>
      <c r="AA324" s="516">
        <f>AA317/(AA262/10^3)</f>
        <v>17.02839536497595</v>
      </c>
      <c r="AB324" s="516">
        <f>AB317/(AB262/10^3)</f>
        <v>0</v>
      </c>
      <c r="AC324" s="516">
        <f>AC317/(AC262/10^3)</f>
        <v>0</v>
      </c>
      <c r="AD324" s="516">
        <f>AD317/(P262/10^3)</f>
        <v>15.290291496025052</v>
      </c>
      <c r="AE324" s="516">
        <f>AE317/(AE262/10^3)</f>
        <v>17.519087374642229</v>
      </c>
      <c r="AF324" s="516">
        <f>AF317/(AF262/10^3)</f>
        <v>19.71573033707865</v>
      </c>
      <c r="AG324" s="516">
        <f>AG317/(AG262/10^3)</f>
        <v>19.107850307865171</v>
      </c>
      <c r="AH324" s="516">
        <f>AH317/(AH262/10^3)</f>
        <v>18.676590922866687</v>
      </c>
    </row>
    <row r="325" spans="1:34" s="426" customFormat="1">
      <c r="A325" s="283"/>
      <c r="B325" s="513"/>
      <c r="C325" s="532" t="s">
        <v>433</v>
      </c>
      <c r="D325" s="515" t="s">
        <v>588</v>
      </c>
      <c r="E325" s="517">
        <f t="shared" ref="E325:O325" si="718">E323+E324</f>
        <v>0</v>
      </c>
      <c r="F325" s="517">
        <f t="shared" si="718"/>
        <v>0</v>
      </c>
      <c r="G325" s="517">
        <f t="shared" si="718"/>
        <v>0</v>
      </c>
      <c r="H325" s="517">
        <f t="shared" si="718"/>
        <v>0</v>
      </c>
      <c r="I325" s="517">
        <f t="shared" si="718"/>
        <v>0</v>
      </c>
      <c r="J325" s="517">
        <f t="shared" si="718"/>
        <v>0</v>
      </c>
      <c r="K325" s="517">
        <f t="shared" si="718"/>
        <v>0</v>
      </c>
      <c r="L325" s="517">
        <f t="shared" si="718"/>
        <v>0</v>
      </c>
      <c r="M325" s="517">
        <f t="shared" si="718"/>
        <v>0</v>
      </c>
      <c r="N325" s="517">
        <f t="shared" si="718"/>
        <v>0</v>
      </c>
      <c r="O325" s="517">
        <f t="shared" si="718"/>
        <v>0</v>
      </c>
      <c r="P325" s="517">
        <f>P323-P324</f>
        <v>9.3387135629968689</v>
      </c>
      <c r="Q325" s="517">
        <f>Q323-Q324</f>
        <v>7.6189285577861341</v>
      </c>
      <c r="R325" s="517">
        <f>R323-R324</f>
        <v>8.0718804678449665</v>
      </c>
      <c r="S325" s="517">
        <f>S323-S324</f>
        <v>6.3476644682268173</v>
      </c>
      <c r="T325" s="517">
        <f>T323-T324</f>
        <v>4.4965412428917197</v>
      </c>
      <c r="U325" s="517">
        <f t="shared" ref="U325:X325" si="719">U323-U324</f>
        <v>6.5663653422056178</v>
      </c>
      <c r="V325" s="517">
        <f t="shared" si="719"/>
        <v>2.2103570709281009</v>
      </c>
      <c r="W325" s="517">
        <f t="shared" si="719"/>
        <v>-0.55748385351152763</v>
      </c>
      <c r="X325" s="517">
        <f t="shared" si="719"/>
        <v>-3.4248548915514938</v>
      </c>
      <c r="Y325" s="283"/>
      <c r="Z325" s="517">
        <f t="shared" ref="Z325:AG325" si="720">Z323-Z324</f>
        <v>8.8904090922995209</v>
      </c>
      <c r="AA325" s="517">
        <f t="shared" si="720"/>
        <v>5.8140505426526694</v>
      </c>
      <c r="AB325" s="517">
        <f t="shared" si="720"/>
        <v>0</v>
      </c>
      <c r="AC325" s="517">
        <f t="shared" si="720"/>
        <v>0</v>
      </c>
      <c r="AD325" s="517">
        <f t="shared" si="720"/>
        <v>9.3387135629968547</v>
      </c>
      <c r="AE325" s="517">
        <f t="shared" si="720"/>
        <v>6.6013952426188105</v>
      </c>
      <c r="AF325" s="517">
        <f t="shared" si="720"/>
        <v>0.80112359550561862</v>
      </c>
      <c r="AG325" s="517">
        <f t="shared" si="720"/>
        <v>0.7769487033707847</v>
      </c>
      <c r="AH325" s="517">
        <f t="shared" ref="AH325" si="721">AH323-AH324</f>
        <v>0.93548393896143267</v>
      </c>
    </row>
    <row r="326" spans="1:34" s="426" customFormat="1">
      <c r="A326" s="283"/>
      <c r="B326" s="513"/>
      <c r="C326" s="533"/>
      <c r="D326" s="515"/>
      <c r="E326" s="516"/>
      <c r="F326" s="516"/>
      <c r="G326" s="516"/>
      <c r="H326" s="516"/>
      <c r="I326" s="516"/>
      <c r="J326" s="516"/>
      <c r="K326" s="516"/>
      <c r="L326" s="516"/>
      <c r="M326" s="516"/>
      <c r="N326" s="516"/>
      <c r="O326" s="516"/>
      <c r="P326" s="516"/>
      <c r="Q326" s="516"/>
      <c r="R326" s="516"/>
      <c r="S326" s="516"/>
      <c r="T326" s="516"/>
      <c r="U326" s="516"/>
      <c r="V326" s="516"/>
      <c r="W326" s="516"/>
      <c r="X326" s="516"/>
      <c r="Y326" s="283"/>
      <c r="Z326" s="516"/>
      <c r="AA326" s="516"/>
      <c r="AB326" s="516"/>
      <c r="AC326" s="516"/>
      <c r="AD326" s="516"/>
      <c r="AE326" s="516"/>
      <c r="AF326" s="516"/>
      <c r="AG326" s="516"/>
      <c r="AH326" s="516"/>
    </row>
    <row r="327" spans="1:34" s="426" customFormat="1">
      <c r="A327" s="283"/>
      <c r="B327" s="513"/>
      <c r="C327" s="514" t="s">
        <v>566</v>
      </c>
      <c r="D327" s="515" t="s">
        <v>588</v>
      </c>
      <c r="E327" s="516">
        <f t="shared" ref="E327:X327" si="722">E310/(E262/10^3)</f>
        <v>0</v>
      </c>
      <c r="F327" s="516">
        <f t="shared" si="722"/>
        <v>0</v>
      </c>
      <c r="G327" s="516">
        <f t="shared" si="722"/>
        <v>0</v>
      </c>
      <c r="H327" s="516">
        <f t="shared" si="722"/>
        <v>0</v>
      </c>
      <c r="I327" s="516">
        <f t="shared" si="722"/>
        <v>0</v>
      </c>
      <c r="J327" s="516">
        <f t="shared" si="722"/>
        <v>0</v>
      </c>
      <c r="K327" s="516">
        <f t="shared" si="722"/>
        <v>0</v>
      </c>
      <c r="L327" s="516">
        <f t="shared" si="722"/>
        <v>0</v>
      </c>
      <c r="M327" s="516">
        <f t="shared" si="722"/>
        <v>0</v>
      </c>
      <c r="N327" s="516">
        <f t="shared" si="722"/>
        <v>0</v>
      </c>
      <c r="O327" s="516">
        <f t="shared" si="722"/>
        <v>0</v>
      </c>
      <c r="P327" s="516">
        <f t="shared" si="722"/>
        <v>33.513611178029386</v>
      </c>
      <c r="Q327" s="516">
        <f t="shared" si="722"/>
        <v>31.0544842522465</v>
      </c>
      <c r="R327" s="516">
        <f t="shared" si="722"/>
        <v>31.503546503097578</v>
      </c>
      <c r="S327" s="516">
        <f t="shared" si="722"/>
        <v>34.56231170398727</v>
      </c>
      <c r="T327" s="516">
        <f t="shared" si="722"/>
        <v>30.562036254933783</v>
      </c>
      <c r="U327" s="516">
        <f t="shared" si="722"/>
        <v>33.211391911769674</v>
      </c>
      <c r="V327" s="516">
        <f t="shared" si="722"/>
        <v>26.514095154281112</v>
      </c>
      <c r="W327" s="516">
        <f t="shared" si="722"/>
        <v>27.842072092079103</v>
      </c>
      <c r="X327" s="516">
        <f t="shared" si="722"/>
        <v>23.188510908403391</v>
      </c>
      <c r="Y327" s="283"/>
      <c r="Z327" s="516">
        <f>Z310/(Z262/10^3)</f>
        <v>34.767700868462541</v>
      </c>
      <c r="AA327" s="516">
        <f>AA310/(AA262/10^3)</f>
        <v>29.511433742956008</v>
      </c>
      <c r="AB327" s="516">
        <f>AB310/(AB262/10^3)</f>
        <v>0</v>
      </c>
      <c r="AC327" s="516">
        <f>AC310/(AC262/10^3)</f>
        <v>0</v>
      </c>
      <c r="AD327" s="516">
        <f>AD310/(P262/10^3)</f>
        <v>33.513611178029379</v>
      </c>
      <c r="AE327" s="516">
        <f>AE310/(AE262/10^3)</f>
        <v>31.856150744108827</v>
      </c>
      <c r="AF327" s="516">
        <f>AF310/(AF262/10^3)</f>
        <v>27.235955056179773</v>
      </c>
      <c r="AG327" s="516">
        <f>AG310/(AG262/10^3)</f>
        <v>26.22334368539326</v>
      </c>
      <c r="AH327" s="516">
        <f>AH310/(AH262/10^3)</f>
        <v>25.607995499544487</v>
      </c>
    </row>
    <row r="328" spans="1:34" s="426" customFormat="1">
      <c r="A328" s="283"/>
      <c r="B328" s="513"/>
      <c r="C328" s="514" t="s">
        <v>596</v>
      </c>
      <c r="D328" s="515" t="s">
        <v>588</v>
      </c>
      <c r="E328" s="516">
        <f t="shared" ref="E328:X328" si="723">E317/(E262/10^3)</f>
        <v>0</v>
      </c>
      <c r="F328" s="516">
        <f t="shared" si="723"/>
        <v>0</v>
      </c>
      <c r="G328" s="516">
        <f t="shared" si="723"/>
        <v>0</v>
      </c>
      <c r="H328" s="516">
        <f t="shared" si="723"/>
        <v>0</v>
      </c>
      <c r="I328" s="516">
        <f t="shared" si="723"/>
        <v>0</v>
      </c>
      <c r="J328" s="516">
        <f t="shared" si="723"/>
        <v>0</v>
      </c>
      <c r="K328" s="516">
        <f t="shared" si="723"/>
        <v>0</v>
      </c>
      <c r="L328" s="516">
        <f t="shared" si="723"/>
        <v>0</v>
      </c>
      <c r="M328" s="516">
        <f t="shared" si="723"/>
        <v>0</v>
      </c>
      <c r="N328" s="516">
        <f t="shared" si="723"/>
        <v>0</v>
      </c>
      <c r="O328" s="516">
        <f t="shared" si="723"/>
        <v>0</v>
      </c>
      <c r="P328" s="516">
        <f t="shared" si="723"/>
        <v>15.290291496025052</v>
      </c>
      <c r="Q328" s="516">
        <f t="shared" si="723"/>
        <v>16.816741733138407</v>
      </c>
      <c r="R328" s="516">
        <f t="shared" si="723"/>
        <v>17.400749375338062</v>
      </c>
      <c r="S328" s="516">
        <f t="shared" si="723"/>
        <v>17.791493648728913</v>
      </c>
      <c r="T328" s="516">
        <f t="shared" si="723"/>
        <v>18.030125570310268</v>
      </c>
      <c r="U328" s="516">
        <f t="shared" si="723"/>
        <v>20.06289294008727</v>
      </c>
      <c r="V328" s="516">
        <f t="shared" si="723"/>
        <v>19.281952614797731</v>
      </c>
      <c r="W328" s="516">
        <f t="shared" si="723"/>
        <v>19.692645286645799</v>
      </c>
      <c r="X328" s="516">
        <f t="shared" si="723"/>
        <v>19.905907629127491</v>
      </c>
      <c r="Y328" s="283"/>
      <c r="Z328" s="516">
        <f>Z317/(Z262/10^3)</f>
        <v>14.10535565807659</v>
      </c>
      <c r="AA328" s="516">
        <f>AA317/(AA262/10^3)</f>
        <v>17.02839536497595</v>
      </c>
      <c r="AB328" s="516">
        <f>AB317/(AB262/10^3)</f>
        <v>0</v>
      </c>
      <c r="AC328" s="516">
        <f>AC317/(AC262/10^3)</f>
        <v>0</v>
      </c>
      <c r="AD328" s="516">
        <f>AD317/(P262/10^3)</f>
        <v>15.290291496025052</v>
      </c>
      <c r="AE328" s="516">
        <f>AE317/(AE262/10^3)</f>
        <v>17.519087374642229</v>
      </c>
      <c r="AF328" s="516">
        <f>AF317/(AF262/10^3)</f>
        <v>19.71573033707865</v>
      </c>
      <c r="AG328" s="516">
        <f>AG317/(AG262/10^3)</f>
        <v>19.107850307865171</v>
      </c>
      <c r="AH328" s="516">
        <f>AH317/(AH262/10^3)</f>
        <v>18.676590922866687</v>
      </c>
    </row>
    <row r="329" spans="1:34" s="426" customFormat="1">
      <c r="A329" s="283"/>
      <c r="B329" s="513"/>
      <c r="C329" s="532" t="s">
        <v>434</v>
      </c>
      <c r="D329" s="515" t="s">
        <v>588</v>
      </c>
      <c r="E329" s="517">
        <f t="shared" ref="E329:O329" si="724">E327+E328</f>
        <v>0</v>
      </c>
      <c r="F329" s="517">
        <f t="shared" si="724"/>
        <v>0</v>
      </c>
      <c r="G329" s="517">
        <f t="shared" si="724"/>
        <v>0</v>
      </c>
      <c r="H329" s="517">
        <f t="shared" si="724"/>
        <v>0</v>
      </c>
      <c r="I329" s="517">
        <f t="shared" si="724"/>
        <v>0</v>
      </c>
      <c r="J329" s="517">
        <f t="shared" si="724"/>
        <v>0</v>
      </c>
      <c r="K329" s="517">
        <f t="shared" si="724"/>
        <v>0</v>
      </c>
      <c r="L329" s="517">
        <f t="shared" si="724"/>
        <v>0</v>
      </c>
      <c r="M329" s="517">
        <f t="shared" si="724"/>
        <v>0</v>
      </c>
      <c r="N329" s="517">
        <f t="shared" si="724"/>
        <v>0</v>
      </c>
      <c r="O329" s="517">
        <f t="shared" si="724"/>
        <v>0</v>
      </c>
      <c r="P329" s="517">
        <f>P327-P328</f>
        <v>18.223319682004334</v>
      </c>
      <c r="Q329" s="517">
        <f>Q327-Q328</f>
        <v>14.237742519108092</v>
      </c>
      <c r="R329" s="517">
        <f>R327-R328</f>
        <v>14.102797127759516</v>
      </c>
      <c r="S329" s="517">
        <f>S327-S328</f>
        <v>16.770818055258356</v>
      </c>
      <c r="T329" s="517">
        <f>T327-T328</f>
        <v>12.531910684623515</v>
      </c>
      <c r="U329" s="517">
        <f t="shared" ref="U329:X329" si="725">U327-U328</f>
        <v>13.148498971682404</v>
      </c>
      <c r="V329" s="517">
        <f t="shared" si="725"/>
        <v>7.2321425394833803</v>
      </c>
      <c r="W329" s="517">
        <f t="shared" si="725"/>
        <v>8.1494268054333041</v>
      </c>
      <c r="X329" s="517">
        <f t="shared" si="725"/>
        <v>3.2826032792759001</v>
      </c>
      <c r="Y329" s="283"/>
      <c r="Z329" s="517">
        <f t="shared" ref="Z329:AG329" si="726">Z327-Z328</f>
        <v>20.662345210385951</v>
      </c>
      <c r="AA329" s="517">
        <f t="shared" si="726"/>
        <v>12.483038377980058</v>
      </c>
      <c r="AB329" s="517">
        <f t="shared" si="726"/>
        <v>0</v>
      </c>
      <c r="AC329" s="517">
        <f t="shared" si="726"/>
        <v>0</v>
      </c>
      <c r="AD329" s="517">
        <f t="shared" si="726"/>
        <v>18.223319682004327</v>
      </c>
      <c r="AE329" s="517">
        <f t="shared" si="726"/>
        <v>14.337063369466598</v>
      </c>
      <c r="AF329" s="517">
        <f t="shared" si="726"/>
        <v>7.5202247191011224</v>
      </c>
      <c r="AG329" s="517">
        <f t="shared" si="726"/>
        <v>7.1154933775280895</v>
      </c>
      <c r="AH329" s="517">
        <f t="shared" ref="AH329" si="727">AH327-AH328</f>
        <v>6.9314045766777994</v>
      </c>
    </row>
    <row r="330" spans="1:34" s="398" customFormat="1">
      <c r="A330" s="283"/>
      <c r="B330" s="400"/>
      <c r="C330" s="413"/>
      <c r="D330" s="497"/>
      <c r="E330" s="412"/>
      <c r="F330" s="412"/>
      <c r="G330" s="412"/>
      <c r="H330" s="412"/>
      <c r="I330" s="412"/>
      <c r="J330" s="412"/>
      <c r="K330" s="412"/>
      <c r="L330" s="412"/>
      <c r="M330" s="412"/>
      <c r="N330" s="412"/>
      <c r="O330" s="412"/>
      <c r="P330" s="412"/>
      <c r="Q330" s="412"/>
      <c r="R330" s="412"/>
      <c r="S330" s="795"/>
      <c r="T330" s="412"/>
      <c r="U330" s="412"/>
      <c r="V330" s="412"/>
      <c r="W330" s="412"/>
      <c r="X330" s="412"/>
      <c r="Y330" s="283"/>
      <c r="Z330" s="412"/>
      <c r="AA330" s="412"/>
      <c r="AB330" s="412"/>
      <c r="AC330" s="412"/>
      <c r="AD330" s="412"/>
      <c r="AE330" s="412"/>
      <c r="AF330" s="412"/>
      <c r="AG330" s="412"/>
      <c r="AH330" s="412"/>
    </row>
    <row r="331" spans="1:34" s="307" customFormat="1">
      <c r="A331" s="283"/>
      <c r="B331" s="507"/>
      <c r="C331" s="507" t="s">
        <v>704</v>
      </c>
      <c r="D331" s="508"/>
      <c r="E331" s="596">
        <f>+E$1-E329</f>
        <v>16.84083493667594</v>
      </c>
      <c r="F331" s="596">
        <f t="shared" ref="F331:T331" si="728">+F$1-F329</f>
        <v>16.607210619625075</v>
      </c>
      <c r="G331" s="596">
        <f t="shared" si="728"/>
        <v>14.683918503460339</v>
      </c>
      <c r="H331" s="596">
        <f t="shared" si="728"/>
        <v>14.576529544753841</v>
      </c>
      <c r="I331" s="596">
        <f t="shared" si="728"/>
        <v>15.70210376997484</v>
      </c>
      <c r="J331" s="596">
        <f t="shared" si="728"/>
        <v>15.007942657403953</v>
      </c>
      <c r="K331" s="596">
        <f t="shared" si="728"/>
        <v>18.178959829192664</v>
      </c>
      <c r="L331" s="596">
        <f t="shared" si="728"/>
        <v>17.465059503432478</v>
      </c>
      <c r="M331" s="596">
        <f t="shared" si="728"/>
        <v>14.5499326176867</v>
      </c>
      <c r="N331" s="596">
        <f t="shared" si="728"/>
        <v>18.442119320715076</v>
      </c>
      <c r="O331" s="596">
        <f t="shared" si="728"/>
        <v>25.32023661539322</v>
      </c>
      <c r="P331" s="596">
        <f t="shared" si="728"/>
        <v>6.9366115436961735</v>
      </c>
      <c r="Q331" s="596">
        <f t="shared" si="728"/>
        <v>11.425412075325955</v>
      </c>
      <c r="R331" s="596">
        <f t="shared" si="728"/>
        <v>13.057495002387366</v>
      </c>
      <c r="S331" s="596">
        <f t="shared" si="728"/>
        <v>7.2018510103537032</v>
      </c>
      <c r="T331" s="596">
        <f t="shared" si="728"/>
        <v>10.958636279782162</v>
      </c>
      <c r="U331" s="596">
        <f t="shared" ref="U331:X331" si="729">+U$1-U329</f>
        <v>11.535361403673626</v>
      </c>
      <c r="V331" s="596">
        <f t="shared" si="729"/>
        <v>14.48285746051662</v>
      </c>
      <c r="W331" s="596">
        <f t="shared" si="729"/>
        <v>13.705573194566696</v>
      </c>
      <c r="X331" s="596">
        <f t="shared" si="729"/>
        <v>18.812396720724099</v>
      </c>
      <c r="Y331" s="283"/>
      <c r="Z331" s="596">
        <f t="shared" ref="Z331:AG331" si="730">+Z$1-Z329</f>
        <v>-3.5068457650494693</v>
      </c>
      <c r="AA331" s="596">
        <f t="shared" si="730"/>
        <v>4.7433939776799399</v>
      </c>
      <c r="AB331" s="596">
        <f t="shared" si="730"/>
        <v>15.625997837781764</v>
      </c>
      <c r="AC331" s="596">
        <f t="shared" si="730"/>
        <v>16.646067805395617</v>
      </c>
      <c r="AD331" s="596">
        <f t="shared" si="730"/>
        <v>2.9231743175895275</v>
      </c>
      <c r="AE331" s="596">
        <f t="shared" si="730"/>
        <v>10.903696272136383</v>
      </c>
      <c r="AF331" s="596">
        <f t="shared" si="730"/>
        <v>14.964161858708632</v>
      </c>
      <c r="AG331" s="596">
        <f t="shared" si="730"/>
        <v>15.197173289138579</v>
      </c>
      <c r="AH331" s="596">
        <f t="shared" ref="AH331" si="731">+AH$1-AH329</f>
        <v>15.9063454233222</v>
      </c>
    </row>
    <row r="332" spans="1:34" s="398" customFormat="1">
      <c r="A332" s="283"/>
      <c r="B332" s="400"/>
      <c r="C332" s="401"/>
      <c r="D332" s="497"/>
      <c r="E332" s="411"/>
      <c r="F332" s="411"/>
      <c r="G332" s="411"/>
      <c r="H332" s="411"/>
      <c r="I332" s="411"/>
      <c r="J332" s="411"/>
      <c r="K332" s="411"/>
      <c r="L332" s="411"/>
      <c r="M332" s="411"/>
      <c r="N332" s="411"/>
      <c r="O332" s="411"/>
      <c r="P332" s="411"/>
      <c r="Q332" s="411"/>
      <c r="R332" s="411"/>
      <c r="S332" s="411"/>
      <c r="T332" s="411"/>
      <c r="U332" s="411"/>
      <c r="V332" s="411"/>
      <c r="W332" s="411"/>
      <c r="X332" s="411"/>
      <c r="Y332" s="283"/>
      <c r="Z332" s="411"/>
      <c r="AA332" s="411"/>
      <c r="AB332" s="411"/>
      <c r="AC332" s="411"/>
      <c r="AD332" s="411"/>
      <c r="AE332" s="411"/>
    </row>
    <row r="333" spans="1:34">
      <c r="C333" s="281" t="s">
        <v>426</v>
      </c>
      <c r="E333" s="305">
        <v>0.98799999999999999</v>
      </c>
      <c r="F333" s="305">
        <v>1.0609999999999999</v>
      </c>
      <c r="G333" s="305">
        <v>4.84</v>
      </c>
      <c r="H333" s="305">
        <v>7.3470000000000004</v>
      </c>
      <c r="I333" s="305">
        <v>1.726</v>
      </c>
      <c r="J333" s="305">
        <v>1.4810000000000001</v>
      </c>
      <c r="K333" s="305">
        <v>2.7389999999999999</v>
      </c>
      <c r="L333" s="305">
        <v>3.0430000000000001</v>
      </c>
      <c r="M333" s="305">
        <v>4.2949999999999999</v>
      </c>
      <c r="N333" s="305">
        <v>4.7610000000000001</v>
      </c>
      <c r="O333" s="305">
        <v>5.5469999999999997</v>
      </c>
      <c r="P333" s="305">
        <v>11.146000000000001</v>
      </c>
      <c r="Q333" s="305">
        <v>5.9119999999999999</v>
      </c>
      <c r="R333" s="305">
        <v>5.7309999999999999</v>
      </c>
      <c r="S333" s="305">
        <v>7.5339999999999998</v>
      </c>
      <c r="T333" s="305">
        <v>10.708000000000002</v>
      </c>
      <c r="U333" s="305">
        <v>9.6519999999999992</v>
      </c>
      <c r="V333" s="388"/>
      <c r="W333" s="388"/>
      <c r="X333" s="388"/>
      <c r="Y333" s="283"/>
      <c r="Z333" s="305">
        <v>41.536000000000001</v>
      </c>
      <c r="AA333" s="305">
        <v>6.2679999999999998</v>
      </c>
      <c r="AB333" s="282">
        <f>SUMIF($E$5:$T$5,AB$5,$E333:$T333)</f>
        <v>14.236000000000001</v>
      </c>
      <c r="AC333" s="282">
        <f>SUMIF($E$5:$T$5,AC$5,$E333:$T333)</f>
        <v>8.9890000000000008</v>
      </c>
      <c r="AD333" s="422">
        <f>SUMIF($E$5:$T$5,AD$5,$E333:$T333)</f>
        <v>25.749000000000002</v>
      </c>
      <c r="AE333" s="282">
        <f>SUMIF($E$5:$T$5,AE$5,$E333:$T333)</f>
        <v>29.885000000000002</v>
      </c>
      <c r="AF333" s="388"/>
      <c r="AG333" s="388"/>
      <c r="AH333" s="388"/>
    </row>
    <row r="334" spans="1:34">
      <c r="E334" s="411"/>
      <c r="F334" s="411"/>
      <c r="G334" s="411"/>
      <c r="H334" s="411"/>
      <c r="I334" s="411"/>
      <c r="J334" s="411"/>
      <c r="K334" s="411"/>
      <c r="L334" s="411"/>
      <c r="M334" s="283"/>
      <c r="N334" s="283"/>
      <c r="O334" s="283"/>
      <c r="P334" s="283"/>
      <c r="Q334" s="283"/>
      <c r="R334" s="411"/>
      <c r="S334" s="411"/>
      <c r="T334" s="411"/>
      <c r="U334" s="411"/>
      <c r="V334" s="411"/>
      <c r="W334" s="411"/>
      <c r="X334" s="411"/>
      <c r="Y334" s="283"/>
      <c r="Z334" s="411"/>
      <c r="AA334" s="411"/>
      <c r="AB334" s="411"/>
      <c r="AC334" s="411"/>
      <c r="AD334" s="411"/>
      <c r="AE334" s="411"/>
    </row>
    <row r="335" spans="1:34" s="283" customFormat="1" outlineLevel="1">
      <c r="B335" s="286" t="s">
        <v>137</v>
      </c>
      <c r="C335" s="287" t="s">
        <v>572</v>
      </c>
      <c r="D335" s="485"/>
      <c r="E335" s="286"/>
      <c r="F335" s="286"/>
      <c r="G335" s="286"/>
      <c r="H335" s="286"/>
      <c r="I335" s="286"/>
      <c r="J335" s="286"/>
      <c r="K335" s="286"/>
      <c r="L335" s="286"/>
      <c r="M335" s="286"/>
      <c r="N335" s="286"/>
      <c r="O335" s="286"/>
      <c r="P335" s="286"/>
      <c r="Q335" s="286"/>
      <c r="R335" s="286"/>
      <c r="S335" s="286"/>
      <c r="T335" s="286"/>
      <c r="U335" s="286"/>
      <c r="V335" s="286"/>
      <c r="W335" s="286"/>
      <c r="X335" s="286"/>
      <c r="Z335" s="286"/>
      <c r="AA335" s="286"/>
      <c r="AB335" s="286"/>
      <c r="AC335" s="286"/>
      <c r="AD335" s="286"/>
      <c r="AE335" s="286"/>
      <c r="AF335" s="286"/>
      <c r="AG335" s="286"/>
      <c r="AH335" s="286"/>
    </row>
    <row r="336" spans="1:34" outlineLevel="1">
      <c r="C336" s="305"/>
      <c r="D336" s="501"/>
      <c r="M336" s="283"/>
      <c r="N336" s="283"/>
      <c r="O336" s="283"/>
      <c r="P336" s="283"/>
      <c r="Q336" s="283"/>
      <c r="Y336" s="283"/>
      <c r="AB336" s="282"/>
      <c r="AC336" s="282"/>
      <c r="AD336" s="282"/>
      <c r="AE336" s="282"/>
    </row>
    <row r="337" spans="1:34" outlineLevel="1">
      <c r="C337" s="414" t="s">
        <v>419</v>
      </c>
      <c r="E337" s="305">
        <v>34.396999999999998</v>
      </c>
      <c r="F337" s="305">
        <v>37.78</v>
      </c>
      <c r="G337" s="305">
        <v>39.738999999999997</v>
      </c>
      <c r="H337" s="305">
        <v>44.817</v>
      </c>
      <c r="I337" s="305">
        <v>44.475000000000001</v>
      </c>
      <c r="J337" s="305">
        <v>45.869</v>
      </c>
      <c r="K337" s="305">
        <v>45.231999999999999</v>
      </c>
      <c r="L337" s="305">
        <v>39.137</v>
      </c>
      <c r="M337" s="305">
        <v>35.475999999999999</v>
      </c>
      <c r="N337" s="305">
        <v>21.646999999999998</v>
      </c>
      <c r="O337" s="305">
        <v>47.093000000000004</v>
      </c>
      <c r="P337" s="305">
        <v>27.643000000000001</v>
      </c>
      <c r="Q337" s="305">
        <v>0</v>
      </c>
      <c r="R337" s="305">
        <v>0</v>
      </c>
      <c r="S337" s="305">
        <v>0</v>
      </c>
      <c r="T337" s="305">
        <v>0</v>
      </c>
      <c r="U337" s="305">
        <v>0</v>
      </c>
      <c r="V337" s="305">
        <v>0</v>
      </c>
      <c r="W337" s="305">
        <v>0</v>
      </c>
      <c r="X337" s="305">
        <v>0</v>
      </c>
      <c r="Y337" s="283"/>
      <c r="Z337" s="305">
        <v>143.267</v>
      </c>
      <c r="AA337" s="305">
        <v>144.197</v>
      </c>
      <c r="AB337" s="282">
        <f>SUMIF($E$5:$T$5,AB$5,$E337:$T337)</f>
        <v>156.733</v>
      </c>
      <c r="AC337" s="282">
        <f>SUMIF($E$5:$T$5,AC$5,$E337:$T337)</f>
        <v>174.71299999999999</v>
      </c>
      <c r="AD337" s="282">
        <f>SUMIF($E$5:$T$5,AD$5,$E337:$T337)</f>
        <v>131.85900000000001</v>
      </c>
      <c r="AE337" s="282">
        <f>SUMIF($E$5:$T$5,AE$5,$E337:$T337)</f>
        <v>0</v>
      </c>
      <c r="AF337" s="305">
        <v>0</v>
      </c>
      <c r="AG337" s="305">
        <v>0</v>
      </c>
      <c r="AH337" s="305">
        <v>0</v>
      </c>
    </row>
    <row r="338" spans="1:34" outlineLevel="1">
      <c r="C338" s="306" t="s">
        <v>564</v>
      </c>
      <c r="E338" s="305">
        <v>16.100000000000001</v>
      </c>
      <c r="F338" s="305">
        <v>15.93</v>
      </c>
      <c r="G338" s="305">
        <v>14.16</v>
      </c>
      <c r="H338" s="305">
        <v>10.85</v>
      </c>
      <c r="I338" s="305">
        <v>10.94</v>
      </c>
      <c r="J338" s="305">
        <v>11.03</v>
      </c>
      <c r="K338" s="305">
        <v>13.36</v>
      </c>
      <c r="L338" s="305">
        <v>11.8</v>
      </c>
      <c r="M338" s="305">
        <v>10.64</v>
      </c>
      <c r="N338" s="305">
        <v>7.96</v>
      </c>
      <c r="O338" s="305">
        <v>6.27</v>
      </c>
      <c r="P338" s="305">
        <v>7.3</v>
      </c>
      <c r="Q338" s="305">
        <v>0</v>
      </c>
      <c r="R338" s="305">
        <v>0</v>
      </c>
      <c r="S338" s="305">
        <v>0</v>
      </c>
      <c r="T338" s="305">
        <v>0</v>
      </c>
      <c r="U338" s="305">
        <v>0</v>
      </c>
      <c r="V338" s="305">
        <v>0</v>
      </c>
      <c r="W338" s="305">
        <v>0</v>
      </c>
      <c r="X338" s="305">
        <v>0</v>
      </c>
      <c r="Y338" s="283"/>
      <c r="Z338" s="305">
        <v>16.7</v>
      </c>
      <c r="AA338" s="305">
        <v>13.9</v>
      </c>
      <c r="AB338" s="305">
        <v>14.07</v>
      </c>
      <c r="AC338" s="305">
        <v>11.78</v>
      </c>
      <c r="AD338" s="305">
        <v>7.94</v>
      </c>
      <c r="AE338" s="282">
        <f>SUMIF($E$5:$T$5,AE$5,$E338:$T338)</f>
        <v>0</v>
      </c>
      <c r="AF338" s="460">
        <f t="shared" ref="AF338:AH341" si="732">+AE338</f>
        <v>0</v>
      </c>
      <c r="AG338" s="460">
        <f t="shared" si="732"/>
        <v>0</v>
      </c>
      <c r="AH338" s="460">
        <f t="shared" si="732"/>
        <v>0</v>
      </c>
    </row>
    <row r="339" spans="1:34" outlineLevel="1">
      <c r="C339" s="306" t="s">
        <v>563</v>
      </c>
      <c r="E339" s="305">
        <v>0.14199999999999999</v>
      </c>
      <c r="F339" s="305">
        <v>0.115</v>
      </c>
      <c r="G339" s="305">
        <v>0.108</v>
      </c>
      <c r="H339" s="305">
        <v>8.2000000000000003E-2</v>
      </c>
      <c r="I339" s="305">
        <v>9.5000000000000001E-2</v>
      </c>
      <c r="J339" s="305">
        <v>9.1999999999999998E-2</v>
      </c>
      <c r="K339" s="305">
        <v>0.122</v>
      </c>
      <c r="L339" s="305">
        <v>0.115</v>
      </c>
      <c r="M339" s="305">
        <v>9.0999999999999998E-2</v>
      </c>
      <c r="N339" s="305">
        <v>7.3999999999999996E-2</v>
      </c>
      <c r="O339" s="305">
        <v>5.1999999999999998E-2</v>
      </c>
      <c r="P339" s="305">
        <v>5.3999999999999999E-2</v>
      </c>
      <c r="Q339" s="305">
        <v>0</v>
      </c>
      <c r="R339" s="305">
        <v>0</v>
      </c>
      <c r="S339" s="305">
        <v>0</v>
      </c>
      <c r="T339" s="305">
        <v>0</v>
      </c>
      <c r="U339" s="305">
        <v>0</v>
      </c>
      <c r="V339" s="305">
        <v>0</v>
      </c>
      <c r="W339" s="305">
        <v>0</v>
      </c>
      <c r="X339" s="305">
        <v>0</v>
      </c>
      <c r="Y339" s="283"/>
      <c r="Z339" s="305">
        <v>0.04</v>
      </c>
      <c r="AA339" s="305">
        <v>0.03</v>
      </c>
      <c r="AB339" s="305">
        <v>0.11</v>
      </c>
      <c r="AC339" s="305">
        <v>0.106</v>
      </c>
      <c r="AD339" s="305">
        <v>6.7000000000000004E-2</v>
      </c>
      <c r="AE339" s="282">
        <f>SUMIF($E$5:$T$5,AE$5,$E339:$T339)</f>
        <v>0</v>
      </c>
      <c r="AF339" s="460">
        <f t="shared" si="732"/>
        <v>0</v>
      </c>
      <c r="AG339" s="460">
        <f t="shared" si="732"/>
        <v>0</v>
      </c>
      <c r="AH339" s="460">
        <f t="shared" si="732"/>
        <v>0</v>
      </c>
    </row>
    <row r="340" spans="1:34" outlineLevel="1">
      <c r="C340" s="306" t="s">
        <v>562</v>
      </c>
      <c r="E340" s="305">
        <v>0</v>
      </c>
      <c r="F340" s="305">
        <v>0</v>
      </c>
      <c r="G340" s="305">
        <v>0</v>
      </c>
      <c r="H340" s="305">
        <v>0</v>
      </c>
      <c r="I340" s="305">
        <v>0</v>
      </c>
      <c r="J340" s="305">
        <v>0</v>
      </c>
      <c r="K340" s="305">
        <v>0</v>
      </c>
      <c r="L340" s="305">
        <v>0</v>
      </c>
      <c r="M340" s="305">
        <v>0</v>
      </c>
      <c r="N340" s="305">
        <v>0</v>
      </c>
      <c r="O340" s="305">
        <v>0</v>
      </c>
      <c r="P340" s="305">
        <v>0</v>
      </c>
      <c r="Q340" s="305">
        <v>0</v>
      </c>
      <c r="R340" s="305">
        <v>0</v>
      </c>
      <c r="S340" s="305">
        <v>0</v>
      </c>
      <c r="T340" s="305">
        <v>0</v>
      </c>
      <c r="U340" s="305">
        <v>0</v>
      </c>
      <c r="V340" s="305">
        <v>0</v>
      </c>
      <c r="W340" s="305">
        <v>0</v>
      </c>
      <c r="X340" s="305">
        <v>0</v>
      </c>
      <c r="Y340" s="283"/>
      <c r="AA340" s="305">
        <v>0</v>
      </c>
      <c r="AB340" s="305">
        <v>0</v>
      </c>
      <c r="AC340" s="305">
        <v>0</v>
      </c>
      <c r="AD340" s="305">
        <v>0</v>
      </c>
      <c r="AE340" s="282">
        <v>0</v>
      </c>
      <c r="AF340" s="460">
        <f t="shared" si="732"/>
        <v>0</v>
      </c>
      <c r="AG340" s="460">
        <f t="shared" si="732"/>
        <v>0</v>
      </c>
      <c r="AH340" s="460">
        <f t="shared" si="732"/>
        <v>0</v>
      </c>
    </row>
    <row r="341" spans="1:34" outlineLevel="1">
      <c r="C341" s="306" t="s">
        <v>561</v>
      </c>
      <c r="E341" s="305">
        <v>0</v>
      </c>
      <c r="F341" s="305">
        <v>0</v>
      </c>
      <c r="G341" s="305">
        <v>0</v>
      </c>
      <c r="H341" s="305">
        <v>0</v>
      </c>
      <c r="I341" s="305">
        <v>0</v>
      </c>
      <c r="J341" s="305">
        <v>0</v>
      </c>
      <c r="K341" s="305">
        <v>0</v>
      </c>
      <c r="L341" s="305">
        <v>0</v>
      </c>
      <c r="M341" s="305">
        <v>0</v>
      </c>
      <c r="N341" s="305">
        <v>0</v>
      </c>
      <c r="O341" s="305">
        <v>0</v>
      </c>
      <c r="P341" s="305">
        <v>0</v>
      </c>
      <c r="Q341" s="305">
        <v>0</v>
      </c>
      <c r="R341" s="305">
        <v>0</v>
      </c>
      <c r="S341" s="305">
        <v>0</v>
      </c>
      <c r="T341" s="305">
        <v>0</v>
      </c>
      <c r="U341" s="305">
        <v>0</v>
      </c>
      <c r="V341" s="305">
        <v>0</v>
      </c>
      <c r="W341" s="305">
        <v>0</v>
      </c>
      <c r="X341" s="305">
        <v>0</v>
      </c>
      <c r="Y341" s="283"/>
      <c r="AA341" s="305">
        <v>0</v>
      </c>
      <c r="AB341" s="305">
        <v>0</v>
      </c>
      <c r="AC341" s="305">
        <v>0</v>
      </c>
      <c r="AD341" s="305">
        <v>0</v>
      </c>
      <c r="AE341" s="282">
        <v>0</v>
      </c>
      <c r="AF341" s="460">
        <f t="shared" si="732"/>
        <v>0</v>
      </c>
      <c r="AG341" s="460">
        <f t="shared" si="732"/>
        <v>0</v>
      </c>
      <c r="AH341" s="460">
        <f t="shared" si="732"/>
        <v>0</v>
      </c>
    </row>
    <row r="342" spans="1:34" outlineLevel="1">
      <c r="Y342" s="283"/>
      <c r="AE342" s="282"/>
    </row>
    <row r="343" spans="1:34" s="439" customFormat="1" outlineLevel="1">
      <c r="A343" s="283"/>
      <c r="B343" s="306"/>
      <c r="C343" s="458" t="s">
        <v>501</v>
      </c>
      <c r="D343" s="492"/>
      <c r="Y343" s="283"/>
      <c r="AE343" s="456"/>
    </row>
    <row r="344" spans="1:34" s="439" customFormat="1" outlineLevel="1">
      <c r="A344" s="283"/>
      <c r="B344" s="306"/>
      <c r="C344" s="455" t="s">
        <v>444</v>
      </c>
      <c r="D344" s="492"/>
      <c r="E344" s="454">
        <f>+E350/(E$337*E338)</f>
        <v>0.92488204499995219</v>
      </c>
      <c r="F344" s="454">
        <f t="shared" ref="F344:P344" si="733">+F350/(F$337*F338)</f>
        <v>0.92990043457064842</v>
      </c>
      <c r="G344" s="454">
        <f t="shared" si="733"/>
        <v>0.92754054954339804</v>
      </c>
      <c r="H344" s="454">
        <f t="shared" si="733"/>
        <v>0.91164797262065944</v>
      </c>
      <c r="I344" s="454">
        <f t="shared" si="733"/>
        <v>0.90653192383618353</v>
      </c>
      <c r="J344" s="454">
        <f t="shared" si="733"/>
        <v>0.91658994898297919</v>
      </c>
      <c r="K344" s="454">
        <f t="shared" si="733"/>
        <v>0.896303872622636</v>
      </c>
      <c r="L344" s="454">
        <f t="shared" si="733"/>
        <v>0.91472242444294982</v>
      </c>
      <c r="M344" s="454">
        <f t="shared" si="733"/>
        <v>0.91829793646366442</v>
      </c>
      <c r="N344" s="454">
        <f t="shared" si="733"/>
        <v>0.92183790481951977</v>
      </c>
      <c r="O344" s="454">
        <f t="shared" si="733"/>
        <v>0.90320110761186478</v>
      </c>
      <c r="P344" s="454">
        <f t="shared" si="733"/>
        <v>0.90495302385255449</v>
      </c>
      <c r="Q344" s="541">
        <v>0</v>
      </c>
      <c r="R344" s="541">
        <v>0</v>
      </c>
      <c r="S344" s="541">
        <v>0</v>
      </c>
      <c r="T344" s="541">
        <v>0</v>
      </c>
      <c r="U344" s="538">
        <f t="shared" ref="U344:U345" si="734">+T344</f>
        <v>0</v>
      </c>
      <c r="V344" s="538">
        <f t="shared" ref="V344:V345" si="735">+U344</f>
        <v>0</v>
      </c>
      <c r="W344" s="538">
        <f t="shared" ref="W344:W345" si="736">+V344</f>
        <v>0</v>
      </c>
      <c r="X344" s="538">
        <f t="shared" ref="X344:X345" si="737">+W344</f>
        <v>0</v>
      </c>
      <c r="Y344" s="283"/>
      <c r="Z344" s="454">
        <f t="shared" ref="Z344:AD345" si="738">+Z350/(Z$337*Z338)</f>
        <v>1.7947825652275475</v>
      </c>
      <c r="AA344" s="454">
        <f t="shared" si="738"/>
        <v>1.6253433863934046</v>
      </c>
      <c r="AB344" s="454">
        <f t="shared" si="738"/>
        <v>0.92374443591186284</v>
      </c>
      <c r="AC344" s="454">
        <f t="shared" si="738"/>
        <v>0.90805433158743187</v>
      </c>
      <c r="AD344" s="454">
        <f t="shared" si="738"/>
        <v>0.91194656959633402</v>
      </c>
      <c r="AE344" s="541">
        <v>0</v>
      </c>
      <c r="AF344" s="456">
        <v>0</v>
      </c>
      <c r="AG344" s="466">
        <f t="shared" ref="AG344:AH345" si="739">+AF344</f>
        <v>0</v>
      </c>
      <c r="AH344" s="466">
        <f t="shared" si="739"/>
        <v>0</v>
      </c>
    </row>
    <row r="345" spans="1:34" s="439" customFormat="1" outlineLevel="1">
      <c r="A345" s="283"/>
      <c r="B345" s="306"/>
      <c r="C345" s="455" t="s">
        <v>440</v>
      </c>
      <c r="D345" s="492"/>
      <c r="E345" s="454">
        <f t="shared" ref="E345:P345" si="740">+E351/(E$337*E339)</f>
        <v>0.92396691981408474</v>
      </c>
      <c r="F345" s="454">
        <f t="shared" si="740"/>
        <v>0.89120077335604286</v>
      </c>
      <c r="G345" s="454">
        <f t="shared" si="740"/>
        <v>0.85418466605713406</v>
      </c>
      <c r="H345" s="454">
        <f t="shared" si="740"/>
        <v>0.79673599467101164</v>
      </c>
      <c r="I345" s="454">
        <f t="shared" si="740"/>
        <v>0.83547824028874873</v>
      </c>
      <c r="J345" s="454">
        <f t="shared" si="740"/>
        <v>0.84053168427667846</v>
      </c>
      <c r="K345" s="454">
        <f t="shared" si="740"/>
        <v>0.85152974537104154</v>
      </c>
      <c r="L345" s="454">
        <f t="shared" si="740"/>
        <v>0.86585472881772052</v>
      </c>
      <c r="M345" s="454">
        <f t="shared" si="740"/>
        <v>0.86794477368386491</v>
      </c>
      <c r="N345" s="454">
        <f t="shared" si="740"/>
        <v>0.83089973144022211</v>
      </c>
      <c r="O345" s="454">
        <f t="shared" si="740"/>
        <v>0.78853790127227796</v>
      </c>
      <c r="P345" s="454">
        <f t="shared" si="740"/>
        <v>0.77643392406623601</v>
      </c>
      <c r="Q345" s="541">
        <v>0</v>
      </c>
      <c r="R345" s="541">
        <v>0</v>
      </c>
      <c r="S345" s="541">
        <v>0</v>
      </c>
      <c r="T345" s="541">
        <v>0</v>
      </c>
      <c r="U345" s="538">
        <f t="shared" si="734"/>
        <v>0</v>
      </c>
      <c r="V345" s="538">
        <f t="shared" si="735"/>
        <v>0</v>
      </c>
      <c r="W345" s="538">
        <f t="shared" si="736"/>
        <v>0</v>
      </c>
      <c r="X345" s="538">
        <f t="shared" si="737"/>
        <v>0</v>
      </c>
      <c r="Y345" s="283"/>
      <c r="Z345" s="454">
        <f t="shared" si="738"/>
        <v>5.9403072584754346</v>
      </c>
      <c r="AA345" s="454">
        <f t="shared" si="738"/>
        <v>5.8200471114748114</v>
      </c>
      <c r="AB345" s="454">
        <f t="shared" si="738"/>
        <v>0.86881975890672203</v>
      </c>
      <c r="AC345" s="454">
        <f t="shared" si="738"/>
        <v>0.8462935818515952</v>
      </c>
      <c r="AD345" s="454">
        <f t="shared" si="738"/>
        <v>0.81758522474198736</v>
      </c>
      <c r="AE345" s="541">
        <v>0</v>
      </c>
      <c r="AF345" s="456">
        <v>0</v>
      </c>
      <c r="AG345" s="466">
        <f t="shared" si="739"/>
        <v>0</v>
      </c>
      <c r="AH345" s="466">
        <f t="shared" si="739"/>
        <v>0</v>
      </c>
    </row>
    <row r="346" spans="1:34" s="439" customFormat="1" outlineLevel="1">
      <c r="A346" s="283"/>
      <c r="B346" s="464"/>
      <c r="C346" s="465" t="s">
        <v>439</v>
      </c>
      <c r="D346" s="487"/>
      <c r="E346" s="456">
        <v>0</v>
      </c>
      <c r="F346" s="456">
        <v>0</v>
      </c>
      <c r="G346" s="456">
        <v>0</v>
      </c>
      <c r="H346" s="456">
        <v>0</v>
      </c>
      <c r="I346" s="456">
        <v>0</v>
      </c>
      <c r="J346" s="456">
        <v>0</v>
      </c>
      <c r="K346" s="456">
        <v>0</v>
      </c>
      <c r="L346" s="456">
        <v>0</v>
      </c>
      <c r="M346" s="456">
        <v>0</v>
      </c>
      <c r="N346" s="456">
        <v>0</v>
      </c>
      <c r="O346" s="456">
        <v>0</v>
      </c>
      <c r="P346" s="456">
        <v>0</v>
      </c>
      <c r="Q346" s="456">
        <v>0</v>
      </c>
      <c r="R346" s="456">
        <v>0</v>
      </c>
      <c r="S346" s="456">
        <v>0</v>
      </c>
      <c r="T346" s="456">
        <v>0</v>
      </c>
      <c r="U346" s="456">
        <v>0</v>
      </c>
      <c r="V346" s="456">
        <v>0</v>
      </c>
      <c r="W346" s="456">
        <v>0</v>
      </c>
      <c r="X346" s="456">
        <v>0</v>
      </c>
      <c r="Y346" s="283"/>
      <c r="Z346" s="456">
        <v>0</v>
      </c>
      <c r="AA346" s="456">
        <v>0</v>
      </c>
      <c r="AB346" s="456">
        <v>0</v>
      </c>
      <c r="AC346" s="456">
        <v>0</v>
      </c>
      <c r="AD346" s="456">
        <v>0</v>
      </c>
      <c r="AE346" s="456">
        <v>0</v>
      </c>
      <c r="AF346" s="456">
        <v>0</v>
      </c>
      <c r="AG346" s="456">
        <v>0</v>
      </c>
      <c r="AH346" s="456">
        <v>0</v>
      </c>
    </row>
    <row r="347" spans="1:34" s="439" customFormat="1" outlineLevel="1">
      <c r="A347" s="283"/>
      <c r="B347" s="464"/>
      <c r="C347" s="465" t="s">
        <v>441</v>
      </c>
      <c r="D347" s="487"/>
      <c r="E347" s="456">
        <v>0</v>
      </c>
      <c r="F347" s="456">
        <v>0</v>
      </c>
      <c r="G347" s="456">
        <v>0</v>
      </c>
      <c r="H347" s="456">
        <v>0</v>
      </c>
      <c r="I347" s="456">
        <v>0</v>
      </c>
      <c r="J347" s="456">
        <v>0</v>
      </c>
      <c r="K347" s="456">
        <v>0</v>
      </c>
      <c r="L347" s="456">
        <v>0</v>
      </c>
      <c r="M347" s="456">
        <v>0</v>
      </c>
      <c r="N347" s="456">
        <v>0</v>
      </c>
      <c r="O347" s="456">
        <v>0</v>
      </c>
      <c r="P347" s="456">
        <v>0</v>
      </c>
      <c r="Q347" s="456">
        <v>0</v>
      </c>
      <c r="R347" s="456">
        <v>0</v>
      </c>
      <c r="S347" s="456">
        <v>0</v>
      </c>
      <c r="T347" s="456">
        <v>0</v>
      </c>
      <c r="U347" s="456">
        <v>0</v>
      </c>
      <c r="V347" s="456">
        <v>0</v>
      </c>
      <c r="W347" s="456">
        <v>0</v>
      </c>
      <c r="X347" s="456">
        <v>0</v>
      </c>
      <c r="Y347" s="283"/>
      <c r="Z347" s="456">
        <v>0</v>
      </c>
      <c r="AA347" s="456">
        <v>0</v>
      </c>
      <c r="AB347" s="456">
        <v>0</v>
      </c>
      <c r="AC347" s="456">
        <v>0</v>
      </c>
      <c r="AD347" s="456">
        <v>0</v>
      </c>
      <c r="AE347" s="456">
        <v>0</v>
      </c>
      <c r="AF347" s="456">
        <v>0</v>
      </c>
      <c r="AG347" s="456">
        <v>0</v>
      </c>
      <c r="AH347" s="456">
        <v>0</v>
      </c>
    </row>
    <row r="348" spans="1:34" outlineLevel="1">
      <c r="Y348" s="283"/>
      <c r="AE348" s="282"/>
    </row>
    <row r="349" spans="1:34" outlineLevel="1">
      <c r="C349" s="414" t="s">
        <v>499</v>
      </c>
      <c r="Y349" s="283"/>
      <c r="AE349" s="282"/>
    </row>
    <row r="350" spans="1:34" outlineLevel="1">
      <c r="C350" s="402" t="s">
        <v>460</v>
      </c>
      <c r="E350" s="305">
        <v>512.19200000000001</v>
      </c>
      <c r="F350" s="305">
        <v>559.64700000000005</v>
      </c>
      <c r="G350" s="305">
        <v>521.93100000000004</v>
      </c>
      <c r="H350" s="305">
        <v>443.30200000000002</v>
      </c>
      <c r="I350" s="305">
        <v>441.07900000000001</v>
      </c>
      <c r="J350" s="305">
        <v>463.73500000000001</v>
      </c>
      <c r="K350" s="305">
        <v>541.63599999999997</v>
      </c>
      <c r="L350" s="305">
        <v>422.43400000000003</v>
      </c>
      <c r="M350" s="305">
        <v>346.625</v>
      </c>
      <c r="N350" s="305">
        <v>158.84200000000001</v>
      </c>
      <c r="O350" s="305">
        <v>266.69099999999997</v>
      </c>
      <c r="P350" s="305">
        <v>182.614</v>
      </c>
      <c r="Q350" s="305">
        <v>0</v>
      </c>
      <c r="R350" s="305">
        <v>0</v>
      </c>
      <c r="S350" s="384">
        <v>0</v>
      </c>
      <c r="T350" s="305">
        <v>0</v>
      </c>
      <c r="U350" s="305">
        <v>0</v>
      </c>
      <c r="V350" s="305">
        <v>0</v>
      </c>
      <c r="W350" s="305">
        <v>0</v>
      </c>
      <c r="X350" s="305">
        <v>0</v>
      </c>
      <c r="Y350" s="283"/>
      <c r="Z350" s="305">
        <v>4294.1229999999996</v>
      </c>
      <c r="AA350" s="305">
        <v>3257.7379999999998</v>
      </c>
      <c r="AB350" s="282">
        <f t="shared" ref="AB350:AD351" si="741">SUMIF($E$5:$T$5,AB$5,$E350:$T350)</f>
        <v>2037.0720000000001</v>
      </c>
      <c r="AC350" s="282">
        <f t="shared" si="741"/>
        <v>1868.884</v>
      </c>
      <c r="AD350" s="282">
        <f t="shared" si="741"/>
        <v>954.77199999999993</v>
      </c>
      <c r="AE350" s="305">
        <v>0</v>
      </c>
      <c r="AF350" s="305">
        <v>0</v>
      </c>
      <c r="AG350" s="305">
        <v>0</v>
      </c>
      <c r="AH350" s="305">
        <v>0</v>
      </c>
    </row>
    <row r="351" spans="1:34" outlineLevel="1">
      <c r="C351" s="402" t="s">
        <v>461</v>
      </c>
      <c r="E351" s="305">
        <v>4.5129999999999999</v>
      </c>
      <c r="F351" s="305">
        <v>3.8719999999999999</v>
      </c>
      <c r="G351" s="305">
        <v>3.6659999999999999</v>
      </c>
      <c r="H351" s="305">
        <v>2.9279999999999999</v>
      </c>
      <c r="I351" s="305">
        <v>3.53</v>
      </c>
      <c r="J351" s="305">
        <v>3.5470000000000002</v>
      </c>
      <c r="K351" s="305">
        <v>4.6989999999999998</v>
      </c>
      <c r="L351" s="305">
        <v>3.8969999999999998</v>
      </c>
      <c r="M351" s="305">
        <v>2.802</v>
      </c>
      <c r="N351" s="305">
        <v>1.331</v>
      </c>
      <c r="O351" s="305">
        <v>1.931</v>
      </c>
      <c r="P351" s="305">
        <v>1.159</v>
      </c>
      <c r="Q351" s="305">
        <v>0</v>
      </c>
      <c r="R351" s="305">
        <v>0</v>
      </c>
      <c r="S351" s="384">
        <v>0</v>
      </c>
      <c r="T351" s="305">
        <v>0</v>
      </c>
      <c r="U351" s="305">
        <v>0</v>
      </c>
      <c r="V351" s="305">
        <v>0</v>
      </c>
      <c r="W351" s="305">
        <v>0</v>
      </c>
      <c r="X351" s="305">
        <v>0</v>
      </c>
      <c r="Y351" s="283"/>
      <c r="Z351" s="305">
        <v>34.042000000000002</v>
      </c>
      <c r="AA351" s="305">
        <v>25.177</v>
      </c>
      <c r="AB351" s="282">
        <f t="shared" si="741"/>
        <v>14.978999999999999</v>
      </c>
      <c r="AC351" s="282">
        <f t="shared" si="741"/>
        <v>15.673</v>
      </c>
      <c r="AD351" s="282">
        <f t="shared" si="741"/>
        <v>7.2229999999999999</v>
      </c>
      <c r="AE351" s="305">
        <v>0</v>
      </c>
      <c r="AF351" s="305">
        <v>0</v>
      </c>
      <c r="AG351" s="305">
        <v>0</v>
      </c>
      <c r="AH351" s="305">
        <v>0</v>
      </c>
    </row>
    <row r="352" spans="1:34" outlineLevel="1">
      <c r="C352" s="402" t="s">
        <v>462</v>
      </c>
      <c r="E352" s="305">
        <v>0</v>
      </c>
      <c r="F352" s="305">
        <v>0</v>
      </c>
      <c r="G352" s="305">
        <v>0</v>
      </c>
      <c r="H352" s="305">
        <v>0</v>
      </c>
      <c r="I352" s="305">
        <v>0</v>
      </c>
      <c r="J352" s="305">
        <v>0</v>
      </c>
      <c r="K352" s="305">
        <v>0</v>
      </c>
      <c r="L352" s="305">
        <v>0</v>
      </c>
      <c r="M352" s="305">
        <v>0</v>
      </c>
      <c r="N352" s="305">
        <v>0</v>
      </c>
      <c r="O352" s="305">
        <v>0</v>
      </c>
      <c r="P352" s="305">
        <v>0</v>
      </c>
      <c r="Q352" s="305">
        <v>0</v>
      </c>
      <c r="R352" s="305">
        <v>0</v>
      </c>
      <c r="S352" s="305">
        <v>0</v>
      </c>
      <c r="T352" s="305">
        <v>0</v>
      </c>
      <c r="U352" s="305">
        <v>0</v>
      </c>
      <c r="V352" s="305">
        <v>0</v>
      </c>
      <c r="W352" s="305">
        <v>0</v>
      </c>
      <c r="X352" s="305">
        <v>0</v>
      </c>
      <c r="Y352" s="283"/>
      <c r="Z352" s="305">
        <v>0</v>
      </c>
      <c r="AA352" s="305">
        <v>0</v>
      </c>
      <c r="AB352" s="282">
        <v>0</v>
      </c>
      <c r="AC352" s="282">
        <v>0</v>
      </c>
      <c r="AD352" s="282">
        <v>0</v>
      </c>
      <c r="AE352" s="305">
        <v>0</v>
      </c>
      <c r="AF352" s="305">
        <v>0</v>
      </c>
      <c r="AG352" s="305">
        <v>0</v>
      </c>
      <c r="AH352" s="305">
        <v>0</v>
      </c>
    </row>
    <row r="353" spans="3:36" outlineLevel="1">
      <c r="C353" s="402" t="s">
        <v>463</v>
      </c>
      <c r="E353" s="305">
        <v>0</v>
      </c>
      <c r="F353" s="305">
        <v>0</v>
      </c>
      <c r="G353" s="305">
        <v>0</v>
      </c>
      <c r="H353" s="305">
        <v>0</v>
      </c>
      <c r="I353" s="305">
        <v>0</v>
      </c>
      <c r="J353" s="305">
        <v>0</v>
      </c>
      <c r="K353" s="305">
        <v>0</v>
      </c>
      <c r="L353" s="305">
        <v>0</v>
      </c>
      <c r="M353" s="305">
        <v>0</v>
      </c>
      <c r="N353" s="305">
        <v>0</v>
      </c>
      <c r="O353" s="305">
        <v>0</v>
      </c>
      <c r="P353" s="305">
        <v>0</v>
      </c>
      <c r="Q353" s="305">
        <v>0</v>
      </c>
      <c r="R353" s="305">
        <v>0</v>
      </c>
      <c r="S353" s="305">
        <v>0</v>
      </c>
      <c r="T353" s="305">
        <v>0</v>
      </c>
      <c r="U353" s="305">
        <v>0</v>
      </c>
      <c r="V353" s="305">
        <v>0</v>
      </c>
      <c r="W353" s="305">
        <v>0</v>
      </c>
      <c r="X353" s="305">
        <v>0</v>
      </c>
      <c r="Y353" s="283"/>
      <c r="Z353" s="305">
        <v>0</v>
      </c>
      <c r="AA353" s="305">
        <v>0</v>
      </c>
      <c r="AB353" s="282">
        <v>0</v>
      </c>
      <c r="AC353" s="282">
        <v>0</v>
      </c>
      <c r="AD353" s="282">
        <v>0</v>
      </c>
      <c r="AE353" s="305">
        <v>0</v>
      </c>
      <c r="AF353" s="305">
        <v>0</v>
      </c>
      <c r="AG353" s="305">
        <v>0</v>
      </c>
      <c r="AH353" s="305">
        <v>0</v>
      </c>
    </row>
    <row r="354" spans="3:36" outlineLevel="1">
      <c r="C354" s="416" t="s">
        <v>467</v>
      </c>
      <c r="E354" s="382">
        <f>SUM(E350:E353)</f>
        <v>516.70500000000004</v>
      </c>
      <c r="F354" s="382">
        <f t="shared" ref="F354:Q354" si="742">SUM(F350:F353)</f>
        <v>563.51900000000001</v>
      </c>
      <c r="G354" s="382">
        <f t="shared" si="742"/>
        <v>525.59700000000009</v>
      </c>
      <c r="H354" s="382">
        <f t="shared" si="742"/>
        <v>446.23</v>
      </c>
      <c r="I354" s="382">
        <f t="shared" si="742"/>
        <v>444.60899999999998</v>
      </c>
      <c r="J354" s="382">
        <f t="shared" si="742"/>
        <v>467.28200000000004</v>
      </c>
      <c r="K354" s="382">
        <f t="shared" si="742"/>
        <v>546.33499999999992</v>
      </c>
      <c r="L354" s="382">
        <f t="shared" si="742"/>
        <v>426.33100000000002</v>
      </c>
      <c r="M354" s="382">
        <f t="shared" si="742"/>
        <v>349.42700000000002</v>
      </c>
      <c r="N354" s="382">
        <f t="shared" si="742"/>
        <v>160.173</v>
      </c>
      <c r="O354" s="382">
        <f t="shared" si="742"/>
        <v>268.62199999999996</v>
      </c>
      <c r="P354" s="382">
        <f t="shared" si="742"/>
        <v>183.773</v>
      </c>
      <c r="Q354" s="382">
        <f t="shared" si="742"/>
        <v>0</v>
      </c>
      <c r="R354" s="382">
        <f t="shared" ref="R354:T354" si="743">SUM(R350:R353)</f>
        <v>0</v>
      </c>
      <c r="S354" s="382">
        <f t="shared" si="743"/>
        <v>0</v>
      </c>
      <c r="T354" s="382">
        <f t="shared" si="743"/>
        <v>0</v>
      </c>
      <c r="U354" s="382">
        <f t="shared" ref="U354:X354" si="744">SUM(U350:U353)</f>
        <v>0</v>
      </c>
      <c r="V354" s="382">
        <f t="shared" si="744"/>
        <v>0</v>
      </c>
      <c r="W354" s="382">
        <f t="shared" si="744"/>
        <v>0</v>
      </c>
      <c r="X354" s="382">
        <f t="shared" si="744"/>
        <v>0</v>
      </c>
      <c r="Y354" s="283"/>
      <c r="Z354" s="382">
        <f t="shared" ref="Z354:AG354" si="745">SUM(Z350:Z353)</f>
        <v>4328.165</v>
      </c>
      <c r="AA354" s="382">
        <f t="shared" si="745"/>
        <v>3282.915</v>
      </c>
      <c r="AB354" s="382">
        <f t="shared" si="745"/>
        <v>2052.0509999999999</v>
      </c>
      <c r="AC354" s="382">
        <f t="shared" si="745"/>
        <v>1884.557</v>
      </c>
      <c r="AD354" s="382">
        <f t="shared" si="745"/>
        <v>961.99499999999989</v>
      </c>
      <c r="AE354" s="382">
        <f t="shared" si="745"/>
        <v>0</v>
      </c>
      <c r="AF354" s="382">
        <f t="shared" si="745"/>
        <v>0</v>
      </c>
      <c r="AG354" s="382">
        <f t="shared" si="745"/>
        <v>0</v>
      </c>
      <c r="AH354" s="382">
        <f t="shared" ref="AH354" si="746">SUM(AH350:AH353)</f>
        <v>0</v>
      </c>
    </row>
    <row r="355" spans="3:36" outlineLevel="1">
      <c r="Y355" s="283"/>
      <c r="AE355" s="282"/>
    </row>
    <row r="356" spans="3:36" outlineLevel="1">
      <c r="C356" s="414" t="s">
        <v>500</v>
      </c>
      <c r="Y356" s="283"/>
      <c r="AB356" s="282"/>
      <c r="AC356" s="282"/>
      <c r="AD356" s="282"/>
      <c r="AE356" s="282"/>
    </row>
    <row r="357" spans="3:36" outlineLevel="1">
      <c r="C357" s="402" t="s">
        <v>460</v>
      </c>
      <c r="D357" s="375">
        <v>1</v>
      </c>
      <c r="E357" s="305">
        <v>465.90499999999997</v>
      </c>
      <c r="F357" s="305">
        <v>499</v>
      </c>
      <c r="G357" s="305">
        <v>606.54999999999995</v>
      </c>
      <c r="H357" s="282">
        <f>SUMIF($Z$6:$AG$6,H$6,$Z357:$AG357)-SUM(E357:G357)</f>
        <v>413.77500000000009</v>
      </c>
      <c r="I357" s="305">
        <v>496.55</v>
      </c>
      <c r="J357" s="305">
        <v>441.71</v>
      </c>
      <c r="K357" s="305">
        <v>514.9</v>
      </c>
      <c r="L357" s="282">
        <f>SUMIF($Z$6:$AG$6,L$6,$Z357:$AG357)-SUM(I357:K357)</f>
        <v>552.91600000000017</v>
      </c>
      <c r="M357" s="305">
        <v>353.69600000000003</v>
      </c>
      <c r="N357" s="305">
        <v>162.78</v>
      </c>
      <c r="O357" s="305">
        <v>229.25</v>
      </c>
      <c r="P357" s="282">
        <f>SUMIF($Z$6:$AG$6,P$6,$Z357:$AG357)-SUM(M357:O357)</f>
        <v>237.08100000000002</v>
      </c>
      <c r="Q357" s="305">
        <v>3.3919999999999999</v>
      </c>
      <c r="R357" s="305">
        <v>0.1</v>
      </c>
      <c r="S357" s="305">
        <v>0</v>
      </c>
      <c r="T357" s="305">
        <v>0</v>
      </c>
      <c r="U357" s="305">
        <v>0</v>
      </c>
      <c r="V357" s="305">
        <v>0</v>
      </c>
      <c r="W357" s="305">
        <v>0</v>
      </c>
      <c r="X357" s="305">
        <v>0</v>
      </c>
      <c r="Y357" s="283"/>
      <c r="Z357" s="305">
        <v>4285.7879999999996</v>
      </c>
      <c r="AA357" s="305">
        <v>3216.75</v>
      </c>
      <c r="AB357" s="305">
        <v>1985.23</v>
      </c>
      <c r="AC357" s="305">
        <v>2006.076</v>
      </c>
      <c r="AD357" s="305">
        <v>982.80700000000002</v>
      </c>
      <c r="AE357" s="282">
        <f>SUMIF($E$5:$T$5,AE$5,$E357:$T357)</f>
        <v>3.492</v>
      </c>
      <c r="AF357" s="305">
        <v>0</v>
      </c>
      <c r="AG357" s="305">
        <v>0</v>
      </c>
      <c r="AH357" s="305">
        <v>0</v>
      </c>
    </row>
    <row r="358" spans="3:36" outlineLevel="1">
      <c r="C358" s="402" t="s">
        <v>461</v>
      </c>
      <c r="D358" s="375">
        <v>1</v>
      </c>
      <c r="E358" s="305">
        <v>4.1879999999999997</v>
      </c>
      <c r="F358" s="305">
        <v>3.86</v>
      </c>
      <c r="G358" s="305">
        <v>4.24</v>
      </c>
      <c r="H358" s="282">
        <f>SUMIF($Z$6:$AG$6,H$6,$Z358:$AG358)-SUM(E358:G358)</f>
        <v>2.8109999999999999</v>
      </c>
      <c r="I358" s="305">
        <v>3.73</v>
      </c>
      <c r="J358" s="305">
        <v>3.41</v>
      </c>
      <c r="K358" s="305">
        <v>4.4420000000000002</v>
      </c>
      <c r="L358" s="282">
        <f>SUMIF($Z$6:$AG$6,L$6,$Z358:$AG358)-SUM(I358:K358)</f>
        <v>5.1750000000000007</v>
      </c>
      <c r="M358" s="305">
        <v>2.8239999999999998</v>
      </c>
      <c r="N358" s="305">
        <v>1.22</v>
      </c>
      <c r="O358" s="305">
        <v>1.7130000000000001</v>
      </c>
      <c r="P358" s="282">
        <f>SUMIF($Z$6:$AG$6,P$6,$Z358:$AG358)-SUM(M358:O358)</f>
        <v>1.6350000000000007</v>
      </c>
      <c r="Q358" s="305">
        <v>4.7E-2</v>
      </c>
      <c r="R358" s="305">
        <v>0</v>
      </c>
      <c r="S358" s="305">
        <v>0</v>
      </c>
      <c r="T358" s="305">
        <v>0</v>
      </c>
      <c r="U358" s="305">
        <v>0</v>
      </c>
      <c r="V358" s="305">
        <v>0</v>
      </c>
      <c r="W358" s="305">
        <v>0</v>
      </c>
      <c r="X358" s="305">
        <v>0</v>
      </c>
      <c r="Y358" s="283"/>
      <c r="Z358" s="305">
        <v>32.353999999999999</v>
      </c>
      <c r="AA358" s="305">
        <v>25.414999999999999</v>
      </c>
      <c r="AB358" s="305">
        <v>15.099</v>
      </c>
      <c r="AC358" s="305">
        <v>16.757000000000001</v>
      </c>
      <c r="AD358" s="305">
        <v>7.3920000000000003</v>
      </c>
      <c r="AE358" s="282">
        <f>SUMIF($E$5:$T$5,AE$5,$E358:$T358)</f>
        <v>4.7E-2</v>
      </c>
      <c r="AF358" s="305">
        <v>0</v>
      </c>
      <c r="AG358" s="305">
        <v>0</v>
      </c>
      <c r="AH358" s="305">
        <v>0</v>
      </c>
    </row>
    <row r="359" spans="3:36" outlineLevel="1">
      <c r="C359" s="402" t="s">
        <v>462</v>
      </c>
      <c r="D359" s="375">
        <v>1</v>
      </c>
      <c r="E359" s="305">
        <v>0</v>
      </c>
      <c r="F359" s="305">
        <v>0</v>
      </c>
      <c r="G359" s="305">
        <v>0</v>
      </c>
      <c r="H359" s="305">
        <v>0</v>
      </c>
      <c r="I359" s="305">
        <v>0</v>
      </c>
      <c r="J359" s="305">
        <v>0</v>
      </c>
      <c r="K359" s="305">
        <v>0</v>
      </c>
      <c r="L359" s="305">
        <v>0</v>
      </c>
      <c r="M359" s="305">
        <v>0</v>
      </c>
      <c r="N359" s="305">
        <v>0</v>
      </c>
      <c r="O359" s="305">
        <v>0</v>
      </c>
      <c r="P359" s="305">
        <v>0</v>
      </c>
      <c r="Q359" s="305">
        <v>0</v>
      </c>
      <c r="R359" s="305">
        <v>0</v>
      </c>
      <c r="S359" s="305">
        <v>0</v>
      </c>
      <c r="T359" s="305">
        <v>0</v>
      </c>
      <c r="U359" s="305">
        <v>0</v>
      </c>
      <c r="V359" s="305">
        <v>0</v>
      </c>
      <c r="W359" s="305">
        <v>0</v>
      </c>
      <c r="X359" s="305">
        <v>0</v>
      </c>
      <c r="Y359" s="283"/>
      <c r="Z359" s="305">
        <v>0</v>
      </c>
      <c r="AA359" s="305">
        <v>0</v>
      </c>
      <c r="AB359" s="305">
        <v>0</v>
      </c>
      <c r="AC359" s="305">
        <v>0</v>
      </c>
      <c r="AD359" s="305">
        <v>0</v>
      </c>
      <c r="AE359" s="282">
        <v>0</v>
      </c>
      <c r="AF359" s="305">
        <v>0</v>
      </c>
      <c r="AG359" s="305">
        <v>0</v>
      </c>
      <c r="AH359" s="305">
        <v>0</v>
      </c>
    </row>
    <row r="360" spans="3:36" outlineLevel="1">
      <c r="C360" s="402" t="s">
        <v>463</v>
      </c>
      <c r="D360" s="375">
        <v>1</v>
      </c>
      <c r="E360" s="305">
        <v>0</v>
      </c>
      <c r="F360" s="305">
        <v>0</v>
      </c>
      <c r="G360" s="305">
        <v>0</v>
      </c>
      <c r="H360" s="305">
        <v>0</v>
      </c>
      <c r="I360" s="305">
        <v>0</v>
      </c>
      <c r="J360" s="305">
        <v>0</v>
      </c>
      <c r="K360" s="305">
        <v>0</v>
      </c>
      <c r="L360" s="305">
        <v>0</v>
      </c>
      <c r="M360" s="305">
        <v>0</v>
      </c>
      <c r="N360" s="305">
        <v>0</v>
      </c>
      <c r="O360" s="305">
        <v>0</v>
      </c>
      <c r="P360" s="305">
        <v>0</v>
      </c>
      <c r="Q360" s="305">
        <v>0</v>
      </c>
      <c r="R360" s="305">
        <v>0</v>
      </c>
      <c r="S360" s="305">
        <v>0</v>
      </c>
      <c r="T360" s="305">
        <v>0</v>
      </c>
      <c r="U360" s="305">
        <v>0</v>
      </c>
      <c r="V360" s="305">
        <v>0</v>
      </c>
      <c r="W360" s="305">
        <v>0</v>
      </c>
      <c r="X360" s="305">
        <v>0</v>
      </c>
      <c r="Y360" s="283"/>
      <c r="Z360" s="305">
        <v>0</v>
      </c>
      <c r="AA360" s="305">
        <v>0</v>
      </c>
      <c r="AB360" s="305">
        <v>0</v>
      </c>
      <c r="AC360" s="305">
        <v>0</v>
      </c>
      <c r="AD360" s="305">
        <v>0</v>
      </c>
      <c r="AE360" s="282">
        <v>0</v>
      </c>
      <c r="AF360" s="305">
        <v>0</v>
      </c>
      <c r="AG360" s="305">
        <v>0</v>
      </c>
      <c r="AH360" s="305">
        <v>0</v>
      </c>
    </row>
    <row r="361" spans="3:36" outlineLevel="1">
      <c r="C361" s="416" t="s">
        <v>465</v>
      </c>
      <c r="E361" s="382">
        <f>SUM(E357:E360)</f>
        <v>470.09299999999996</v>
      </c>
      <c r="F361" s="382">
        <f t="shared" ref="F361:T361" si="747">SUM(F357:F360)</f>
        <v>502.86</v>
      </c>
      <c r="G361" s="382">
        <f t="shared" si="747"/>
        <v>610.79</v>
      </c>
      <c r="H361" s="382">
        <f t="shared" si="747"/>
        <v>416.58600000000007</v>
      </c>
      <c r="I361" s="382">
        <f t="shared" si="747"/>
        <v>500.28000000000003</v>
      </c>
      <c r="J361" s="382">
        <f t="shared" si="747"/>
        <v>445.12</v>
      </c>
      <c r="K361" s="382">
        <f t="shared" si="747"/>
        <v>519.34199999999998</v>
      </c>
      <c r="L361" s="382">
        <f t="shared" si="747"/>
        <v>558.09100000000012</v>
      </c>
      <c r="M361" s="382">
        <f t="shared" si="747"/>
        <v>356.52000000000004</v>
      </c>
      <c r="N361" s="382">
        <f t="shared" si="747"/>
        <v>164</v>
      </c>
      <c r="O361" s="382">
        <f t="shared" si="747"/>
        <v>230.96299999999999</v>
      </c>
      <c r="P361" s="382">
        <f t="shared" si="747"/>
        <v>238.71600000000001</v>
      </c>
      <c r="Q361" s="382">
        <f t="shared" si="747"/>
        <v>3.4390000000000001</v>
      </c>
      <c r="R361" s="769">
        <f t="shared" si="747"/>
        <v>0.1</v>
      </c>
      <c r="S361" s="382">
        <f t="shared" si="747"/>
        <v>0</v>
      </c>
      <c r="T361" s="382">
        <f t="shared" si="747"/>
        <v>0</v>
      </c>
      <c r="U361" s="382">
        <f t="shared" ref="U361:X361" si="748">SUM(U357:U360)</f>
        <v>0</v>
      </c>
      <c r="V361" s="382">
        <f t="shared" si="748"/>
        <v>0</v>
      </c>
      <c r="W361" s="382">
        <f t="shared" si="748"/>
        <v>0</v>
      </c>
      <c r="X361" s="382">
        <f t="shared" si="748"/>
        <v>0</v>
      </c>
      <c r="Y361" s="283"/>
      <c r="Z361" s="382">
        <f t="shared" ref="Z361:AG361" si="749">SUM(Z357:Z360)</f>
        <v>4318.1419999999998</v>
      </c>
      <c r="AA361" s="382">
        <f t="shared" si="749"/>
        <v>3242.165</v>
      </c>
      <c r="AB361" s="382">
        <f t="shared" si="749"/>
        <v>2000.329</v>
      </c>
      <c r="AC361" s="382">
        <f t="shared" si="749"/>
        <v>2022.8330000000001</v>
      </c>
      <c r="AD361" s="382">
        <f t="shared" si="749"/>
        <v>990.19900000000007</v>
      </c>
      <c r="AE361" s="382">
        <f t="shared" si="749"/>
        <v>3.5390000000000001</v>
      </c>
      <c r="AF361" s="382">
        <f t="shared" si="749"/>
        <v>0</v>
      </c>
      <c r="AG361" s="382">
        <f t="shared" si="749"/>
        <v>0</v>
      </c>
      <c r="AH361" s="382">
        <f t="shared" ref="AH361" si="750">SUM(AH357:AH360)</f>
        <v>0</v>
      </c>
      <c r="AJ361" s="307"/>
    </row>
    <row r="362" spans="3:36" outlineLevel="1">
      <c r="Y362" s="283"/>
      <c r="AE362" s="282"/>
    </row>
    <row r="363" spans="3:36" outlineLevel="1">
      <c r="C363" s="414" t="s">
        <v>577</v>
      </c>
      <c r="E363" s="428"/>
      <c r="F363" s="428"/>
      <c r="G363" s="428"/>
      <c r="H363" s="428"/>
      <c r="I363" s="428"/>
      <c r="J363" s="428"/>
      <c r="K363" s="428"/>
      <c r="L363" s="428"/>
      <c r="M363" s="428"/>
      <c r="N363" s="428"/>
      <c r="O363" s="428"/>
      <c r="P363" s="428"/>
      <c r="Y363" s="283"/>
      <c r="AE363" s="282"/>
    </row>
    <row r="364" spans="3:36" outlineLevel="1">
      <c r="C364" s="402" t="s">
        <v>444</v>
      </c>
      <c r="E364" s="282">
        <f>E$1*E357/1000</f>
        <v>7.8462292011720027</v>
      </c>
      <c r="F364" s="282">
        <f>F$1*F357/1000</f>
        <v>8.286998099192914</v>
      </c>
      <c r="G364" s="282">
        <f>G$1*G357/1000</f>
        <v>8.9065307682738677</v>
      </c>
      <c r="H364" s="282">
        <f>H$1*H357/1000</f>
        <v>6.0314035123805212</v>
      </c>
      <c r="I364" s="282">
        <f t="shared" ref="I364:T364" si="751">I$1*I357/1000</f>
        <v>7.7968796269810072</v>
      </c>
      <c r="J364" s="282">
        <f t="shared" si="751"/>
        <v>6.6291583512018999</v>
      </c>
      <c r="K364" s="282">
        <f t="shared" si="751"/>
        <v>9.3603464160513017</v>
      </c>
      <c r="L364" s="282">
        <f t="shared" si="751"/>
        <v>9.6567108403998763</v>
      </c>
      <c r="M364" s="282">
        <f t="shared" si="751"/>
        <v>5.1462529671453154</v>
      </c>
      <c r="N364" s="282">
        <f t="shared" si="751"/>
        <v>3.0020081830260001</v>
      </c>
      <c r="O364" s="282">
        <f t="shared" si="751"/>
        <v>5.8046642440788956</v>
      </c>
      <c r="P364" s="282">
        <f t="shared" si="751"/>
        <v>5.9649416549203025</v>
      </c>
      <c r="Q364" s="593">
        <f t="shared" si="751"/>
        <v>8.7049420384320286E-2</v>
      </c>
      <c r="R364" s="282">
        <f t="shared" si="751"/>
        <v>2.7160292130146884E-3</v>
      </c>
      <c r="S364" s="282">
        <f t="shared" si="751"/>
        <v>0</v>
      </c>
      <c r="T364" s="282">
        <f t="shared" si="751"/>
        <v>0</v>
      </c>
      <c r="U364" s="282">
        <f t="shared" ref="U364:X364" si="752">U$1*U357/1000</f>
        <v>0</v>
      </c>
      <c r="V364" s="282">
        <f t="shared" si="752"/>
        <v>0</v>
      </c>
      <c r="W364" s="282">
        <f t="shared" si="752"/>
        <v>0</v>
      </c>
      <c r="X364" s="282">
        <f t="shared" si="752"/>
        <v>0</v>
      </c>
      <c r="Y364" s="283"/>
      <c r="Z364" s="282">
        <f t="shared" ref="Z364:AG364" si="753">Z$1*Z357/1000</f>
        <v>73.524833656829742</v>
      </c>
      <c r="AA364" s="282">
        <f t="shared" si="753"/>
        <v>55.413126280069299</v>
      </c>
      <c r="AB364" s="282">
        <f t="shared" si="753"/>
        <v>31.02119968749949</v>
      </c>
      <c r="AC364" s="282">
        <f t="shared" si="753"/>
        <v>33.393277118776815</v>
      </c>
      <c r="AD364" s="282">
        <f t="shared" si="753"/>
        <v>20.782922328258838</v>
      </c>
      <c r="AE364" s="282">
        <f t="shared" si="753"/>
        <v>8.8140732668477606E-2</v>
      </c>
      <c r="AF364" s="282">
        <f t="shared" si="753"/>
        <v>0</v>
      </c>
      <c r="AG364" s="282">
        <f t="shared" si="753"/>
        <v>0</v>
      </c>
      <c r="AH364" s="282">
        <f t="shared" ref="AH364" si="754">AH$1*AH357/1000</f>
        <v>0</v>
      </c>
    </row>
    <row r="365" spans="3:36" outlineLevel="1">
      <c r="C365" s="402" t="s">
        <v>440</v>
      </c>
      <c r="E365" s="282">
        <f>E$2*E358/1000</f>
        <v>5.5782977807764533</v>
      </c>
      <c r="F365" s="282">
        <f>F$2*F358/1000</f>
        <v>5.0244135942189363</v>
      </c>
      <c r="G365" s="282">
        <f>G$2*G358/1000</f>
        <v>5.1094201376735509</v>
      </c>
      <c r="H365" s="282">
        <f>H$2*H358/1000</f>
        <v>3.4776304941220268</v>
      </c>
      <c r="I365" s="282">
        <f t="shared" ref="I365:T365" si="755">I$2*I358/1000</f>
        <v>4.877292076933176</v>
      </c>
      <c r="J365" s="282">
        <f t="shared" si="755"/>
        <v>4.5080261132815815</v>
      </c>
      <c r="K365" s="282">
        <f t="shared" si="755"/>
        <v>6.6151797305045887</v>
      </c>
      <c r="L365" s="282">
        <f t="shared" si="755"/>
        <v>7.7026362100520913</v>
      </c>
      <c r="M365" s="282">
        <f t="shared" si="755"/>
        <v>4.4852259250827444</v>
      </c>
      <c r="N365" s="282">
        <f t="shared" si="755"/>
        <v>2.1176068642138648</v>
      </c>
      <c r="O365" s="282">
        <f t="shared" si="755"/>
        <v>3.3037579040156713</v>
      </c>
      <c r="P365" s="282">
        <f t="shared" si="755"/>
        <v>2.9484494947153723</v>
      </c>
      <c r="Q365" s="282">
        <f t="shared" si="755"/>
        <v>8.3199664839576873E-2</v>
      </c>
      <c r="R365" s="282">
        <f t="shared" si="755"/>
        <v>0</v>
      </c>
      <c r="S365" s="282">
        <f t="shared" si="755"/>
        <v>0</v>
      </c>
      <c r="T365" s="282">
        <f t="shared" si="755"/>
        <v>0</v>
      </c>
      <c r="U365" s="282">
        <f t="shared" ref="U365:X365" si="756">U$2*U358/1000</f>
        <v>0</v>
      </c>
      <c r="V365" s="282">
        <f t="shared" si="756"/>
        <v>0</v>
      </c>
      <c r="W365" s="282">
        <f t="shared" si="756"/>
        <v>0</v>
      </c>
      <c r="X365" s="282">
        <f t="shared" si="756"/>
        <v>0</v>
      </c>
      <c r="Y365" s="283"/>
      <c r="Z365" s="282">
        <f t="shared" ref="Z365:AG365" si="757">Z$2*Z358/1000</f>
        <v>40.296648071857902</v>
      </c>
      <c r="AA365" s="282">
        <f t="shared" si="757"/>
        <v>32.05877676431939</v>
      </c>
      <c r="AB365" s="282">
        <f t="shared" si="757"/>
        <v>19.097372919427297</v>
      </c>
      <c r="AC365" s="282">
        <f t="shared" si="757"/>
        <v>23.674207039217045</v>
      </c>
      <c r="AD365" s="282">
        <f t="shared" si="757"/>
        <v>12.988934413450817</v>
      </c>
      <c r="AE365" s="282">
        <f t="shared" si="757"/>
        <v>8.4399699418180749E-2</v>
      </c>
      <c r="AF365" s="282">
        <f t="shared" si="757"/>
        <v>0</v>
      </c>
      <c r="AG365" s="282">
        <f t="shared" si="757"/>
        <v>0</v>
      </c>
      <c r="AH365" s="282">
        <f t="shared" ref="AH365" si="758">AH$2*AH358/1000</f>
        <v>0</v>
      </c>
    </row>
    <row r="366" spans="3:36" outlineLevel="1">
      <c r="C366" s="402" t="s">
        <v>439</v>
      </c>
      <c r="E366" s="282">
        <f>E$3*E359*2</f>
        <v>0</v>
      </c>
      <c r="F366" s="282">
        <f>F$3*F359*2</f>
        <v>0</v>
      </c>
      <c r="G366" s="282">
        <f>G$3*G359*2</f>
        <v>0</v>
      </c>
      <c r="H366" s="282">
        <f>H$3*H359*2</f>
        <v>0</v>
      </c>
      <c r="I366" s="282">
        <f t="shared" ref="I366:T366" si="759">I$3*I359*2</f>
        <v>0</v>
      </c>
      <c r="J366" s="282">
        <f t="shared" si="759"/>
        <v>0</v>
      </c>
      <c r="K366" s="282">
        <f t="shared" si="759"/>
        <v>0</v>
      </c>
      <c r="L366" s="282">
        <f t="shared" si="759"/>
        <v>0</v>
      </c>
      <c r="M366" s="282">
        <f t="shared" si="759"/>
        <v>0</v>
      </c>
      <c r="N366" s="282">
        <f t="shared" si="759"/>
        <v>0</v>
      </c>
      <c r="O366" s="282">
        <f t="shared" si="759"/>
        <v>0</v>
      </c>
      <c r="P366" s="282">
        <f t="shared" si="759"/>
        <v>0</v>
      </c>
      <c r="Q366" s="282">
        <f t="shared" si="759"/>
        <v>0</v>
      </c>
      <c r="R366" s="282">
        <f t="shared" si="759"/>
        <v>0</v>
      </c>
      <c r="S366" s="282">
        <f t="shared" si="759"/>
        <v>0</v>
      </c>
      <c r="T366" s="282">
        <f t="shared" si="759"/>
        <v>0</v>
      </c>
      <c r="U366" s="282">
        <f t="shared" ref="U366:X366" si="760">U$3*U359*2</f>
        <v>0</v>
      </c>
      <c r="V366" s="282">
        <f t="shared" si="760"/>
        <v>0</v>
      </c>
      <c r="W366" s="282">
        <f t="shared" si="760"/>
        <v>0</v>
      </c>
      <c r="X366" s="282">
        <f t="shared" si="760"/>
        <v>0</v>
      </c>
      <c r="Y366" s="283"/>
      <c r="Z366" s="282">
        <f t="shared" ref="Z366:AG366" si="761">Z$3*Z359*2</f>
        <v>0</v>
      </c>
      <c r="AA366" s="282">
        <f t="shared" si="761"/>
        <v>0</v>
      </c>
      <c r="AB366" s="282">
        <f t="shared" si="761"/>
        <v>0</v>
      </c>
      <c r="AC366" s="282">
        <f t="shared" si="761"/>
        <v>0</v>
      </c>
      <c r="AD366" s="282">
        <f t="shared" si="761"/>
        <v>0</v>
      </c>
      <c r="AE366" s="282">
        <f t="shared" si="761"/>
        <v>0</v>
      </c>
      <c r="AF366" s="282">
        <f t="shared" ca="1" si="761"/>
        <v>0</v>
      </c>
      <c r="AG366" s="282">
        <f t="shared" ca="1" si="761"/>
        <v>0</v>
      </c>
      <c r="AH366" s="282">
        <f t="shared" ref="AH366" ca="1" si="762">AH$3*AH359*2</f>
        <v>0</v>
      </c>
    </row>
    <row r="367" spans="3:36" outlineLevel="1">
      <c r="C367" s="402" t="s">
        <v>441</v>
      </c>
      <c r="E367" s="282">
        <f>E$4*E360*2</f>
        <v>0</v>
      </c>
      <c r="F367" s="282">
        <f>F$4*F360*2</f>
        <v>0</v>
      </c>
      <c r="G367" s="282">
        <f>G$4*G360*2</f>
        <v>0</v>
      </c>
      <c r="H367" s="282">
        <f>H$4*H360*2</f>
        <v>0</v>
      </c>
      <c r="I367" s="282">
        <f t="shared" ref="I367:T367" si="763">I$4*I360*2</f>
        <v>0</v>
      </c>
      <c r="J367" s="282">
        <f t="shared" si="763"/>
        <v>0</v>
      </c>
      <c r="K367" s="282">
        <f t="shared" si="763"/>
        <v>0</v>
      </c>
      <c r="L367" s="282">
        <f t="shared" si="763"/>
        <v>0</v>
      </c>
      <c r="M367" s="282">
        <f t="shared" si="763"/>
        <v>0</v>
      </c>
      <c r="N367" s="282">
        <f t="shared" si="763"/>
        <v>0</v>
      </c>
      <c r="O367" s="282">
        <f t="shared" si="763"/>
        <v>0</v>
      </c>
      <c r="P367" s="282">
        <f t="shared" si="763"/>
        <v>0</v>
      </c>
      <c r="Q367" s="282">
        <f t="shared" si="763"/>
        <v>0</v>
      </c>
      <c r="R367" s="282">
        <f t="shared" si="763"/>
        <v>0</v>
      </c>
      <c r="S367" s="282">
        <f t="shared" si="763"/>
        <v>0</v>
      </c>
      <c r="T367" s="282">
        <f t="shared" si="763"/>
        <v>0</v>
      </c>
      <c r="U367" s="282">
        <f t="shared" ref="U367:X367" si="764">U$4*U360*2</f>
        <v>0</v>
      </c>
      <c r="V367" s="282">
        <f t="shared" si="764"/>
        <v>0</v>
      </c>
      <c r="W367" s="282">
        <f t="shared" si="764"/>
        <v>0</v>
      </c>
      <c r="X367" s="282">
        <f t="shared" si="764"/>
        <v>0</v>
      </c>
      <c r="Y367" s="283"/>
      <c r="Z367" s="282">
        <f t="shared" ref="Z367:AG367" si="765">Z$4*Z360*2</f>
        <v>0</v>
      </c>
      <c r="AA367" s="282">
        <f t="shared" si="765"/>
        <v>0</v>
      </c>
      <c r="AB367" s="282">
        <f t="shared" si="765"/>
        <v>0</v>
      </c>
      <c r="AC367" s="282">
        <f t="shared" si="765"/>
        <v>0</v>
      </c>
      <c r="AD367" s="282">
        <f t="shared" si="765"/>
        <v>0</v>
      </c>
      <c r="AE367" s="282">
        <f t="shared" si="765"/>
        <v>0</v>
      </c>
      <c r="AF367" s="282">
        <f t="shared" ca="1" si="765"/>
        <v>0</v>
      </c>
      <c r="AG367" s="282">
        <f t="shared" ca="1" si="765"/>
        <v>0</v>
      </c>
      <c r="AH367" s="282">
        <f t="shared" ref="AH367" ca="1" si="766">AH$4*AH360*2</f>
        <v>0</v>
      </c>
    </row>
    <row r="368" spans="3:36" outlineLevel="1">
      <c r="C368" s="416" t="s">
        <v>578</v>
      </c>
      <c r="E368" s="382">
        <f t="shared" ref="E368:T368" si="767">SUM(E364:E367)</f>
        <v>13.424526981948457</v>
      </c>
      <c r="F368" s="382">
        <f t="shared" si="767"/>
        <v>13.31141169341185</v>
      </c>
      <c r="G368" s="382">
        <f t="shared" si="767"/>
        <v>14.015950905947419</v>
      </c>
      <c r="H368" s="382">
        <f t="shared" si="767"/>
        <v>9.5090340065025476</v>
      </c>
      <c r="I368" s="382">
        <f t="shared" si="767"/>
        <v>12.674171703914183</v>
      </c>
      <c r="J368" s="382">
        <f t="shared" si="767"/>
        <v>11.137184464483482</v>
      </c>
      <c r="K368" s="382">
        <f t="shared" si="767"/>
        <v>15.97552614655589</v>
      </c>
      <c r="L368" s="382">
        <f t="shared" si="767"/>
        <v>17.359347050451966</v>
      </c>
      <c r="M368" s="382">
        <f t="shared" si="767"/>
        <v>9.6314788922280599</v>
      </c>
      <c r="N368" s="382">
        <f t="shared" si="767"/>
        <v>5.1196150472398649</v>
      </c>
      <c r="O368" s="382">
        <f t="shared" si="767"/>
        <v>9.1084221480945669</v>
      </c>
      <c r="P368" s="382">
        <f t="shared" si="767"/>
        <v>8.9133911496356752</v>
      </c>
      <c r="Q368" s="382">
        <f t="shared" si="767"/>
        <v>0.17024908522389715</v>
      </c>
      <c r="R368" s="769">
        <f t="shared" si="767"/>
        <v>2.7160292130146884E-3</v>
      </c>
      <c r="S368" s="382">
        <f t="shared" si="767"/>
        <v>0</v>
      </c>
      <c r="T368" s="382">
        <f t="shared" si="767"/>
        <v>0</v>
      </c>
      <c r="U368" s="382">
        <f t="shared" ref="U368:X368" si="768">SUM(U364:U367)</f>
        <v>0</v>
      </c>
      <c r="V368" s="382">
        <f t="shared" si="768"/>
        <v>0</v>
      </c>
      <c r="W368" s="382">
        <f t="shared" si="768"/>
        <v>0</v>
      </c>
      <c r="X368" s="382">
        <f t="shared" si="768"/>
        <v>0</v>
      </c>
      <c r="Y368" s="283"/>
      <c r="Z368" s="382">
        <f t="shared" ref="Z368:AE368" si="769">SUM(Z364:Z367)</f>
        <v>113.82148172868764</v>
      </c>
      <c r="AA368" s="382">
        <f t="shared" si="769"/>
        <v>87.471903044388682</v>
      </c>
      <c r="AB368" s="382">
        <f t="shared" si="769"/>
        <v>50.11857260692679</v>
      </c>
      <c r="AC368" s="382">
        <f t="shared" si="769"/>
        <v>57.06748415799386</v>
      </c>
      <c r="AD368" s="382">
        <f t="shared" si="769"/>
        <v>33.771856741709655</v>
      </c>
      <c r="AE368" s="382">
        <f t="shared" si="769"/>
        <v>0.17254043208665837</v>
      </c>
      <c r="AF368" s="382">
        <f t="shared" ref="AF368" ca="1" si="770">SUM(AF364:AF367)</f>
        <v>0</v>
      </c>
      <c r="AG368" s="382">
        <f ca="1">SUM(AG364:AG367)</f>
        <v>0</v>
      </c>
      <c r="AH368" s="382">
        <f ca="1">SUM(AH364:AH367)</f>
        <v>0</v>
      </c>
    </row>
    <row r="369" spans="1:36" ht="3" customHeight="1" outlineLevel="1">
      <c r="C369" s="416"/>
      <c r="E369" s="308"/>
      <c r="F369" s="308"/>
      <c r="G369" s="308"/>
      <c r="H369" s="308"/>
      <c r="I369" s="308"/>
      <c r="J369" s="308"/>
      <c r="K369" s="308"/>
      <c r="L369" s="308"/>
      <c r="M369" s="308"/>
      <c r="N369" s="308"/>
      <c r="O369" s="308"/>
      <c r="P369" s="308"/>
      <c r="Q369" s="308"/>
      <c r="R369" s="308"/>
      <c r="S369" s="308"/>
      <c r="T369" s="308"/>
      <c r="U369" s="308"/>
      <c r="V369" s="308"/>
      <c r="W369" s="308"/>
      <c r="X369" s="308"/>
      <c r="Y369" s="283"/>
      <c r="Z369" s="308"/>
      <c r="AA369" s="308"/>
      <c r="AB369" s="308"/>
      <c r="AC369" s="308"/>
      <c r="AD369" s="308"/>
      <c r="AE369" s="308"/>
      <c r="AF369" s="308"/>
      <c r="AG369" s="308"/>
      <c r="AH369" s="308"/>
    </row>
    <row r="370" spans="1:36" outlineLevel="1">
      <c r="C370" s="480" t="s">
        <v>575</v>
      </c>
      <c r="E370" s="282">
        <f t="shared" ref="E370:T370" si="771">+E368-E373</f>
        <v>9.0526981948457319E-2</v>
      </c>
      <c r="F370" s="282">
        <f t="shared" si="771"/>
        <v>4.7411693411850919E-2</v>
      </c>
      <c r="G370" s="282">
        <f t="shared" si="771"/>
        <v>-0.11304909405258101</v>
      </c>
      <c r="H370" s="282">
        <f t="shared" si="771"/>
        <v>1.2034006502547712E-2</v>
      </c>
      <c r="I370" s="282">
        <f t="shared" si="771"/>
        <v>7.4171703914183595E-2</v>
      </c>
      <c r="J370" s="282">
        <f t="shared" si="771"/>
        <v>0.14418446448348199</v>
      </c>
      <c r="K370" s="282">
        <f t="shared" si="771"/>
        <v>0.54052614655588904</v>
      </c>
      <c r="L370" s="282">
        <f t="shared" si="771"/>
        <v>0.17734705045196364</v>
      </c>
      <c r="M370" s="282">
        <f t="shared" si="771"/>
        <v>-0.29552110777193974</v>
      </c>
      <c r="N370" s="282">
        <f t="shared" si="771"/>
        <v>0.18561504723986477</v>
      </c>
      <c r="O370" s="282">
        <f t="shared" si="771"/>
        <v>-2.957785190543305E-2</v>
      </c>
      <c r="P370" s="282">
        <f t="shared" si="771"/>
        <v>6.3911496356787723E-3</v>
      </c>
      <c r="Q370" s="282">
        <f t="shared" si="771"/>
        <v>-2.7509147761028419E-3</v>
      </c>
      <c r="R370" s="282">
        <f t="shared" si="771"/>
        <v>-2.839707869853117E-4</v>
      </c>
      <c r="S370" s="543">
        <f t="shared" si="771"/>
        <v>0</v>
      </c>
      <c r="T370" s="543">
        <f t="shared" si="771"/>
        <v>0</v>
      </c>
      <c r="U370" s="282">
        <f t="shared" ref="U370:X370" si="772">+U368*U371</f>
        <v>0</v>
      </c>
      <c r="V370" s="282">
        <f t="shared" si="772"/>
        <v>0</v>
      </c>
      <c r="W370" s="282">
        <f t="shared" si="772"/>
        <v>0</v>
      </c>
      <c r="X370" s="282">
        <f t="shared" si="772"/>
        <v>0</v>
      </c>
      <c r="Y370" s="283"/>
      <c r="Z370" s="282">
        <f t="shared" ref="Z370:AE370" si="773">+Z368-Z373</f>
        <v>-6.7518271312351885E-2</v>
      </c>
      <c r="AA370" s="282">
        <f t="shared" si="773"/>
        <v>1.7139030443886867</v>
      </c>
      <c r="AB370" s="282">
        <f t="shared" si="773"/>
        <v>-0.10542739307320659</v>
      </c>
      <c r="AC370" s="282">
        <f t="shared" si="773"/>
        <v>0.85748415799385924</v>
      </c>
      <c r="AD370" s="282">
        <f t="shared" si="773"/>
        <v>0.86585674170965632</v>
      </c>
      <c r="AE370" s="282">
        <f t="shared" si="773"/>
        <v>-3.4595679133416213E-3</v>
      </c>
      <c r="AF370" s="282">
        <f t="shared" ref="AF370" ca="1" si="774">+AF368-AF373</f>
        <v>0</v>
      </c>
      <c r="AG370" s="282">
        <f ca="1">+AG368*AG371</f>
        <v>0</v>
      </c>
      <c r="AH370" s="282">
        <f ca="1">+AH368*AH371</f>
        <v>0</v>
      </c>
    </row>
    <row r="371" spans="1:36" s="439" customFormat="1" outlineLevel="1">
      <c r="A371" s="283"/>
      <c r="B371" s="306"/>
      <c r="C371" s="335" t="s">
        <v>579</v>
      </c>
      <c r="D371" s="492"/>
      <c r="E371" s="454">
        <f>E370/E368</f>
        <v>6.7434019887766721E-3</v>
      </c>
      <c r="F371" s="454">
        <f>F370/F368</f>
        <v>3.5617329329026876E-3</v>
      </c>
      <c r="G371" s="454">
        <f t="shared" ref="G371:R371" si="775">G370/G368</f>
        <v>-8.0657455788183917E-3</v>
      </c>
      <c r="H371" s="454">
        <f t="shared" si="775"/>
        <v>1.2655340694247719E-3</v>
      </c>
      <c r="I371" s="454">
        <f t="shared" si="775"/>
        <v>5.8521933935356922E-3</v>
      </c>
      <c r="J371" s="454">
        <f t="shared" si="775"/>
        <v>1.294622217520835E-2</v>
      </c>
      <c r="K371" s="454">
        <f t="shared" si="775"/>
        <v>3.3834638158219237E-2</v>
      </c>
      <c r="L371" s="454">
        <f t="shared" si="775"/>
        <v>1.0216228175894798E-2</v>
      </c>
      <c r="M371" s="454">
        <f t="shared" si="775"/>
        <v>-3.0682838126801577E-2</v>
      </c>
      <c r="N371" s="454">
        <f t="shared" si="775"/>
        <v>3.6255664835569093E-2</v>
      </c>
      <c r="O371" s="454">
        <f t="shared" si="775"/>
        <v>-3.2473079776633518E-3</v>
      </c>
      <c r="P371" s="454">
        <f t="shared" si="775"/>
        <v>7.1702784365521792E-4</v>
      </c>
      <c r="Q371" s="454">
        <f t="shared" si="775"/>
        <v>-1.6158176547527832E-2</v>
      </c>
      <c r="R371" s="454">
        <f t="shared" si="775"/>
        <v>-0.10455365709049756</v>
      </c>
      <c r="S371" s="796" t="s">
        <v>798</v>
      </c>
      <c r="T371" s="796" t="s">
        <v>798</v>
      </c>
      <c r="U371" s="538">
        <v>0</v>
      </c>
      <c r="V371" s="538">
        <v>0</v>
      </c>
      <c r="W371" s="538">
        <v>0</v>
      </c>
      <c r="X371" s="538">
        <v>0</v>
      </c>
      <c r="Y371" s="283"/>
      <c r="Z371" s="454">
        <f t="shared" ref="Z371:AE371" si="776">Z370/Z368</f>
        <v>-5.9319445052817771E-4</v>
      </c>
      <c r="AA371" s="454">
        <f t="shared" si="776"/>
        <v>1.9593755077203998E-2</v>
      </c>
      <c r="AB371" s="454">
        <f t="shared" si="776"/>
        <v>-2.1035593710950116E-3</v>
      </c>
      <c r="AC371" s="454">
        <f t="shared" si="776"/>
        <v>1.5025792194025521E-2</v>
      </c>
      <c r="AD371" s="454">
        <f t="shared" si="776"/>
        <v>2.5638410950627036E-2</v>
      </c>
      <c r="AE371" s="454">
        <f t="shared" si="776"/>
        <v>-2.0050766487034497E-2</v>
      </c>
      <c r="AF371" s="541">
        <v>0</v>
      </c>
      <c r="AG371" s="821">
        <v>0</v>
      </c>
      <c r="AH371" s="821">
        <v>0</v>
      </c>
    </row>
    <row r="372" spans="1:36" s="439" customFormat="1" outlineLevel="1">
      <c r="A372" s="283"/>
      <c r="B372" s="306"/>
      <c r="C372" s="335"/>
      <c r="D372" s="492"/>
      <c r="F372" s="454"/>
      <c r="G372" s="454"/>
      <c r="H372" s="454"/>
      <c r="I372" s="454"/>
      <c r="J372" s="454"/>
      <c r="K372" s="454"/>
      <c r="L372" s="454"/>
      <c r="M372" s="454"/>
      <c r="N372" s="454"/>
      <c r="O372" s="454"/>
      <c r="P372" s="454"/>
      <c r="Q372" s="454"/>
      <c r="Y372" s="283"/>
      <c r="Z372" s="454"/>
      <c r="AA372" s="454"/>
      <c r="AB372" s="454"/>
      <c r="AC372" s="454"/>
      <c r="AD372" s="454"/>
      <c r="AE372" s="454"/>
      <c r="AF372" s="454"/>
    </row>
    <row r="373" spans="1:36" s="313" customFormat="1" outlineLevel="1">
      <c r="A373" s="283"/>
      <c r="B373" s="594"/>
      <c r="C373" s="594" t="s">
        <v>453</v>
      </c>
      <c r="D373" s="595"/>
      <c r="E373" s="509">
        <v>13.334</v>
      </c>
      <c r="F373" s="509">
        <v>13.263999999999999</v>
      </c>
      <c r="G373" s="509">
        <v>14.129</v>
      </c>
      <c r="H373" s="510">
        <f>SUMIF($Z$6:$AG$6,H$6,$Z373:$AG373)-SUM(E373:G373)</f>
        <v>9.4969999999999999</v>
      </c>
      <c r="I373" s="509">
        <v>12.6</v>
      </c>
      <c r="J373" s="509">
        <v>10.993</v>
      </c>
      <c r="K373" s="509">
        <v>15.435</v>
      </c>
      <c r="L373" s="510">
        <f>SUMIF($Z$6:$AG$6,L$6,$Z373:$AG373)-SUM(I373:K373)</f>
        <v>17.182000000000002</v>
      </c>
      <c r="M373" s="509">
        <v>9.9269999999999996</v>
      </c>
      <c r="N373" s="509">
        <v>4.9340000000000002</v>
      </c>
      <c r="O373" s="509">
        <v>9.1379999999999999</v>
      </c>
      <c r="P373" s="510">
        <f>SUMIF($Z$6:$AG$6,P$6,$Z373:$AG373)-SUM(M373:O373)</f>
        <v>8.9069999999999965</v>
      </c>
      <c r="Q373" s="509">
        <v>0.17299999999999999</v>
      </c>
      <c r="R373" s="509">
        <v>3.0000000000000001E-3</v>
      </c>
      <c r="S373" s="509">
        <v>0</v>
      </c>
      <c r="T373" s="509">
        <v>0</v>
      </c>
      <c r="U373" s="594">
        <f t="shared" ref="U373:X373" si="777">+U368-U370</f>
        <v>0</v>
      </c>
      <c r="V373" s="594">
        <f t="shared" si="777"/>
        <v>0</v>
      </c>
      <c r="W373" s="594">
        <f t="shared" si="777"/>
        <v>0</v>
      </c>
      <c r="X373" s="594">
        <f t="shared" si="777"/>
        <v>0</v>
      </c>
      <c r="Y373" s="283"/>
      <c r="Z373" s="509">
        <v>113.889</v>
      </c>
      <c r="AA373" s="509">
        <v>85.757999999999996</v>
      </c>
      <c r="AB373" s="509">
        <v>50.223999999999997</v>
      </c>
      <c r="AC373" s="509">
        <v>56.21</v>
      </c>
      <c r="AD373" s="509">
        <v>32.905999999999999</v>
      </c>
      <c r="AE373" s="510">
        <f>SUMIF($E$5:$T$5,AE$5,$E373:$T373)</f>
        <v>0.17599999999999999</v>
      </c>
      <c r="AF373" s="510">
        <f>SUMIF($E$5:$T$5,AF$5,$E373:$T373)</f>
        <v>0</v>
      </c>
      <c r="AG373" s="594">
        <f ca="1">+AG368-AG370</f>
        <v>0</v>
      </c>
      <c r="AH373" s="594">
        <f ca="1">+AH368-AH370</f>
        <v>0</v>
      </c>
      <c r="AI373" s="307"/>
      <c r="AJ373" s="307"/>
    </row>
    <row r="374" spans="1:36" s="307" customFormat="1" outlineLevel="1">
      <c r="A374" s="283"/>
      <c r="D374" s="498"/>
      <c r="E374" s="315"/>
      <c r="F374" s="315"/>
      <c r="G374" s="315"/>
      <c r="H374" s="308"/>
      <c r="I374" s="315"/>
      <c r="J374" s="315"/>
      <c r="K374" s="315"/>
      <c r="L374" s="308"/>
      <c r="M374" s="315"/>
      <c r="N374" s="315"/>
      <c r="O374" s="315"/>
      <c r="P374" s="308"/>
      <c r="Q374" s="315"/>
      <c r="R374" s="512"/>
      <c r="S374" s="512"/>
      <c r="T374" s="512"/>
      <c r="U374" s="512"/>
      <c r="V374" s="512"/>
      <c r="W374" s="512"/>
      <c r="X374" s="512"/>
      <c r="Y374" s="283"/>
      <c r="Z374" s="315"/>
      <c r="AA374" s="315"/>
      <c r="AB374" s="315"/>
      <c r="AC374" s="315"/>
      <c r="AD374" s="315"/>
      <c r="AE374" s="308"/>
      <c r="AF374" s="308"/>
      <c r="AG374" s="512"/>
      <c r="AH374" s="512"/>
    </row>
    <row r="375" spans="1:36" s="281" customFormat="1" outlineLevel="1">
      <c r="A375" s="283"/>
      <c r="B375" s="518"/>
      <c r="C375" s="518" t="s">
        <v>311</v>
      </c>
      <c r="D375" s="519"/>
      <c r="E375" s="520">
        <v>5.0910000000000002</v>
      </c>
      <c r="F375" s="520">
        <v>9.9689999999999994</v>
      </c>
      <c r="G375" s="520">
        <v>12.53</v>
      </c>
      <c r="H375" s="521">
        <f>SUMIF($Z$6:$AG$6,H$6,$Z375:$AG375)-SUM(E375:G375)</f>
        <v>9.6230000000000047</v>
      </c>
      <c r="I375" s="520">
        <v>10.590999999999999</v>
      </c>
      <c r="J375" s="520">
        <v>9.2949999999999999</v>
      </c>
      <c r="K375" s="520">
        <v>9.516</v>
      </c>
      <c r="L375" s="521">
        <f>SUMIF($Z$6:$AG$6,L$6,$Z375:$AG375)-SUM(I375:K375)</f>
        <v>11.335000000000001</v>
      </c>
      <c r="M375" s="520">
        <v>6.827</v>
      </c>
      <c r="N375" s="520">
        <v>3.1150000000000002</v>
      </c>
      <c r="O375" s="520">
        <v>5.1790000000000003</v>
      </c>
      <c r="P375" s="521">
        <f>SUMIF($Z$6:$AG$6,P$6,$Z375:$AG375)-SUM(M375:O375)</f>
        <v>5.4350000000000005</v>
      </c>
      <c r="Q375" s="520">
        <v>9.4E-2</v>
      </c>
      <c r="R375" s="520">
        <v>1E-3</v>
      </c>
      <c r="S375" s="521">
        <v>0</v>
      </c>
      <c r="T375" s="521">
        <v>0</v>
      </c>
      <c r="U375" s="521">
        <v>0</v>
      </c>
      <c r="V375" s="521">
        <v>0</v>
      </c>
      <c r="W375" s="521">
        <v>0</v>
      </c>
      <c r="X375" s="521">
        <v>0</v>
      </c>
      <c r="Y375" s="283"/>
      <c r="Z375" s="520">
        <v>27.451000000000001</v>
      </c>
      <c r="AA375" s="520">
        <v>21.007000000000001</v>
      </c>
      <c r="AB375" s="520">
        <v>37.213000000000001</v>
      </c>
      <c r="AC375" s="520">
        <v>40.737000000000002</v>
      </c>
      <c r="AD375" s="520">
        <v>20.556000000000001</v>
      </c>
      <c r="AE375" s="545">
        <f>SUMIF($E$5:$T$5,AE$5,$E375:$T375)</f>
        <v>9.5000000000000001E-2</v>
      </c>
      <c r="AF375" s="506">
        <v>0</v>
      </c>
      <c r="AG375" s="506">
        <v>0</v>
      </c>
      <c r="AH375" s="506">
        <v>0</v>
      </c>
    </row>
    <row r="376" spans="1:36" s="281" customFormat="1" outlineLevel="1">
      <c r="A376" s="283"/>
      <c r="B376" s="518"/>
      <c r="C376" s="518" t="s">
        <v>312</v>
      </c>
      <c r="D376" s="519"/>
      <c r="E376" s="520">
        <v>0.68400000000000005</v>
      </c>
      <c r="F376" s="520">
        <v>1.107</v>
      </c>
      <c r="G376" s="520">
        <v>1.7949999999999999</v>
      </c>
      <c r="H376" s="521">
        <f>SUMIF($Z$6:$AG$6,H$6,$Z376:$AG376)-SUM(E376:G376)</f>
        <v>1.0160000000000005</v>
      </c>
      <c r="I376" s="520">
        <v>1.76</v>
      </c>
      <c r="J376" s="520">
        <v>1.8480000000000001</v>
      </c>
      <c r="K376" s="520">
        <v>3.3260000000000001</v>
      </c>
      <c r="L376" s="521">
        <f>SUMIF($Z$6:$AG$6,L$6,$Z376:$AG376)-SUM(I376:K376)</f>
        <v>2.8380000000000001</v>
      </c>
      <c r="M376" s="520">
        <v>1.4730000000000001</v>
      </c>
      <c r="N376" s="520">
        <v>0.89500000000000002</v>
      </c>
      <c r="O376" s="520">
        <v>0.78100000000000003</v>
      </c>
      <c r="P376" s="521">
        <f>SUMIF($Z$6:$AG$6,P$6,$Z376:$AG376)-SUM(M376:O376)</f>
        <v>0.39899999999999958</v>
      </c>
      <c r="Q376" s="520">
        <v>0</v>
      </c>
      <c r="R376" s="521">
        <v>0</v>
      </c>
      <c r="S376" s="521">
        <v>0</v>
      </c>
      <c r="T376" s="521">
        <v>0</v>
      </c>
      <c r="U376" s="521">
        <v>0</v>
      </c>
      <c r="V376" s="521">
        <v>0</v>
      </c>
      <c r="W376" s="521">
        <v>0</v>
      </c>
      <c r="X376" s="521">
        <v>0</v>
      </c>
      <c r="Y376" s="283"/>
      <c r="Z376" s="520">
        <v>3.782</v>
      </c>
      <c r="AA376" s="520">
        <v>2.6930000000000001</v>
      </c>
      <c r="AB376" s="520">
        <v>4.6020000000000003</v>
      </c>
      <c r="AC376" s="520">
        <v>9.7720000000000002</v>
      </c>
      <c r="AD376" s="520">
        <v>3.548</v>
      </c>
      <c r="AE376" s="545">
        <f>SUMIF($E$5:$T$5,AE$5,$E376:$T376)</f>
        <v>0</v>
      </c>
      <c r="AF376" s="506">
        <v>0</v>
      </c>
      <c r="AG376" s="506">
        <v>0</v>
      </c>
      <c r="AH376" s="506">
        <v>0</v>
      </c>
    </row>
    <row r="377" spans="1:36" s="281" customFormat="1" outlineLevel="1">
      <c r="A377" s="283"/>
      <c r="B377" s="518"/>
      <c r="C377" s="522" t="s">
        <v>161</v>
      </c>
      <c r="D377" s="519"/>
      <c r="E377" s="523">
        <f t="shared" ref="E377:T377" si="778">E373-SUM(E375:E376)</f>
        <v>7.5589999999999993</v>
      </c>
      <c r="F377" s="523">
        <f t="shared" si="778"/>
        <v>2.1880000000000006</v>
      </c>
      <c r="G377" s="523">
        <f t="shared" si="778"/>
        <v>-0.19599999999999973</v>
      </c>
      <c r="H377" s="523">
        <f t="shared" si="778"/>
        <v>-1.1420000000000048</v>
      </c>
      <c r="I377" s="523">
        <f t="shared" si="778"/>
        <v>0.24900000000000055</v>
      </c>
      <c r="J377" s="523">
        <f t="shared" si="778"/>
        <v>-0.15000000000000036</v>
      </c>
      <c r="K377" s="523">
        <f t="shared" si="778"/>
        <v>2.593</v>
      </c>
      <c r="L377" s="523">
        <f t="shared" si="778"/>
        <v>3.0090000000000003</v>
      </c>
      <c r="M377" s="523">
        <f t="shared" si="778"/>
        <v>1.6269999999999989</v>
      </c>
      <c r="N377" s="523">
        <f t="shared" si="778"/>
        <v>0.92400000000000038</v>
      </c>
      <c r="O377" s="523">
        <f t="shared" si="778"/>
        <v>3.1779999999999999</v>
      </c>
      <c r="P377" s="523">
        <f t="shared" si="778"/>
        <v>3.0729999999999968</v>
      </c>
      <c r="Q377" s="523">
        <f t="shared" si="778"/>
        <v>7.8999999999999987E-2</v>
      </c>
      <c r="R377" s="773">
        <f t="shared" si="778"/>
        <v>2E-3</v>
      </c>
      <c r="S377" s="523">
        <f t="shared" si="778"/>
        <v>0</v>
      </c>
      <c r="T377" s="523">
        <f t="shared" si="778"/>
        <v>0</v>
      </c>
      <c r="U377" s="523">
        <f t="shared" ref="U377:X377" si="779">U373-SUM(U375:U376)</f>
        <v>0</v>
      </c>
      <c r="V377" s="523">
        <f t="shared" si="779"/>
        <v>0</v>
      </c>
      <c r="W377" s="523">
        <f t="shared" si="779"/>
        <v>0</v>
      </c>
      <c r="X377" s="523">
        <f t="shared" si="779"/>
        <v>0</v>
      </c>
      <c r="Y377" s="283"/>
      <c r="Z377" s="523">
        <f t="shared" ref="Z377:AG377" si="780">Z373-SUM(Z375:Z376)</f>
        <v>82.655999999999992</v>
      </c>
      <c r="AA377" s="523">
        <f t="shared" si="780"/>
        <v>62.057999999999993</v>
      </c>
      <c r="AB377" s="523">
        <f t="shared" si="780"/>
        <v>8.4089999999999989</v>
      </c>
      <c r="AC377" s="523">
        <f t="shared" si="780"/>
        <v>5.7010000000000005</v>
      </c>
      <c r="AD377" s="523">
        <f t="shared" si="780"/>
        <v>8.8019999999999996</v>
      </c>
      <c r="AE377" s="523">
        <f t="shared" si="780"/>
        <v>8.0999999999999989E-2</v>
      </c>
      <c r="AF377" s="523">
        <f t="shared" si="780"/>
        <v>0</v>
      </c>
      <c r="AG377" s="523">
        <f t="shared" ca="1" si="780"/>
        <v>0</v>
      </c>
      <c r="AH377" s="523">
        <f t="shared" ref="AH377" ca="1" si="781">AH373-SUM(AH375:AH376)</f>
        <v>0</v>
      </c>
    </row>
    <row r="378" spans="1:36" s="281" customFormat="1" ht="2.2000000000000002" customHeight="1" outlineLevel="1">
      <c r="A378" s="283"/>
      <c r="B378" s="518"/>
      <c r="C378" s="522"/>
      <c r="D378" s="519"/>
      <c r="E378" s="506"/>
      <c r="F378" s="506"/>
      <c r="G378" s="506"/>
      <c r="H378" s="506"/>
      <c r="I378" s="506"/>
      <c r="J378" s="506"/>
      <c r="K378" s="506"/>
      <c r="L378" s="506"/>
      <c r="M378" s="506"/>
      <c r="N378" s="506"/>
      <c r="O378" s="506"/>
      <c r="P378" s="506"/>
      <c r="Q378" s="506"/>
      <c r="R378" s="506"/>
      <c r="S378" s="506"/>
      <c r="T378" s="506"/>
      <c r="U378" s="506"/>
      <c r="V378" s="506"/>
      <c r="W378" s="506"/>
      <c r="X378" s="506"/>
      <c r="Y378" s="283"/>
      <c r="Z378" s="506"/>
      <c r="AA378" s="506"/>
      <c r="AB378" s="506"/>
      <c r="AC378" s="506"/>
      <c r="AD378" s="506"/>
      <c r="AE378" s="506"/>
      <c r="AF378" s="506"/>
      <c r="AG378" s="506"/>
      <c r="AH378" s="506"/>
    </row>
    <row r="379" spans="1:36" s="306" customFormat="1" outlineLevel="1">
      <c r="A379" s="283"/>
      <c r="B379" s="524"/>
      <c r="C379" s="525" t="s">
        <v>598</v>
      </c>
      <c r="D379" s="526"/>
      <c r="E379" s="527">
        <f>E377/E373</f>
        <v>0.56689665516724164</v>
      </c>
      <c r="F379" s="527">
        <f t="shared" ref="F379:AE379" si="782">F377/F373</f>
        <v>0.16495778045838366</v>
      </c>
      <c r="G379" s="527">
        <f t="shared" si="782"/>
        <v>-1.3872177790360233E-2</v>
      </c>
      <c r="H379" s="527">
        <f t="shared" si="782"/>
        <v>-0.12024849952616666</v>
      </c>
      <c r="I379" s="527">
        <f t="shared" si="782"/>
        <v>1.9761904761904807E-2</v>
      </c>
      <c r="J379" s="527">
        <f t="shared" si="782"/>
        <v>-1.3645046847994211E-2</v>
      </c>
      <c r="K379" s="527">
        <f t="shared" si="782"/>
        <v>0.16799481697440879</v>
      </c>
      <c r="L379" s="527">
        <f t="shared" si="782"/>
        <v>0.17512513095099522</v>
      </c>
      <c r="M379" s="527">
        <f t="shared" si="782"/>
        <v>0.16389644404150286</v>
      </c>
      <c r="N379" s="527">
        <f t="shared" si="782"/>
        <v>0.187271990271585</v>
      </c>
      <c r="O379" s="527">
        <f t="shared" si="782"/>
        <v>0.34777850733202015</v>
      </c>
      <c r="P379" s="527">
        <f t="shared" si="782"/>
        <v>0.34500954305602316</v>
      </c>
      <c r="Q379" s="527">
        <f t="shared" si="782"/>
        <v>0.45664739884393057</v>
      </c>
      <c r="R379" s="537">
        <v>0</v>
      </c>
      <c r="S379" s="537">
        <v>0</v>
      </c>
      <c r="T379" s="537">
        <v>0</v>
      </c>
      <c r="U379" s="537">
        <v>0</v>
      </c>
      <c r="V379" s="537">
        <v>0</v>
      </c>
      <c r="W379" s="537">
        <v>0</v>
      </c>
      <c r="X379" s="537">
        <v>0</v>
      </c>
      <c r="Y379" s="283"/>
      <c r="Z379" s="527">
        <f t="shared" si="782"/>
        <v>0.72575929194215416</v>
      </c>
      <c r="AA379" s="527">
        <f t="shared" si="782"/>
        <v>0.72364094311900928</v>
      </c>
      <c r="AB379" s="527">
        <f t="shared" si="782"/>
        <v>0.16742991398534565</v>
      </c>
      <c r="AC379" s="527">
        <f t="shared" si="782"/>
        <v>0.10142323429994664</v>
      </c>
      <c r="AD379" s="527">
        <f t="shared" si="782"/>
        <v>0.26748921169391598</v>
      </c>
      <c r="AE379" s="527">
        <f t="shared" si="782"/>
        <v>0.46022727272727271</v>
      </c>
      <c r="AF379" s="527">
        <v>0</v>
      </c>
      <c r="AG379" s="527">
        <v>0</v>
      </c>
      <c r="AH379" s="527">
        <v>0</v>
      </c>
    </row>
    <row r="380" spans="1:36" s="281" customFormat="1" outlineLevel="1">
      <c r="A380" s="283"/>
      <c r="B380" s="518"/>
      <c r="C380" s="522"/>
      <c r="D380" s="519"/>
      <c r="E380" s="506"/>
      <c r="F380" s="506"/>
      <c r="G380" s="506"/>
      <c r="H380" s="506"/>
      <c r="I380" s="506"/>
      <c r="J380" s="506"/>
      <c r="K380" s="506"/>
      <c r="L380" s="506"/>
      <c r="M380" s="506"/>
      <c r="N380" s="506"/>
      <c r="O380" s="506"/>
      <c r="P380" s="506"/>
      <c r="Q380" s="506"/>
      <c r="R380" s="518"/>
      <c r="S380" s="518"/>
      <c r="T380" s="518"/>
      <c r="U380" s="518"/>
      <c r="V380" s="518"/>
      <c r="W380" s="518"/>
      <c r="X380" s="518"/>
      <c r="Y380" s="283"/>
      <c r="Z380" s="506"/>
      <c r="AA380" s="506"/>
      <c r="AB380" s="506"/>
      <c r="AC380" s="506"/>
      <c r="AD380" s="506"/>
      <c r="AE380" s="518"/>
      <c r="AF380" s="518"/>
      <c r="AG380" s="518"/>
      <c r="AH380" s="518"/>
    </row>
    <row r="381" spans="1:36" s="281" customFormat="1" outlineLevel="1">
      <c r="A381" s="283"/>
      <c r="B381" s="518"/>
      <c r="C381" s="528" t="s">
        <v>314</v>
      </c>
      <c r="D381" s="519"/>
      <c r="E381" s="529">
        <f>+E395</f>
        <v>2.3119999999999998</v>
      </c>
      <c r="F381" s="529">
        <f t="shared" ref="F381:T381" si="783">+F395</f>
        <v>2.3340000000000001</v>
      </c>
      <c r="G381" s="529">
        <f t="shared" si="783"/>
        <v>1.982</v>
      </c>
      <c r="H381" s="529">
        <f t="shared" si="783"/>
        <v>1.1639999999999999</v>
      </c>
      <c r="I381" s="529">
        <f t="shared" si="783"/>
        <v>1.7170000000000001</v>
      </c>
      <c r="J381" s="529">
        <f t="shared" si="783"/>
        <v>1.4830000000000001</v>
      </c>
      <c r="K381" s="529">
        <f t="shared" si="783"/>
        <v>1.252</v>
      </c>
      <c r="L381" s="529">
        <f t="shared" si="783"/>
        <v>0.215</v>
      </c>
      <c r="M381" s="529">
        <f t="shared" si="783"/>
        <v>0.76700000000000002</v>
      </c>
      <c r="N381" s="529">
        <f t="shared" si="783"/>
        <v>0</v>
      </c>
      <c r="O381" s="529">
        <f t="shared" si="783"/>
        <v>0</v>
      </c>
      <c r="P381" s="529">
        <f t="shared" si="783"/>
        <v>0</v>
      </c>
      <c r="Q381" s="529">
        <f t="shared" si="783"/>
        <v>0</v>
      </c>
      <c r="R381" s="529">
        <f t="shared" si="783"/>
        <v>0</v>
      </c>
      <c r="S381" s="529">
        <f t="shared" si="783"/>
        <v>0</v>
      </c>
      <c r="T381" s="529">
        <f t="shared" si="783"/>
        <v>0</v>
      </c>
      <c r="U381" s="529">
        <f t="shared" ref="U381:X381" si="784">+U395</f>
        <v>0</v>
      </c>
      <c r="V381" s="529">
        <f t="shared" si="784"/>
        <v>0</v>
      </c>
      <c r="W381" s="529">
        <f t="shared" si="784"/>
        <v>0</v>
      </c>
      <c r="X381" s="529">
        <f t="shared" si="784"/>
        <v>0</v>
      </c>
      <c r="Y381" s="283"/>
      <c r="Z381" s="529">
        <f t="shared" ref="Z381:AG381" si="785">+Z395</f>
        <v>4.0430000000000001</v>
      </c>
      <c r="AA381" s="529">
        <f t="shared" si="785"/>
        <v>6.8789999999999996</v>
      </c>
      <c r="AB381" s="529">
        <f t="shared" si="785"/>
        <v>7.7919999999999998</v>
      </c>
      <c r="AC381" s="529">
        <f t="shared" si="785"/>
        <v>4.6669999999999998</v>
      </c>
      <c r="AD381" s="529">
        <f t="shared" si="785"/>
        <v>0</v>
      </c>
      <c r="AE381" s="529">
        <f t="shared" si="785"/>
        <v>0</v>
      </c>
      <c r="AF381" s="529">
        <f t="shared" si="785"/>
        <v>0</v>
      </c>
      <c r="AG381" s="529">
        <f t="shared" si="785"/>
        <v>0</v>
      </c>
      <c r="AH381" s="529">
        <f t="shared" ref="AH381" si="786">+AH395</f>
        <v>0</v>
      </c>
    </row>
    <row r="382" spans="1:36" s="281" customFormat="1" outlineLevel="1">
      <c r="A382" s="283"/>
      <c r="B382" s="518"/>
      <c r="C382" s="528" t="s">
        <v>637</v>
      </c>
      <c r="D382" s="519"/>
      <c r="E382" s="529">
        <f>+E377-E383-E381</f>
        <v>0.22999999999999909</v>
      </c>
      <c r="F382" s="529">
        <f t="shared" ref="F382:T382" si="787">+F377-F383-F381</f>
        <v>0.2150000000000003</v>
      </c>
      <c r="G382" s="529">
        <f t="shared" si="787"/>
        <v>0.20300000000000007</v>
      </c>
      <c r="H382" s="529">
        <f t="shared" si="787"/>
        <v>-1.7000000000004123E-2</v>
      </c>
      <c r="I382" s="529">
        <f t="shared" si="787"/>
        <v>4.4000000000000483E-2</v>
      </c>
      <c r="J382" s="529">
        <f t="shared" si="787"/>
        <v>0.28999999999999959</v>
      </c>
      <c r="K382" s="529">
        <f t="shared" si="787"/>
        <v>0.26400000000000001</v>
      </c>
      <c r="L382" s="529">
        <f t="shared" si="787"/>
        <v>-0.1329999999999997</v>
      </c>
      <c r="M382" s="529">
        <f t="shared" si="787"/>
        <v>0.18099999999999883</v>
      </c>
      <c r="N382" s="529">
        <f t="shared" si="787"/>
        <v>1.7830000000000004</v>
      </c>
      <c r="O382" s="529">
        <f t="shared" si="787"/>
        <v>1.232</v>
      </c>
      <c r="P382" s="529">
        <f t="shared" si="787"/>
        <v>2.0459999999999967</v>
      </c>
      <c r="Q382" s="529">
        <f t="shared" si="787"/>
        <v>2.3420000000000001</v>
      </c>
      <c r="R382" s="529">
        <f t="shared" si="787"/>
        <v>0.96299999999999997</v>
      </c>
      <c r="S382" s="529">
        <f t="shared" si="787"/>
        <v>1.7270000000000001</v>
      </c>
      <c r="T382" s="529">
        <f t="shared" si="787"/>
        <v>0</v>
      </c>
      <c r="U382" s="529">
        <f t="shared" ref="U382:X382" si="788">+U377-U383-U381</f>
        <v>0</v>
      </c>
      <c r="V382" s="529">
        <f t="shared" si="788"/>
        <v>0</v>
      </c>
      <c r="W382" s="529">
        <f t="shared" si="788"/>
        <v>0</v>
      </c>
      <c r="X382" s="529">
        <f t="shared" si="788"/>
        <v>0</v>
      </c>
      <c r="Y382" s="283"/>
      <c r="Z382" s="529">
        <f t="shared" ref="Z382:AG382" si="789">+Z377-Z383-Z381</f>
        <v>1.3919999999999879</v>
      </c>
      <c r="AA382" s="529">
        <f t="shared" si="789"/>
        <v>1.5879999999999921</v>
      </c>
      <c r="AB382" s="529">
        <f t="shared" si="789"/>
        <v>0.63099999999999845</v>
      </c>
      <c r="AC382" s="529">
        <f t="shared" si="789"/>
        <v>0.46500000000000075</v>
      </c>
      <c r="AD382" s="529">
        <f t="shared" si="789"/>
        <v>6.0089999999999995</v>
      </c>
      <c r="AE382" s="529">
        <f t="shared" si="789"/>
        <v>5.032</v>
      </c>
      <c r="AF382" s="529">
        <f t="shared" si="789"/>
        <v>0</v>
      </c>
      <c r="AG382" s="529">
        <f t="shared" ca="1" si="789"/>
        <v>0</v>
      </c>
      <c r="AH382" s="529">
        <f t="shared" ref="AH382" ca="1" si="790">+AH377-AH383-AH381</f>
        <v>0</v>
      </c>
    </row>
    <row r="383" spans="1:36" s="307" customFormat="1" outlineLevel="1">
      <c r="A383" s="283"/>
      <c r="B383" s="504"/>
      <c r="C383" s="522" t="s">
        <v>599</v>
      </c>
      <c r="D383" s="505"/>
      <c r="E383" s="530">
        <v>5.0170000000000003</v>
      </c>
      <c r="F383" s="530">
        <v>-0.36099999999999999</v>
      </c>
      <c r="G383" s="530">
        <v>-2.3809999999999998</v>
      </c>
      <c r="H383" s="531">
        <f>SUMIF($Z$6:$AG$6,H$6,$Z383:$AG383)-SUM(E383:G383)</f>
        <v>-2.2890000000000006</v>
      </c>
      <c r="I383" s="530">
        <v>-1.512</v>
      </c>
      <c r="J383" s="530">
        <v>-1.923</v>
      </c>
      <c r="K383" s="530">
        <v>1.077</v>
      </c>
      <c r="L383" s="531">
        <f>SUMIF($Z$6:$AG$6,L$6,$Z383:$AG383)-SUM(I383:K383)</f>
        <v>2.927</v>
      </c>
      <c r="M383" s="530">
        <v>0.67900000000000005</v>
      </c>
      <c r="N383" s="530">
        <v>-0.85899999999999999</v>
      </c>
      <c r="O383" s="530">
        <v>1.946</v>
      </c>
      <c r="P383" s="531">
        <f>SUMIF($Z$6:$AG$6,P$6,$Z383:$AG383)-SUM(M383:O383)</f>
        <v>1.0270000000000001</v>
      </c>
      <c r="Q383" s="530">
        <v>-2.2629999999999999</v>
      </c>
      <c r="R383" s="774">
        <v>-0.96099999999999997</v>
      </c>
      <c r="S383" s="530">
        <v>-1.7270000000000001</v>
      </c>
      <c r="T383" s="531">
        <v>0</v>
      </c>
      <c r="U383" s="531">
        <v>0</v>
      </c>
      <c r="V383" s="531">
        <v>0</v>
      </c>
      <c r="W383" s="531">
        <v>0</v>
      </c>
      <c r="X383" s="531">
        <v>0</v>
      </c>
      <c r="Y383" s="283"/>
      <c r="Z383" s="530">
        <v>77.221000000000004</v>
      </c>
      <c r="AA383" s="530">
        <v>53.591000000000001</v>
      </c>
      <c r="AB383" s="530">
        <v>-1.4E-2</v>
      </c>
      <c r="AC383" s="530">
        <v>0.56899999999999995</v>
      </c>
      <c r="AD383" s="530">
        <v>2.7930000000000001</v>
      </c>
      <c r="AE383" s="531">
        <f>SUMIF($E$5:$T$5,AE$5,$E383:$T383)</f>
        <v>-4.9509999999999996</v>
      </c>
      <c r="AF383" s="531">
        <f>SUMIF($E$5:$T$5,AF$5,$E383:$T383)</f>
        <v>0</v>
      </c>
      <c r="AG383" s="531">
        <f ca="1">AG385*AG373</f>
        <v>0</v>
      </c>
      <c r="AH383" s="531">
        <f ca="1">AH385*AH373</f>
        <v>0</v>
      </c>
    </row>
    <row r="384" spans="1:36" s="281" customFormat="1" ht="2.2000000000000002" customHeight="1" outlineLevel="1">
      <c r="A384" s="283"/>
      <c r="B384" s="518"/>
      <c r="C384" s="522"/>
      <c r="D384" s="519"/>
      <c r="E384" s="506"/>
      <c r="F384" s="506"/>
      <c r="G384" s="506"/>
      <c r="H384" s="506"/>
      <c r="I384" s="506"/>
      <c r="J384" s="506"/>
      <c r="K384" s="506"/>
      <c r="L384" s="506"/>
      <c r="M384" s="506"/>
      <c r="N384" s="506"/>
      <c r="O384" s="506"/>
      <c r="P384" s="506"/>
      <c r="Q384" s="506"/>
      <c r="R384" s="506"/>
      <c r="S384" s="506"/>
      <c r="T384" s="506"/>
      <c r="U384" s="506"/>
      <c r="V384" s="506"/>
      <c r="W384" s="506"/>
      <c r="X384" s="506"/>
      <c r="Y384" s="283"/>
      <c r="Z384" s="506"/>
      <c r="AA384" s="506"/>
      <c r="AB384" s="506"/>
      <c r="AC384" s="506"/>
      <c r="AD384" s="506"/>
      <c r="AE384" s="506"/>
      <c r="AF384" s="506"/>
      <c r="AG384" s="506"/>
      <c r="AH384" s="506"/>
    </row>
    <row r="385" spans="1:34" s="306" customFormat="1" outlineLevel="1">
      <c r="A385" s="283"/>
      <c r="B385" s="524"/>
      <c r="C385" s="525" t="s">
        <v>598</v>
      </c>
      <c r="D385" s="526"/>
      <c r="E385" s="527">
        <f>+E383/E373</f>
        <v>0.37625618719064052</v>
      </c>
      <c r="F385" s="527">
        <f t="shared" ref="F385:AE385" si="791">+F383/F373</f>
        <v>-2.721652593486128E-2</v>
      </c>
      <c r="G385" s="527">
        <f t="shared" si="791"/>
        <v>-0.16851864958595794</v>
      </c>
      <c r="H385" s="527">
        <f t="shared" si="791"/>
        <v>-0.24102348109929458</v>
      </c>
      <c r="I385" s="527">
        <f t="shared" si="791"/>
        <v>-0.12000000000000001</v>
      </c>
      <c r="J385" s="527">
        <f t="shared" si="791"/>
        <v>-0.17492950059128537</v>
      </c>
      <c r="K385" s="527">
        <f t="shared" si="791"/>
        <v>6.9776482021379982E-2</v>
      </c>
      <c r="L385" s="527">
        <f t="shared" si="791"/>
        <v>0.17035269468047956</v>
      </c>
      <c r="M385" s="527">
        <f t="shared" si="791"/>
        <v>6.8399314999496336E-2</v>
      </c>
      <c r="N385" s="527">
        <f t="shared" si="791"/>
        <v>-0.17409809485204703</v>
      </c>
      <c r="O385" s="527">
        <f t="shared" si="791"/>
        <v>0.21295688334427665</v>
      </c>
      <c r="P385" s="527">
        <f t="shared" si="791"/>
        <v>0.11530257101156399</v>
      </c>
      <c r="Q385" s="781" t="s">
        <v>786</v>
      </c>
      <c r="R385" s="781" t="s">
        <v>786</v>
      </c>
      <c r="S385" s="781" t="s">
        <v>786</v>
      </c>
      <c r="T385" s="781" t="s">
        <v>786</v>
      </c>
      <c r="U385" s="538">
        <v>0</v>
      </c>
      <c r="V385" s="538">
        <v>0</v>
      </c>
      <c r="W385" s="538">
        <v>0</v>
      </c>
      <c r="X385" s="538">
        <v>0</v>
      </c>
      <c r="Y385" s="283"/>
      <c r="Z385" s="527">
        <f t="shared" si="791"/>
        <v>0.67803738728059781</v>
      </c>
      <c r="AA385" s="527">
        <f t="shared" si="791"/>
        <v>0.62490962942232797</v>
      </c>
      <c r="AB385" s="527">
        <f t="shared" si="791"/>
        <v>-2.7875119464797709E-4</v>
      </c>
      <c r="AC385" s="527">
        <f t="shared" si="791"/>
        <v>1.0122753958370395E-2</v>
      </c>
      <c r="AD385" s="527">
        <f t="shared" si="791"/>
        <v>8.4878137725642747E-2</v>
      </c>
      <c r="AE385" s="527">
        <f t="shared" si="791"/>
        <v>-28.130681818181817</v>
      </c>
      <c r="AF385" s="537">
        <v>0</v>
      </c>
      <c r="AG385" s="538">
        <v>0</v>
      </c>
      <c r="AH385" s="538">
        <v>0</v>
      </c>
    </row>
    <row r="386" spans="1:34" outlineLevel="1">
      <c r="Y386" s="283"/>
      <c r="AB386" s="282"/>
      <c r="AC386" s="282"/>
      <c r="AD386" s="282"/>
      <c r="AE386" s="282"/>
    </row>
    <row r="387" spans="1:34" outlineLevel="1">
      <c r="C387" s="281" t="str">
        <f>+C375</f>
        <v>Cost of sales and other direct production costs</v>
      </c>
      <c r="E387" s="283">
        <f t="shared" ref="E387:T387" si="792">E375</f>
        <v>5.0910000000000002</v>
      </c>
      <c r="F387" s="283">
        <f t="shared" si="792"/>
        <v>9.9689999999999994</v>
      </c>
      <c r="G387" s="283">
        <f t="shared" si="792"/>
        <v>12.53</v>
      </c>
      <c r="H387" s="283">
        <f t="shared" si="792"/>
        <v>9.6230000000000047</v>
      </c>
      <c r="I387" s="283">
        <f t="shared" si="792"/>
        <v>10.590999999999999</v>
      </c>
      <c r="J387" s="283">
        <f t="shared" si="792"/>
        <v>9.2949999999999999</v>
      </c>
      <c r="K387" s="283">
        <f t="shared" si="792"/>
        <v>9.516</v>
      </c>
      <c r="L387" s="283">
        <f t="shared" si="792"/>
        <v>11.335000000000001</v>
      </c>
      <c r="M387" s="283">
        <f t="shared" si="792"/>
        <v>6.827</v>
      </c>
      <c r="N387" s="283">
        <f t="shared" si="792"/>
        <v>3.1150000000000002</v>
      </c>
      <c r="O387" s="283">
        <f t="shared" si="792"/>
        <v>5.1790000000000003</v>
      </c>
      <c r="P387" s="283">
        <f t="shared" si="792"/>
        <v>5.4350000000000005</v>
      </c>
      <c r="Q387" s="283">
        <f t="shared" si="792"/>
        <v>9.4E-2</v>
      </c>
      <c r="R387" s="283">
        <f t="shared" si="792"/>
        <v>1E-3</v>
      </c>
      <c r="S387" s="283">
        <f t="shared" si="792"/>
        <v>0</v>
      </c>
      <c r="T387" s="283">
        <f t="shared" si="792"/>
        <v>0</v>
      </c>
      <c r="U387" s="283">
        <f t="shared" ref="U387:X387" si="793">U375</f>
        <v>0</v>
      </c>
      <c r="V387" s="283">
        <f t="shared" si="793"/>
        <v>0</v>
      </c>
      <c r="W387" s="283">
        <f t="shared" si="793"/>
        <v>0</v>
      </c>
      <c r="X387" s="283">
        <f t="shared" si="793"/>
        <v>0</v>
      </c>
      <c r="Y387" s="283"/>
      <c r="Z387" s="283">
        <f t="shared" ref="Z387:AE387" si="794">Z375</f>
        <v>27.451000000000001</v>
      </c>
      <c r="AA387" s="283">
        <f t="shared" si="794"/>
        <v>21.007000000000001</v>
      </c>
      <c r="AB387" s="283">
        <f t="shared" si="794"/>
        <v>37.213000000000001</v>
      </c>
      <c r="AC387" s="283">
        <f t="shared" si="794"/>
        <v>40.737000000000002</v>
      </c>
      <c r="AD387" s="283">
        <f t="shared" si="794"/>
        <v>20.556000000000001</v>
      </c>
      <c r="AE387" s="283">
        <f t="shared" si="794"/>
        <v>9.5000000000000001E-2</v>
      </c>
      <c r="AF387" s="305">
        <v>0</v>
      </c>
      <c r="AG387" s="305">
        <v>0</v>
      </c>
      <c r="AH387" s="305">
        <v>0</v>
      </c>
    </row>
    <row r="388" spans="1:34" outlineLevel="1">
      <c r="C388" s="281" t="s">
        <v>427</v>
      </c>
      <c r="E388" s="305">
        <v>0.20399999999999999</v>
      </c>
      <c r="F388" s="305">
        <v>0.11600000000000001</v>
      </c>
      <c r="G388" s="305">
        <v>0.20499999999999999</v>
      </c>
      <c r="H388" s="305">
        <v>0.18</v>
      </c>
      <c r="I388" s="305">
        <v>0.13100000000000001</v>
      </c>
      <c r="J388" s="305">
        <v>0.23799999999999999</v>
      </c>
      <c r="K388" s="305">
        <v>6.3E-2</v>
      </c>
      <c r="L388" s="305">
        <v>0.32800000000000001</v>
      </c>
      <c r="M388" s="305">
        <v>0.104</v>
      </c>
      <c r="N388" s="305">
        <v>4.7E-2</v>
      </c>
      <c r="O388" s="305">
        <v>8.1000000000000003E-2</v>
      </c>
      <c r="P388" s="305">
        <v>5.5E-2</v>
      </c>
      <c r="Q388" s="384">
        <v>0</v>
      </c>
      <c r="R388" s="305">
        <v>0</v>
      </c>
      <c r="S388" s="305">
        <v>0</v>
      </c>
      <c r="T388" s="305">
        <v>0</v>
      </c>
      <c r="U388" s="305">
        <v>0</v>
      </c>
      <c r="V388" s="305">
        <v>0</v>
      </c>
      <c r="W388" s="305">
        <v>0</v>
      </c>
      <c r="X388" s="305">
        <v>0</v>
      </c>
      <c r="Y388" s="283"/>
      <c r="Z388" s="305">
        <v>1.504</v>
      </c>
      <c r="AA388" s="305">
        <v>1.1850000000000001</v>
      </c>
      <c r="AB388" s="282">
        <f t="shared" ref="AB388:AE391" si="795">SUMIF($E$5:$T$5,AB$5,$E388:$T388)</f>
        <v>0.70500000000000007</v>
      </c>
      <c r="AC388" s="282">
        <f t="shared" si="795"/>
        <v>0.76</v>
      </c>
      <c r="AD388" s="282">
        <f t="shared" si="795"/>
        <v>0.28699999999999998</v>
      </c>
      <c r="AE388" s="282">
        <f t="shared" si="795"/>
        <v>0</v>
      </c>
      <c r="AF388" s="305">
        <v>0</v>
      </c>
      <c r="AG388" s="305">
        <v>0</v>
      </c>
      <c r="AH388" s="305">
        <v>0</v>
      </c>
    </row>
    <row r="389" spans="1:34" outlineLevel="1">
      <c r="C389" s="281" t="s">
        <v>428</v>
      </c>
      <c r="E389" s="305">
        <v>2.6379999999999999</v>
      </c>
      <c r="F389" s="305">
        <v>0.76900000000000002</v>
      </c>
      <c r="G389" s="305">
        <v>-1.5489999999999999</v>
      </c>
      <c r="H389" s="305">
        <v>0.52700000000000002</v>
      </c>
      <c r="I389" s="305">
        <v>-0.85299999999999998</v>
      </c>
      <c r="J389" s="305">
        <v>-0.19</v>
      </c>
      <c r="K389" s="305">
        <v>-0.33500000000000002</v>
      </c>
      <c r="L389" s="305">
        <v>-1.575</v>
      </c>
      <c r="M389" s="305">
        <v>0.253</v>
      </c>
      <c r="N389" s="305">
        <v>-0.39800000000000002</v>
      </c>
      <c r="O389" s="305">
        <v>0.82599999999999996</v>
      </c>
      <c r="P389" s="305">
        <v>-3.0379999999999998</v>
      </c>
      <c r="Q389" s="305">
        <v>0</v>
      </c>
      <c r="R389" s="305">
        <v>0</v>
      </c>
      <c r="S389" s="305">
        <v>0</v>
      </c>
      <c r="T389" s="305">
        <v>0</v>
      </c>
      <c r="U389" s="305">
        <v>0</v>
      </c>
      <c r="V389" s="305">
        <v>0</v>
      </c>
      <c r="W389" s="305">
        <v>0</v>
      </c>
      <c r="X389" s="305">
        <v>0</v>
      </c>
      <c r="Y389" s="283"/>
      <c r="Z389" s="305">
        <v>1.599</v>
      </c>
      <c r="AA389" s="305">
        <v>-5.5E-2</v>
      </c>
      <c r="AB389" s="282">
        <f t="shared" si="795"/>
        <v>2.3850000000000002</v>
      </c>
      <c r="AC389" s="282">
        <f t="shared" si="795"/>
        <v>-2.9529999999999998</v>
      </c>
      <c r="AD389" s="282">
        <f t="shared" si="795"/>
        <v>-2.3569999999999998</v>
      </c>
      <c r="AE389" s="282">
        <f t="shared" si="795"/>
        <v>0</v>
      </c>
      <c r="AF389" s="305">
        <v>0</v>
      </c>
      <c r="AG389" s="305">
        <v>0</v>
      </c>
      <c r="AH389" s="305">
        <v>0</v>
      </c>
    </row>
    <row r="390" spans="1:34" outlineLevel="1">
      <c r="C390" s="281" t="s">
        <v>429</v>
      </c>
      <c r="E390" s="305">
        <v>-0.49399999999999999</v>
      </c>
      <c r="F390" s="305">
        <v>-0.31900000000000001</v>
      </c>
      <c r="G390" s="305">
        <v>-0.45800000000000002</v>
      </c>
      <c r="H390" s="305">
        <v>-0.185</v>
      </c>
      <c r="I390" s="305">
        <v>-0.312</v>
      </c>
      <c r="J390" s="305">
        <v>-0.42199999999999999</v>
      </c>
      <c r="K390" s="305">
        <v>-0.29399999999999998</v>
      </c>
      <c r="L390" s="305">
        <v>-0.55800000000000005</v>
      </c>
      <c r="M390" s="305">
        <v>-0.36099999999999999</v>
      </c>
      <c r="N390" s="305">
        <v>-0.29599999999999999</v>
      </c>
      <c r="O390" s="305">
        <v>-0.39200000000000002</v>
      </c>
      <c r="P390" s="305">
        <v>-0.14799999999999999</v>
      </c>
      <c r="Q390" s="305">
        <v>-9.4E-2</v>
      </c>
      <c r="R390" s="305">
        <v>-1E-3</v>
      </c>
      <c r="S390" s="305">
        <v>0</v>
      </c>
      <c r="T390" s="305">
        <v>0</v>
      </c>
      <c r="U390" s="305">
        <v>0</v>
      </c>
      <c r="V390" s="305">
        <v>0</v>
      </c>
      <c r="W390" s="305">
        <v>0</v>
      </c>
      <c r="X390" s="305">
        <v>0</v>
      </c>
      <c r="Y390" s="283"/>
      <c r="Z390" s="305">
        <v>-2.2570000000000001</v>
      </c>
      <c r="AA390" s="305">
        <v>-1.4670000000000001</v>
      </c>
      <c r="AB390" s="282">
        <f t="shared" si="795"/>
        <v>-1.456</v>
      </c>
      <c r="AC390" s="282">
        <f t="shared" si="795"/>
        <v>-1.5860000000000001</v>
      </c>
      <c r="AD390" s="282">
        <f t="shared" si="795"/>
        <v>-1.1969999999999998</v>
      </c>
      <c r="AE390" s="282">
        <f t="shared" si="795"/>
        <v>-9.5000000000000001E-2</v>
      </c>
      <c r="AF390" s="305">
        <v>0</v>
      </c>
      <c r="AG390" s="305">
        <v>0</v>
      </c>
      <c r="AH390" s="305">
        <v>0</v>
      </c>
    </row>
    <row r="391" spans="1:34" outlineLevel="1">
      <c r="C391" s="281" t="s">
        <v>442</v>
      </c>
      <c r="E391" s="305">
        <v>0</v>
      </c>
      <c r="F391" s="305">
        <v>0</v>
      </c>
      <c r="G391" s="305">
        <v>0</v>
      </c>
      <c r="H391" s="305">
        <v>0</v>
      </c>
      <c r="I391" s="305">
        <v>0</v>
      </c>
      <c r="J391" s="305">
        <v>0</v>
      </c>
      <c r="K391" s="305">
        <v>0</v>
      </c>
      <c r="L391" s="305">
        <v>0</v>
      </c>
      <c r="M391" s="305">
        <v>0</v>
      </c>
      <c r="N391" s="305">
        <v>0</v>
      </c>
      <c r="O391" s="305">
        <v>0</v>
      </c>
      <c r="P391" s="305">
        <v>0</v>
      </c>
      <c r="Q391" s="305">
        <v>0</v>
      </c>
      <c r="R391" s="305">
        <v>0</v>
      </c>
      <c r="S391" s="305">
        <v>0</v>
      </c>
      <c r="T391" s="305">
        <v>0</v>
      </c>
      <c r="U391" s="305">
        <v>0</v>
      </c>
      <c r="V391" s="305">
        <v>0</v>
      </c>
      <c r="W391" s="305">
        <v>0</v>
      </c>
      <c r="X391" s="305">
        <v>0</v>
      </c>
      <c r="Y391" s="283"/>
      <c r="AB391" s="282">
        <f t="shared" si="795"/>
        <v>0</v>
      </c>
      <c r="AC391" s="282">
        <f t="shared" si="795"/>
        <v>0</v>
      </c>
      <c r="AD391" s="282">
        <f t="shared" si="795"/>
        <v>0</v>
      </c>
      <c r="AE391" s="282">
        <f t="shared" si="795"/>
        <v>0</v>
      </c>
      <c r="AF391" s="305">
        <v>0</v>
      </c>
      <c r="AG391" s="305">
        <v>0</v>
      </c>
      <c r="AH391" s="305">
        <v>0</v>
      </c>
    </row>
    <row r="392" spans="1:34" outlineLevel="1">
      <c r="C392" s="320" t="s">
        <v>436</v>
      </c>
      <c r="E392" s="382">
        <f t="shared" ref="E392:T392" si="796">SUM(E387:E391)</f>
        <v>7.4390000000000001</v>
      </c>
      <c r="F392" s="382">
        <f t="shared" si="796"/>
        <v>10.534999999999998</v>
      </c>
      <c r="G392" s="382">
        <f t="shared" si="796"/>
        <v>10.728</v>
      </c>
      <c r="H392" s="382">
        <f t="shared" si="796"/>
        <v>10.145000000000003</v>
      </c>
      <c r="I392" s="382">
        <f t="shared" si="796"/>
        <v>9.5570000000000004</v>
      </c>
      <c r="J392" s="382">
        <f t="shared" si="796"/>
        <v>8.9209999999999994</v>
      </c>
      <c r="K392" s="382">
        <f t="shared" si="796"/>
        <v>8.9499999999999993</v>
      </c>
      <c r="L392" s="382">
        <f t="shared" si="796"/>
        <v>9.5300000000000011</v>
      </c>
      <c r="M392" s="382">
        <f t="shared" si="796"/>
        <v>6.8230000000000004</v>
      </c>
      <c r="N392" s="382">
        <f t="shared" si="796"/>
        <v>2.4680000000000004</v>
      </c>
      <c r="O392" s="382">
        <f t="shared" si="796"/>
        <v>5.694</v>
      </c>
      <c r="P392" s="382">
        <f t="shared" si="796"/>
        <v>2.3040000000000003</v>
      </c>
      <c r="Q392" s="382">
        <f t="shared" si="796"/>
        <v>0</v>
      </c>
      <c r="R392" s="769">
        <f t="shared" si="796"/>
        <v>0</v>
      </c>
      <c r="S392" s="382">
        <f t="shared" si="796"/>
        <v>0</v>
      </c>
      <c r="T392" s="382">
        <f t="shared" si="796"/>
        <v>0</v>
      </c>
      <c r="U392" s="382">
        <f t="shared" ref="U392:X392" si="797">SUM(U387:U391)</f>
        <v>0</v>
      </c>
      <c r="V392" s="382">
        <f t="shared" si="797"/>
        <v>0</v>
      </c>
      <c r="W392" s="382">
        <f t="shared" si="797"/>
        <v>0</v>
      </c>
      <c r="X392" s="382">
        <f t="shared" si="797"/>
        <v>0</v>
      </c>
      <c r="Y392" s="283"/>
      <c r="Z392" s="382">
        <f t="shared" ref="Z392:AG392" si="798">SUM(Z387:Z391)</f>
        <v>28.297000000000001</v>
      </c>
      <c r="AA392" s="382">
        <f t="shared" si="798"/>
        <v>20.67</v>
      </c>
      <c r="AB392" s="382">
        <f t="shared" si="798"/>
        <v>38.846999999999994</v>
      </c>
      <c r="AC392" s="382">
        <f t="shared" si="798"/>
        <v>36.957999999999998</v>
      </c>
      <c r="AD392" s="382">
        <f t="shared" si="798"/>
        <v>17.289000000000001</v>
      </c>
      <c r="AE392" s="382">
        <f t="shared" si="798"/>
        <v>0</v>
      </c>
      <c r="AF392" s="382">
        <f t="shared" si="798"/>
        <v>0</v>
      </c>
      <c r="AG392" s="382">
        <f t="shared" si="798"/>
        <v>0</v>
      </c>
      <c r="AH392" s="382">
        <f t="shared" ref="AH392" si="799">SUM(AH387:AH391)</f>
        <v>0</v>
      </c>
    </row>
    <row r="393" spans="1:34" outlineLevel="1">
      <c r="C393" s="320"/>
      <c r="E393" s="315"/>
      <c r="F393" s="315"/>
      <c r="G393" s="315"/>
      <c r="H393" s="315"/>
      <c r="I393" s="315"/>
      <c r="J393" s="315"/>
      <c r="K393" s="315"/>
      <c r="L393" s="315"/>
      <c r="M393" s="315"/>
      <c r="N393" s="315"/>
      <c r="O393" s="315"/>
      <c r="P393" s="315"/>
      <c r="Q393" s="308"/>
      <c r="R393" s="308"/>
      <c r="S393" s="308"/>
      <c r="T393" s="308"/>
      <c r="U393" s="308"/>
      <c r="V393" s="308"/>
      <c r="W393" s="308"/>
      <c r="X393" s="308"/>
      <c r="Y393" s="283"/>
    </row>
    <row r="394" spans="1:34" outlineLevel="1">
      <c r="C394" s="281" t="s">
        <v>429</v>
      </c>
      <c r="E394" s="305">
        <v>0.106</v>
      </c>
      <c r="F394" s="305">
        <v>0.10299999999999999</v>
      </c>
      <c r="G394" s="305">
        <v>0.105</v>
      </c>
      <c r="H394" s="305">
        <v>0.105</v>
      </c>
      <c r="I394" s="305">
        <v>0.123</v>
      </c>
      <c r="J394" s="305">
        <v>0.123</v>
      </c>
      <c r="K394" s="305">
        <v>0.123</v>
      </c>
      <c r="L394" s="305">
        <v>0.123</v>
      </c>
      <c r="M394" s="305">
        <v>0.114</v>
      </c>
      <c r="N394" s="305">
        <v>0.114</v>
      </c>
      <c r="O394" s="305">
        <v>0.114</v>
      </c>
      <c r="P394" s="305">
        <v>7.5999999999999998E-2</v>
      </c>
      <c r="Q394" s="305">
        <v>0</v>
      </c>
      <c r="R394" s="305">
        <v>0</v>
      </c>
      <c r="S394" s="305">
        <v>0</v>
      </c>
      <c r="T394" s="305">
        <v>0</v>
      </c>
      <c r="U394" s="305">
        <v>0</v>
      </c>
      <c r="V394" s="305">
        <v>0</v>
      </c>
      <c r="W394" s="305">
        <v>0</v>
      </c>
      <c r="X394" s="305">
        <v>0</v>
      </c>
      <c r="Y394" s="283"/>
      <c r="Z394" s="305">
        <v>0.24399999999999999</v>
      </c>
      <c r="AA394" s="305">
        <v>0.46800000000000003</v>
      </c>
      <c r="AB394" s="282">
        <f>SUMIF($E$5:$T$5,AB$5,$E394:$T394)</f>
        <v>0.41899999999999998</v>
      </c>
      <c r="AC394" s="282">
        <f>SUMIF($E$5:$T$5,AC$5,$E394:$T394)</f>
        <v>0.49199999999999999</v>
      </c>
      <c r="AD394" s="282">
        <f>SUMIF($E$5:$T$5,AD$5,$E394:$T394)</f>
        <v>0.41800000000000004</v>
      </c>
      <c r="AE394" s="282">
        <f>SUMIF($E$5:$T$5,AE$5,$E394:$T394)</f>
        <v>0</v>
      </c>
      <c r="AF394" s="305">
        <v>0</v>
      </c>
      <c r="AG394" s="305">
        <v>0</v>
      </c>
      <c r="AH394" s="305">
        <v>0</v>
      </c>
    </row>
    <row r="395" spans="1:34" outlineLevel="1">
      <c r="C395" s="281" t="s">
        <v>314</v>
      </c>
      <c r="E395" s="305">
        <v>2.3119999999999998</v>
      </c>
      <c r="F395" s="305">
        <v>2.3340000000000001</v>
      </c>
      <c r="G395" s="305">
        <v>1.982</v>
      </c>
      <c r="H395" s="305">
        <v>1.1639999999999999</v>
      </c>
      <c r="I395" s="305">
        <v>1.7170000000000001</v>
      </c>
      <c r="J395" s="305">
        <v>1.4830000000000001</v>
      </c>
      <c r="K395" s="305">
        <v>1.252</v>
      </c>
      <c r="L395" s="305">
        <v>0.215</v>
      </c>
      <c r="M395" s="305">
        <v>0.76700000000000002</v>
      </c>
      <c r="N395" s="305">
        <v>0</v>
      </c>
      <c r="O395" s="305">
        <v>0</v>
      </c>
      <c r="P395" s="305">
        <v>0</v>
      </c>
      <c r="Q395" s="305">
        <v>0</v>
      </c>
      <c r="R395" s="305">
        <v>0</v>
      </c>
      <c r="S395" s="305">
        <v>0</v>
      </c>
      <c r="T395" s="305">
        <v>0</v>
      </c>
      <c r="U395" s="305">
        <v>0</v>
      </c>
      <c r="V395" s="305">
        <v>0</v>
      </c>
      <c r="W395" s="305">
        <v>0</v>
      </c>
      <c r="X395" s="305">
        <v>0</v>
      </c>
      <c r="Y395" s="283"/>
      <c r="Z395" s="305">
        <v>4.0430000000000001</v>
      </c>
      <c r="AA395" s="305">
        <v>6.8789999999999996</v>
      </c>
      <c r="AB395" s="282">
        <f>SUMIF($E$5:$T$5,AB$5,$E395:$T395)</f>
        <v>7.7919999999999998</v>
      </c>
      <c r="AC395" s="282">
        <f>SUMIF($E$5:$T$5,AC$5,$E395:$T395)</f>
        <v>4.6669999999999998</v>
      </c>
      <c r="AD395" s="305">
        <v>0</v>
      </c>
      <c r="AE395" s="282">
        <f>SUMIF($E$5:$T$5,AE$5,$E395:$T395)</f>
        <v>0</v>
      </c>
      <c r="AF395" s="305">
        <v>0</v>
      </c>
      <c r="AG395" s="305">
        <v>0</v>
      </c>
      <c r="AH395" s="305">
        <v>0</v>
      </c>
    </row>
    <row r="396" spans="1:34" outlineLevel="1">
      <c r="C396" s="281" t="s">
        <v>430</v>
      </c>
      <c r="E396" s="305">
        <v>0.43</v>
      </c>
      <c r="F396" s="305">
        <v>1.68</v>
      </c>
      <c r="G396" s="305">
        <v>0.48599999999999999</v>
      </c>
      <c r="H396" s="305">
        <v>0.82799999999999996</v>
      </c>
      <c r="I396" s="305">
        <v>0.50600000000000001</v>
      </c>
      <c r="J396" s="305">
        <v>1.3080000000000001</v>
      </c>
      <c r="K396" s="305">
        <v>0.52800000000000002</v>
      </c>
      <c r="L396" s="305">
        <v>0.88400000000000001</v>
      </c>
      <c r="M396" s="305">
        <v>5.6000000000000001E-2</v>
      </c>
      <c r="N396" s="305">
        <v>-1E-3</v>
      </c>
      <c r="O396" s="305">
        <v>0.24399999999999999</v>
      </c>
      <c r="P396" s="305">
        <v>0</v>
      </c>
      <c r="Q396" s="305">
        <v>0</v>
      </c>
      <c r="R396" s="305">
        <v>0</v>
      </c>
      <c r="S396" s="305">
        <v>0</v>
      </c>
      <c r="T396" s="305">
        <v>0</v>
      </c>
      <c r="U396" s="305">
        <v>0</v>
      </c>
      <c r="V396" s="305">
        <v>0</v>
      </c>
      <c r="W396" s="305">
        <v>0</v>
      </c>
      <c r="X396" s="305">
        <v>0</v>
      </c>
      <c r="Y396" s="283"/>
      <c r="Z396" s="305">
        <v>1.54</v>
      </c>
      <c r="AA396" s="305">
        <v>2.77</v>
      </c>
      <c r="AB396" s="305">
        <v>1.9470000000000001</v>
      </c>
      <c r="AC396" s="305">
        <v>2.4609999999999999</v>
      </c>
      <c r="AD396" s="282">
        <f>SUMIF($E$5:$T$5,AD$5,$E396:$T396)</f>
        <v>0.29899999999999999</v>
      </c>
      <c r="AE396" s="282">
        <f>SUMIF($E$5:$T$5,AE$5,$E396:$T396)</f>
        <v>0</v>
      </c>
      <c r="AF396" s="305">
        <v>0</v>
      </c>
      <c r="AG396" s="305">
        <v>0</v>
      </c>
      <c r="AH396" s="305">
        <v>0</v>
      </c>
    </row>
    <row r="397" spans="1:34" outlineLevel="1">
      <c r="C397" s="281" t="s">
        <v>313</v>
      </c>
      <c r="E397" s="305">
        <v>0</v>
      </c>
      <c r="F397" s="305">
        <v>0</v>
      </c>
      <c r="G397" s="305">
        <v>0</v>
      </c>
      <c r="H397" s="305">
        <v>0</v>
      </c>
      <c r="I397" s="305">
        <v>0</v>
      </c>
      <c r="J397" s="305">
        <v>0</v>
      </c>
      <c r="K397" s="305">
        <v>0</v>
      </c>
      <c r="L397" s="305">
        <v>0</v>
      </c>
      <c r="M397" s="305">
        <v>0</v>
      </c>
      <c r="N397" s="305">
        <v>0</v>
      </c>
      <c r="O397" s="305">
        <v>0</v>
      </c>
      <c r="P397" s="305">
        <v>0</v>
      </c>
      <c r="Q397" s="305">
        <v>0</v>
      </c>
      <c r="R397" s="305">
        <v>0</v>
      </c>
      <c r="S397" s="305">
        <v>0</v>
      </c>
      <c r="T397" s="305">
        <v>0</v>
      </c>
      <c r="U397" s="305">
        <v>0</v>
      </c>
      <c r="V397" s="305">
        <v>0</v>
      </c>
      <c r="W397" s="305">
        <v>0</v>
      </c>
      <c r="X397" s="305">
        <v>0</v>
      </c>
      <c r="Y397" s="283"/>
      <c r="AB397" s="282">
        <f>SUMIF($E$5:$T$5,AB$5,$E397:$T397)</f>
        <v>0</v>
      </c>
      <c r="AC397" s="282">
        <f>SUMIF($E$5:$T$5,AC$5,$E397:$T397)</f>
        <v>0</v>
      </c>
      <c r="AD397" s="282">
        <f>SUMIF($E$5:$T$5,AD$5,$E397:$T397)</f>
        <v>0</v>
      </c>
      <c r="AE397" s="282">
        <f>SUMIF($E$5:$T$5,AE$5,$E397:$T397)</f>
        <v>0</v>
      </c>
      <c r="AF397" s="305">
        <v>0</v>
      </c>
      <c r="AG397" s="305">
        <v>0</v>
      </c>
      <c r="AH397" s="305">
        <v>0</v>
      </c>
    </row>
    <row r="398" spans="1:34" s="315" customFormat="1" outlineLevel="1">
      <c r="A398" s="283"/>
      <c r="B398" s="307"/>
      <c r="C398" s="307" t="s">
        <v>437</v>
      </c>
      <c r="D398" s="498"/>
      <c r="E398" s="382">
        <f t="shared" ref="E398:T398" si="800">SUM(E392:E397)</f>
        <v>10.286999999999999</v>
      </c>
      <c r="F398" s="382">
        <f t="shared" si="800"/>
        <v>14.651999999999997</v>
      </c>
      <c r="G398" s="382">
        <f t="shared" si="800"/>
        <v>13.301</v>
      </c>
      <c r="H398" s="382">
        <f t="shared" si="800"/>
        <v>12.242000000000003</v>
      </c>
      <c r="I398" s="382">
        <f t="shared" si="800"/>
        <v>11.903</v>
      </c>
      <c r="J398" s="382">
        <f t="shared" si="800"/>
        <v>11.834999999999999</v>
      </c>
      <c r="K398" s="382">
        <f t="shared" si="800"/>
        <v>10.853</v>
      </c>
      <c r="L398" s="382">
        <f t="shared" si="800"/>
        <v>10.752000000000001</v>
      </c>
      <c r="M398" s="382">
        <f t="shared" si="800"/>
        <v>7.7600000000000007</v>
      </c>
      <c r="N398" s="382">
        <f t="shared" si="800"/>
        <v>2.5810000000000004</v>
      </c>
      <c r="O398" s="382">
        <f t="shared" si="800"/>
        <v>6.0519999999999996</v>
      </c>
      <c r="P398" s="382">
        <f t="shared" si="800"/>
        <v>2.3800000000000003</v>
      </c>
      <c r="Q398" s="382">
        <f t="shared" si="800"/>
        <v>0</v>
      </c>
      <c r="R398" s="769">
        <f t="shared" si="800"/>
        <v>0</v>
      </c>
      <c r="S398" s="382">
        <f t="shared" si="800"/>
        <v>0</v>
      </c>
      <c r="T398" s="382">
        <f t="shared" si="800"/>
        <v>0</v>
      </c>
      <c r="U398" s="382">
        <f t="shared" ref="U398:X398" si="801">SUM(U392:U397)</f>
        <v>0</v>
      </c>
      <c r="V398" s="382">
        <f t="shared" si="801"/>
        <v>0</v>
      </c>
      <c r="W398" s="382">
        <f t="shared" si="801"/>
        <v>0</v>
      </c>
      <c r="X398" s="382">
        <f t="shared" si="801"/>
        <v>0</v>
      </c>
      <c r="Y398" s="283"/>
      <c r="Z398" s="382">
        <f t="shared" ref="Z398:AG398" si="802">SUM(Z392:Z397)</f>
        <v>34.124000000000002</v>
      </c>
      <c r="AA398" s="382">
        <f t="shared" si="802"/>
        <v>30.787000000000003</v>
      </c>
      <c r="AB398" s="382">
        <f t="shared" si="802"/>
        <v>49.004999999999995</v>
      </c>
      <c r="AC398" s="382">
        <f t="shared" si="802"/>
        <v>44.577999999999996</v>
      </c>
      <c r="AD398" s="382">
        <f t="shared" si="802"/>
        <v>18.006</v>
      </c>
      <c r="AE398" s="382">
        <f t="shared" si="802"/>
        <v>0</v>
      </c>
      <c r="AF398" s="382">
        <f t="shared" si="802"/>
        <v>0</v>
      </c>
      <c r="AG398" s="382">
        <f t="shared" si="802"/>
        <v>0</v>
      </c>
      <c r="AH398" s="382">
        <f t="shared" ref="AH398" si="803">SUM(AH392:AH397)</f>
        <v>0</v>
      </c>
    </row>
    <row r="399" spans="1:34" outlineLevel="1">
      <c r="B399" s="283"/>
      <c r="C399" s="316"/>
      <c r="D399" s="486"/>
      <c r="E399" s="308">
        <f t="shared" ref="E399:P399" si="804">+E388+E394+E395-E370</f>
        <v>2.5314730180515426</v>
      </c>
      <c r="F399" s="308">
        <f t="shared" si="804"/>
        <v>2.505588306588149</v>
      </c>
      <c r="G399" s="308">
        <f t="shared" si="804"/>
        <v>2.4050490940525808</v>
      </c>
      <c r="H399" s="308">
        <f t="shared" si="804"/>
        <v>1.4369659934974521</v>
      </c>
      <c r="I399" s="308">
        <f t="shared" si="804"/>
        <v>1.8968282960858165</v>
      </c>
      <c r="J399" s="308">
        <f t="shared" si="804"/>
        <v>1.6998155355165181</v>
      </c>
      <c r="K399" s="308">
        <f t="shared" si="804"/>
        <v>0.8974738534441109</v>
      </c>
      <c r="L399" s="308">
        <f t="shared" si="804"/>
        <v>0.4886529495480364</v>
      </c>
      <c r="M399" s="308">
        <f t="shared" si="804"/>
        <v>1.2805211077719396</v>
      </c>
      <c r="N399" s="308">
        <f t="shared" si="804"/>
        <v>-2.4615047239864768E-2</v>
      </c>
      <c r="O399" s="308">
        <f t="shared" si="804"/>
        <v>0.22457785190543306</v>
      </c>
      <c r="P399" s="308">
        <f t="shared" si="804"/>
        <v>0.12460885036432123</v>
      </c>
      <c r="Q399" s="308">
        <f>+Q388+Q394+Q395-Q370</f>
        <v>2.7509147761028419E-3</v>
      </c>
      <c r="Y399" s="283"/>
    </row>
    <row r="400" spans="1:34" outlineLevel="1">
      <c r="C400" s="414" t="s">
        <v>431</v>
      </c>
      <c r="Y400" s="283"/>
    </row>
    <row r="401" spans="1:34" outlineLevel="1">
      <c r="C401" s="281" t="s">
        <v>444</v>
      </c>
      <c r="E401" s="305">
        <v>0</v>
      </c>
      <c r="F401" s="305">
        <v>0</v>
      </c>
      <c r="G401" s="305">
        <v>0</v>
      </c>
      <c r="H401" s="305">
        <v>0</v>
      </c>
      <c r="I401" s="305">
        <v>0</v>
      </c>
      <c r="J401" s="305">
        <v>0</v>
      </c>
      <c r="K401" s="305">
        <v>0</v>
      </c>
      <c r="L401" s="305">
        <v>0</v>
      </c>
      <c r="M401" s="305">
        <v>0</v>
      </c>
      <c r="N401" s="305">
        <v>0</v>
      </c>
      <c r="O401" s="305">
        <v>0</v>
      </c>
      <c r="P401" s="305">
        <v>0</v>
      </c>
      <c r="Q401" s="305">
        <v>0</v>
      </c>
      <c r="R401" s="305">
        <v>0</v>
      </c>
      <c r="S401" s="305">
        <v>0</v>
      </c>
      <c r="T401" s="305">
        <v>0</v>
      </c>
      <c r="U401" s="305">
        <v>0</v>
      </c>
      <c r="V401" s="305">
        <v>0</v>
      </c>
      <c r="W401" s="305">
        <v>0</v>
      </c>
      <c r="X401" s="305">
        <v>0</v>
      </c>
      <c r="Y401" s="283"/>
      <c r="Z401" s="305">
        <v>0</v>
      </c>
      <c r="AA401" s="305">
        <v>0</v>
      </c>
      <c r="AB401" s="305">
        <v>0</v>
      </c>
      <c r="AC401" s="305">
        <v>0</v>
      </c>
      <c r="AD401" s="305">
        <v>0</v>
      </c>
      <c r="AE401" s="305">
        <v>0</v>
      </c>
      <c r="AF401" s="305">
        <v>0</v>
      </c>
      <c r="AG401" s="305">
        <v>0</v>
      </c>
      <c r="AH401" s="305">
        <v>0</v>
      </c>
    </row>
    <row r="402" spans="1:34" outlineLevel="1">
      <c r="C402" s="281" t="s">
        <v>440</v>
      </c>
      <c r="E402" s="305">
        <v>5.9980000000000002</v>
      </c>
      <c r="F402" s="305">
        <v>5.0570000000000004</v>
      </c>
      <c r="G402" s="305">
        <v>4.45</v>
      </c>
      <c r="H402" s="305">
        <v>3.5950000000000002</v>
      </c>
      <c r="I402" s="305">
        <v>4.6020000000000003</v>
      </c>
      <c r="J402" s="305">
        <v>4.6449999999999996</v>
      </c>
      <c r="K402" s="305">
        <v>6.9459999999999997</v>
      </c>
      <c r="L402" s="305">
        <v>5.7670000000000003</v>
      </c>
      <c r="M402" s="305">
        <v>4.4290000000000003</v>
      </c>
      <c r="N402" s="305">
        <v>2.2869999999999999</v>
      </c>
      <c r="O402" s="305">
        <v>3.6859999999999999</v>
      </c>
      <c r="P402" s="305">
        <v>2.1840000000000002</v>
      </c>
      <c r="Q402" s="305">
        <v>0</v>
      </c>
      <c r="R402" s="305">
        <v>0</v>
      </c>
      <c r="S402" s="305">
        <v>0</v>
      </c>
      <c r="T402" s="305">
        <v>0</v>
      </c>
      <c r="U402" s="305">
        <v>0</v>
      </c>
      <c r="V402" s="305">
        <v>0</v>
      </c>
      <c r="W402" s="305">
        <v>0</v>
      </c>
      <c r="X402" s="305">
        <v>0</v>
      </c>
      <c r="Y402" s="283"/>
      <c r="Z402" s="305">
        <v>42.667000000000002</v>
      </c>
      <c r="AA402" s="305">
        <v>31.625</v>
      </c>
      <c r="AB402" s="282">
        <f t="shared" ref="AB402:AE404" si="805">SUMIF($E$5:$T$5,AB$5,$E402:$T402)</f>
        <v>19.099999999999998</v>
      </c>
      <c r="AC402" s="282">
        <f t="shared" si="805"/>
        <v>21.959999999999997</v>
      </c>
      <c r="AD402" s="282">
        <f t="shared" si="805"/>
        <v>12.586000000000002</v>
      </c>
      <c r="AE402" s="282">
        <f t="shared" si="805"/>
        <v>0</v>
      </c>
      <c r="AF402" s="305">
        <v>0</v>
      </c>
      <c r="AG402" s="305">
        <v>0</v>
      </c>
      <c r="AH402" s="305">
        <v>0</v>
      </c>
    </row>
    <row r="403" spans="1:34" outlineLevel="1">
      <c r="C403" s="281" t="s">
        <v>439</v>
      </c>
      <c r="E403" s="305">
        <v>0</v>
      </c>
      <c r="F403" s="305">
        <v>0</v>
      </c>
      <c r="G403" s="305">
        <v>0</v>
      </c>
      <c r="H403" s="305">
        <v>0</v>
      </c>
      <c r="I403" s="305">
        <v>0</v>
      </c>
      <c r="J403" s="305">
        <v>0</v>
      </c>
      <c r="K403" s="305">
        <v>0</v>
      </c>
      <c r="L403" s="305">
        <v>0</v>
      </c>
      <c r="M403" s="305">
        <v>0</v>
      </c>
      <c r="N403" s="305">
        <v>0</v>
      </c>
      <c r="O403" s="305">
        <v>0</v>
      </c>
      <c r="P403" s="305">
        <v>0</v>
      </c>
      <c r="Q403" s="305">
        <v>0</v>
      </c>
      <c r="R403" s="305">
        <v>0</v>
      </c>
      <c r="S403" s="305">
        <v>0</v>
      </c>
      <c r="T403" s="305">
        <v>0</v>
      </c>
      <c r="U403" s="305">
        <v>0</v>
      </c>
      <c r="V403" s="305">
        <v>0</v>
      </c>
      <c r="W403" s="305">
        <v>0</v>
      </c>
      <c r="X403" s="305">
        <v>0</v>
      </c>
      <c r="Y403" s="283"/>
      <c r="Z403" s="305">
        <v>0</v>
      </c>
      <c r="AA403" s="305">
        <v>0</v>
      </c>
      <c r="AB403" s="282">
        <f t="shared" si="805"/>
        <v>0</v>
      </c>
      <c r="AC403" s="282">
        <f t="shared" si="805"/>
        <v>0</v>
      </c>
      <c r="AD403" s="282">
        <f t="shared" si="805"/>
        <v>0</v>
      </c>
      <c r="AE403" s="282">
        <f t="shared" si="805"/>
        <v>0</v>
      </c>
      <c r="AF403" s="305">
        <v>0</v>
      </c>
      <c r="AG403" s="305">
        <v>0</v>
      </c>
      <c r="AH403" s="305">
        <v>0</v>
      </c>
    </row>
    <row r="404" spans="1:34" outlineLevel="1">
      <c r="C404" s="281" t="s">
        <v>441</v>
      </c>
      <c r="E404" s="305">
        <v>0</v>
      </c>
      <c r="F404" s="305">
        <v>0</v>
      </c>
      <c r="G404" s="305">
        <v>0</v>
      </c>
      <c r="H404" s="305">
        <v>0</v>
      </c>
      <c r="I404" s="305">
        <v>0</v>
      </c>
      <c r="J404" s="305">
        <v>0</v>
      </c>
      <c r="K404" s="305">
        <v>0</v>
      </c>
      <c r="L404" s="305">
        <v>0</v>
      </c>
      <c r="M404" s="305">
        <v>0</v>
      </c>
      <c r="N404" s="305">
        <v>0</v>
      </c>
      <c r="O404" s="305">
        <v>0</v>
      </c>
      <c r="P404" s="305">
        <v>0</v>
      </c>
      <c r="Q404" s="305">
        <v>0</v>
      </c>
      <c r="R404" s="305">
        <v>0</v>
      </c>
      <c r="S404" s="305">
        <v>0</v>
      </c>
      <c r="T404" s="305">
        <v>0</v>
      </c>
      <c r="U404" s="305">
        <v>0</v>
      </c>
      <c r="V404" s="305">
        <v>0</v>
      </c>
      <c r="W404" s="305">
        <v>0</v>
      </c>
      <c r="X404" s="305">
        <v>0</v>
      </c>
      <c r="Y404" s="283"/>
      <c r="Z404" s="305">
        <v>0</v>
      </c>
      <c r="AA404" s="305">
        <v>0</v>
      </c>
      <c r="AB404" s="282">
        <f t="shared" si="805"/>
        <v>0</v>
      </c>
      <c r="AC404" s="282">
        <f t="shared" si="805"/>
        <v>0</v>
      </c>
      <c r="AD404" s="282">
        <f t="shared" si="805"/>
        <v>0</v>
      </c>
      <c r="AE404" s="282">
        <f t="shared" si="805"/>
        <v>0</v>
      </c>
      <c r="AF404" s="305">
        <v>0</v>
      </c>
      <c r="AG404" s="305">
        <v>0</v>
      </c>
      <c r="AH404" s="305">
        <v>0</v>
      </c>
    </row>
    <row r="405" spans="1:34" outlineLevel="1">
      <c r="C405" s="320" t="s">
        <v>466</v>
      </c>
      <c r="E405" s="382">
        <f>SUM(E401:E404)</f>
        <v>5.9980000000000002</v>
      </c>
      <c r="F405" s="382">
        <f t="shared" ref="F405:T405" si="806">SUM(F401:F404)</f>
        <v>5.0570000000000004</v>
      </c>
      <c r="G405" s="382">
        <f t="shared" si="806"/>
        <v>4.45</v>
      </c>
      <c r="H405" s="382">
        <f t="shared" si="806"/>
        <v>3.5950000000000002</v>
      </c>
      <c r="I405" s="382">
        <f t="shared" si="806"/>
        <v>4.6020000000000003</v>
      </c>
      <c r="J405" s="382">
        <f t="shared" si="806"/>
        <v>4.6449999999999996</v>
      </c>
      <c r="K405" s="382">
        <f t="shared" si="806"/>
        <v>6.9459999999999997</v>
      </c>
      <c r="L405" s="382">
        <f t="shared" si="806"/>
        <v>5.7670000000000003</v>
      </c>
      <c r="M405" s="382">
        <f t="shared" si="806"/>
        <v>4.4290000000000003</v>
      </c>
      <c r="N405" s="382">
        <f t="shared" si="806"/>
        <v>2.2869999999999999</v>
      </c>
      <c r="O405" s="382">
        <f t="shared" si="806"/>
        <v>3.6859999999999999</v>
      </c>
      <c r="P405" s="382">
        <f t="shared" si="806"/>
        <v>2.1840000000000002</v>
      </c>
      <c r="Q405" s="382">
        <f t="shared" si="806"/>
        <v>0</v>
      </c>
      <c r="R405" s="769">
        <f t="shared" si="806"/>
        <v>0</v>
      </c>
      <c r="S405" s="382">
        <f t="shared" si="806"/>
        <v>0</v>
      </c>
      <c r="T405" s="382">
        <f t="shared" si="806"/>
        <v>0</v>
      </c>
      <c r="U405" s="382">
        <f t="shared" ref="U405:X405" si="807">SUM(U401:U404)</f>
        <v>0</v>
      </c>
      <c r="V405" s="382">
        <f t="shared" si="807"/>
        <v>0</v>
      </c>
      <c r="W405" s="382">
        <f t="shared" si="807"/>
        <v>0</v>
      </c>
      <c r="X405" s="382">
        <f t="shared" si="807"/>
        <v>0</v>
      </c>
      <c r="Y405" s="283"/>
      <c r="Z405" s="382">
        <f t="shared" ref="Z405:AG405" si="808">SUM(Z401:Z404)</f>
        <v>42.667000000000002</v>
      </c>
      <c r="AA405" s="382">
        <f t="shared" si="808"/>
        <v>31.625</v>
      </c>
      <c r="AB405" s="382">
        <f t="shared" si="808"/>
        <v>19.099999999999998</v>
      </c>
      <c r="AC405" s="382">
        <f t="shared" si="808"/>
        <v>21.959999999999997</v>
      </c>
      <c r="AD405" s="382">
        <f t="shared" si="808"/>
        <v>12.586000000000002</v>
      </c>
      <c r="AE405" s="382">
        <f t="shared" si="808"/>
        <v>0</v>
      </c>
      <c r="AF405" s="382">
        <f t="shared" si="808"/>
        <v>0</v>
      </c>
      <c r="AG405" s="382">
        <f t="shared" si="808"/>
        <v>0</v>
      </c>
      <c r="AH405" s="382">
        <f t="shared" ref="AH405" si="809">SUM(AH401:AH404)</f>
        <v>0</v>
      </c>
    </row>
    <row r="406" spans="1:34" outlineLevel="1">
      <c r="C406" s="320"/>
      <c r="E406" s="308"/>
      <c r="F406" s="308"/>
      <c r="G406" s="308"/>
      <c r="H406" s="308"/>
      <c r="I406" s="308"/>
      <c r="J406" s="308"/>
      <c r="K406" s="308"/>
      <c r="L406" s="308"/>
      <c r="M406" s="308"/>
      <c r="N406" s="308"/>
      <c r="O406" s="308"/>
      <c r="P406" s="308"/>
      <c r="Q406" s="308"/>
      <c r="R406" s="308"/>
      <c r="S406" s="308"/>
      <c r="T406" s="308"/>
      <c r="U406" s="308"/>
      <c r="V406" s="308"/>
      <c r="W406" s="308"/>
      <c r="X406" s="308"/>
      <c r="Y406" s="283"/>
      <c r="Z406" s="308"/>
      <c r="AA406" s="308"/>
      <c r="AB406" s="308"/>
      <c r="AC406" s="308"/>
      <c r="AD406" s="308"/>
      <c r="AE406" s="308"/>
    </row>
    <row r="407" spans="1:34" s="315" customFormat="1" outlineLevel="1">
      <c r="A407" s="283"/>
      <c r="B407" s="467"/>
      <c r="C407" s="467" t="s">
        <v>433</v>
      </c>
      <c r="D407" s="499"/>
      <c r="E407" s="461">
        <f t="shared" ref="E407:T407" si="810">E392-E405</f>
        <v>1.4409999999999998</v>
      </c>
      <c r="F407" s="461">
        <f t="shared" si="810"/>
        <v>5.477999999999998</v>
      </c>
      <c r="G407" s="461">
        <f t="shared" si="810"/>
        <v>6.2779999999999996</v>
      </c>
      <c r="H407" s="461">
        <f t="shared" si="810"/>
        <v>6.5500000000000025</v>
      </c>
      <c r="I407" s="461">
        <f t="shared" si="810"/>
        <v>4.9550000000000001</v>
      </c>
      <c r="J407" s="461">
        <f t="shared" si="810"/>
        <v>4.2759999999999998</v>
      </c>
      <c r="K407" s="461">
        <f t="shared" si="810"/>
        <v>2.0039999999999996</v>
      </c>
      <c r="L407" s="461">
        <f t="shared" si="810"/>
        <v>3.7630000000000008</v>
      </c>
      <c r="M407" s="461">
        <f t="shared" si="810"/>
        <v>2.3940000000000001</v>
      </c>
      <c r="N407" s="461">
        <f t="shared" si="810"/>
        <v>0.18100000000000049</v>
      </c>
      <c r="O407" s="461">
        <f t="shared" si="810"/>
        <v>2.008</v>
      </c>
      <c r="P407" s="461">
        <f t="shared" si="810"/>
        <v>0.12000000000000011</v>
      </c>
      <c r="Q407" s="461">
        <f t="shared" si="810"/>
        <v>0</v>
      </c>
      <c r="R407" s="775">
        <f t="shared" si="810"/>
        <v>0</v>
      </c>
      <c r="S407" s="461">
        <f t="shared" si="810"/>
        <v>0</v>
      </c>
      <c r="T407" s="461">
        <f t="shared" si="810"/>
        <v>0</v>
      </c>
      <c r="U407" s="461">
        <f t="shared" ref="U407:X407" si="811">U392-U405</f>
        <v>0</v>
      </c>
      <c r="V407" s="461">
        <f t="shared" si="811"/>
        <v>0</v>
      </c>
      <c r="W407" s="461">
        <f t="shared" si="811"/>
        <v>0</v>
      </c>
      <c r="X407" s="461">
        <f t="shared" si="811"/>
        <v>0</v>
      </c>
      <c r="Y407" s="283"/>
      <c r="Z407" s="461">
        <f t="shared" ref="Z407:AG407" si="812">Z392-Z405</f>
        <v>-14.370000000000001</v>
      </c>
      <c r="AA407" s="461">
        <f t="shared" si="812"/>
        <v>-10.954999999999998</v>
      </c>
      <c r="AB407" s="461">
        <f t="shared" si="812"/>
        <v>19.746999999999996</v>
      </c>
      <c r="AC407" s="461">
        <f t="shared" si="812"/>
        <v>14.998000000000001</v>
      </c>
      <c r="AD407" s="461">
        <f t="shared" si="812"/>
        <v>4.7029999999999994</v>
      </c>
      <c r="AE407" s="461">
        <f t="shared" si="812"/>
        <v>0</v>
      </c>
      <c r="AF407" s="461">
        <f t="shared" si="812"/>
        <v>0</v>
      </c>
      <c r="AG407" s="461">
        <f t="shared" si="812"/>
        <v>0</v>
      </c>
      <c r="AH407" s="461">
        <f t="shared" ref="AH407" si="813">AH392-AH405</f>
        <v>0</v>
      </c>
    </row>
    <row r="408" spans="1:34" s="315" customFormat="1" outlineLevel="1">
      <c r="A408" s="283"/>
      <c r="B408" s="468"/>
      <c r="C408" s="468" t="s">
        <v>434</v>
      </c>
      <c r="D408" s="500"/>
      <c r="E408" s="469">
        <f t="shared" ref="E408:T408" si="814">E398-E405</f>
        <v>4.2889999999999988</v>
      </c>
      <c r="F408" s="469">
        <f t="shared" si="814"/>
        <v>9.5949999999999971</v>
      </c>
      <c r="G408" s="469">
        <f t="shared" si="814"/>
        <v>8.8509999999999991</v>
      </c>
      <c r="H408" s="469">
        <f t="shared" si="814"/>
        <v>8.647000000000002</v>
      </c>
      <c r="I408" s="469">
        <f t="shared" si="814"/>
        <v>7.3010000000000002</v>
      </c>
      <c r="J408" s="469">
        <f t="shared" si="814"/>
        <v>7.1899999999999995</v>
      </c>
      <c r="K408" s="469">
        <f t="shared" si="814"/>
        <v>3.907</v>
      </c>
      <c r="L408" s="469">
        <f t="shared" si="814"/>
        <v>4.9850000000000003</v>
      </c>
      <c r="M408" s="469">
        <f t="shared" si="814"/>
        <v>3.3310000000000004</v>
      </c>
      <c r="N408" s="469">
        <f t="shared" si="814"/>
        <v>0.29400000000000048</v>
      </c>
      <c r="O408" s="469">
        <f t="shared" si="814"/>
        <v>2.3659999999999997</v>
      </c>
      <c r="P408" s="469">
        <f t="shared" si="814"/>
        <v>0.19600000000000017</v>
      </c>
      <c r="Q408" s="469">
        <f t="shared" si="814"/>
        <v>0</v>
      </c>
      <c r="R408" s="469">
        <f t="shared" si="814"/>
        <v>0</v>
      </c>
      <c r="S408" s="469">
        <f t="shared" si="814"/>
        <v>0</v>
      </c>
      <c r="T408" s="469">
        <f t="shared" si="814"/>
        <v>0</v>
      </c>
      <c r="U408" s="469">
        <f t="shared" ref="U408:X408" si="815">U398-U405</f>
        <v>0</v>
      </c>
      <c r="V408" s="469">
        <f t="shared" si="815"/>
        <v>0</v>
      </c>
      <c r="W408" s="469">
        <f t="shared" si="815"/>
        <v>0</v>
      </c>
      <c r="X408" s="469">
        <f t="shared" si="815"/>
        <v>0</v>
      </c>
      <c r="Y408" s="283"/>
      <c r="Z408" s="469">
        <f t="shared" ref="Z408:AG408" si="816">Z398-Z405</f>
        <v>-8.5429999999999993</v>
      </c>
      <c r="AA408" s="469">
        <f t="shared" si="816"/>
        <v>-0.83799999999999741</v>
      </c>
      <c r="AB408" s="469">
        <f t="shared" si="816"/>
        <v>29.904999999999998</v>
      </c>
      <c r="AC408" s="469">
        <f t="shared" si="816"/>
        <v>22.617999999999999</v>
      </c>
      <c r="AD408" s="469">
        <f t="shared" si="816"/>
        <v>5.4199999999999982</v>
      </c>
      <c r="AE408" s="469">
        <f t="shared" si="816"/>
        <v>0</v>
      </c>
      <c r="AF408" s="469">
        <f t="shared" si="816"/>
        <v>0</v>
      </c>
      <c r="AG408" s="469">
        <f t="shared" si="816"/>
        <v>0</v>
      </c>
      <c r="AH408" s="469">
        <f t="shared" ref="AH408" si="817">AH398-AH405</f>
        <v>0</v>
      </c>
    </row>
    <row r="409" spans="1:34" outlineLevel="1">
      <c r="Y409" s="283"/>
    </row>
    <row r="410" spans="1:34" outlineLevel="1">
      <c r="B410" s="451"/>
      <c r="C410" s="470" t="s">
        <v>597</v>
      </c>
      <c r="D410" s="496"/>
      <c r="E410" s="450"/>
      <c r="F410" s="450"/>
      <c r="G410" s="450"/>
      <c r="H410" s="450"/>
      <c r="I410" s="450"/>
      <c r="J410" s="450"/>
      <c r="K410" s="450"/>
      <c r="L410" s="450"/>
      <c r="M410" s="450"/>
      <c r="N410" s="450"/>
      <c r="O410" s="450"/>
      <c r="P410" s="450"/>
      <c r="Q410" s="450"/>
      <c r="R410" s="450"/>
      <c r="S410" s="450"/>
      <c r="T410" s="450"/>
      <c r="U410" s="450"/>
      <c r="V410" s="450"/>
      <c r="W410" s="450"/>
      <c r="X410" s="450"/>
      <c r="Y410" s="283"/>
      <c r="Z410" s="450"/>
      <c r="AA410" s="450"/>
      <c r="AB410" s="450"/>
      <c r="AC410" s="450"/>
      <c r="AD410" s="450"/>
      <c r="AE410" s="450"/>
      <c r="AF410" s="450"/>
      <c r="AG410" s="450"/>
      <c r="AH410" s="450"/>
    </row>
    <row r="411" spans="1:34" s="398" customFormat="1" outlineLevel="1">
      <c r="A411" s="283"/>
      <c r="B411" s="445"/>
      <c r="C411" s="514" t="s">
        <v>565</v>
      </c>
      <c r="D411" s="515" t="s">
        <v>588</v>
      </c>
      <c r="E411" s="446">
        <f t="shared" ref="E411:P411" si="818">E392/(E350/10^3)</f>
        <v>14.523850431088343</v>
      </c>
      <c r="F411" s="446">
        <f t="shared" si="818"/>
        <v>18.824366073614257</v>
      </c>
      <c r="G411" s="446">
        <f t="shared" si="818"/>
        <v>20.554441104283899</v>
      </c>
      <c r="H411" s="446">
        <f t="shared" si="818"/>
        <v>22.885076088084425</v>
      </c>
      <c r="I411" s="446">
        <f t="shared" si="818"/>
        <v>21.66732036664634</v>
      </c>
      <c r="J411" s="446">
        <f t="shared" si="818"/>
        <v>19.237279912018717</v>
      </c>
      <c r="K411" s="446">
        <f t="shared" si="818"/>
        <v>16.524012436396397</v>
      </c>
      <c r="L411" s="446">
        <f t="shared" si="818"/>
        <v>22.559737142370171</v>
      </c>
      <c r="M411" s="446">
        <f t="shared" si="818"/>
        <v>19.68409664623152</v>
      </c>
      <c r="N411" s="446">
        <f t="shared" si="818"/>
        <v>15.5374523111016</v>
      </c>
      <c r="O411" s="446">
        <f t="shared" si="818"/>
        <v>21.350551762151706</v>
      </c>
      <c r="P411" s="446">
        <f t="shared" si="818"/>
        <v>12.616776369829259</v>
      </c>
      <c r="Q411" s="447">
        <v>0</v>
      </c>
      <c r="R411" s="447">
        <v>0</v>
      </c>
      <c r="S411" s="447">
        <v>0</v>
      </c>
      <c r="T411" s="447">
        <v>0</v>
      </c>
      <c r="U411" s="447">
        <v>0</v>
      </c>
      <c r="V411" s="447">
        <v>0</v>
      </c>
      <c r="W411" s="447">
        <v>0</v>
      </c>
      <c r="X411" s="447">
        <v>0</v>
      </c>
      <c r="Y411" s="283"/>
      <c r="Z411" s="446">
        <f>Z392/(Z350/10^3)</f>
        <v>6.5897041142044603</v>
      </c>
      <c r="AA411" s="446">
        <f>AA392/(AA350/10^3)</f>
        <v>6.3448932971282535</v>
      </c>
      <c r="AB411" s="446">
        <f>AB392/(AB350/10^3)</f>
        <v>19.070018143688582</v>
      </c>
      <c r="AC411" s="446">
        <f>AC392/(AC350/10^3)</f>
        <v>19.775438175938152</v>
      </c>
      <c r="AD411" s="446">
        <f>AD392/(AD350/10^3)</f>
        <v>18.107988085113515</v>
      </c>
      <c r="AE411" s="447">
        <v>0</v>
      </c>
      <c r="AF411" s="447">
        <v>0</v>
      </c>
      <c r="AG411" s="447">
        <v>0</v>
      </c>
      <c r="AH411" s="447">
        <v>0</v>
      </c>
    </row>
    <row r="412" spans="1:34" s="398" customFormat="1" outlineLevel="1">
      <c r="A412" s="283"/>
      <c r="B412" s="445"/>
      <c r="C412" s="514" t="s">
        <v>596</v>
      </c>
      <c r="D412" s="515" t="s">
        <v>588</v>
      </c>
      <c r="E412" s="446">
        <f t="shared" ref="E412:P412" si="819">E405/(E350/10^3)</f>
        <v>11.710452330376111</v>
      </c>
      <c r="F412" s="446">
        <f t="shared" si="819"/>
        <v>9.0360530834615389</v>
      </c>
      <c r="G412" s="446">
        <f t="shared" si="819"/>
        <v>8.5260312186859952</v>
      </c>
      <c r="H412" s="446">
        <f t="shared" si="819"/>
        <v>8.1095957157874317</v>
      </c>
      <c r="I412" s="446">
        <f t="shared" si="819"/>
        <v>10.433505109062096</v>
      </c>
      <c r="J412" s="446">
        <f t="shared" si="819"/>
        <v>10.01649649045252</v>
      </c>
      <c r="K412" s="446">
        <f t="shared" si="819"/>
        <v>12.82411065734183</v>
      </c>
      <c r="L412" s="446">
        <f t="shared" si="819"/>
        <v>13.651836736626313</v>
      </c>
      <c r="M412" s="446">
        <f t="shared" si="819"/>
        <v>12.777497295347999</v>
      </c>
      <c r="N412" s="446">
        <f t="shared" si="819"/>
        <v>14.397955200765539</v>
      </c>
      <c r="O412" s="446">
        <f t="shared" si="819"/>
        <v>13.821238811958411</v>
      </c>
      <c r="P412" s="446">
        <f t="shared" si="819"/>
        <v>11.959652600567319</v>
      </c>
      <c r="Q412" s="447">
        <v>0</v>
      </c>
      <c r="R412" s="447">
        <v>0</v>
      </c>
      <c r="S412" s="447">
        <v>0</v>
      </c>
      <c r="T412" s="447">
        <v>0</v>
      </c>
      <c r="U412" s="447">
        <v>0</v>
      </c>
      <c r="V412" s="447">
        <v>0</v>
      </c>
      <c r="W412" s="447">
        <v>0</v>
      </c>
      <c r="X412" s="447">
        <v>0</v>
      </c>
      <c r="Y412" s="283"/>
      <c r="Z412" s="446">
        <f>Z405/(Z350/10^3)</f>
        <v>9.9361382987865046</v>
      </c>
      <c r="AA412" s="446">
        <f>AA405/(AA350/10^3)</f>
        <v>9.7076560484606205</v>
      </c>
      <c r="AB412" s="446">
        <f>AB405/(AB350/10^3)</f>
        <v>9.3762027066299058</v>
      </c>
      <c r="AC412" s="446">
        <f>AC405/(AC350/10^3)</f>
        <v>11.750328003236154</v>
      </c>
      <c r="AD412" s="446">
        <f>AD405/(AD350/10^3)</f>
        <v>13.182204756737738</v>
      </c>
      <c r="AE412" s="447">
        <v>0</v>
      </c>
      <c r="AF412" s="447">
        <v>0</v>
      </c>
      <c r="AG412" s="447">
        <v>0</v>
      </c>
      <c r="AH412" s="447">
        <v>0</v>
      </c>
    </row>
    <row r="413" spans="1:34" s="398" customFormat="1" outlineLevel="1">
      <c r="A413" s="283"/>
      <c r="B413" s="445"/>
      <c r="C413" s="532" t="s">
        <v>433</v>
      </c>
      <c r="D413" s="515" t="s">
        <v>588</v>
      </c>
      <c r="E413" s="444">
        <f>E411-E412</f>
        <v>2.8133981007122326</v>
      </c>
      <c r="F413" s="444">
        <f t="shared" ref="F413:T413" si="820">F411-F412</f>
        <v>9.7883129901527184</v>
      </c>
      <c r="G413" s="444">
        <f t="shared" si="820"/>
        <v>12.028409885597904</v>
      </c>
      <c r="H413" s="444">
        <f t="shared" si="820"/>
        <v>14.775480372296993</v>
      </c>
      <c r="I413" s="444">
        <f t="shared" si="820"/>
        <v>11.233815257584244</v>
      </c>
      <c r="J413" s="444">
        <f t="shared" si="820"/>
        <v>9.2207834215661979</v>
      </c>
      <c r="K413" s="444">
        <f t="shared" si="820"/>
        <v>3.6999017790545672</v>
      </c>
      <c r="L413" s="444">
        <f t="shared" si="820"/>
        <v>8.9079004057438578</v>
      </c>
      <c r="M413" s="444">
        <f t="shared" si="820"/>
        <v>6.9065993508835213</v>
      </c>
      <c r="N413" s="444">
        <f t="shared" si="820"/>
        <v>1.1394971103360607</v>
      </c>
      <c r="O413" s="444">
        <f t="shared" si="820"/>
        <v>7.5293129501932956</v>
      </c>
      <c r="P413" s="444">
        <f t="shared" si="820"/>
        <v>0.65712376926193983</v>
      </c>
      <c r="Q413" s="444">
        <f t="shared" si="820"/>
        <v>0</v>
      </c>
      <c r="R413" s="776">
        <f t="shared" si="820"/>
        <v>0</v>
      </c>
      <c r="S413" s="444">
        <f t="shared" si="820"/>
        <v>0</v>
      </c>
      <c r="T413" s="444">
        <f t="shared" si="820"/>
        <v>0</v>
      </c>
      <c r="U413" s="444">
        <f t="shared" ref="U413:X413" si="821">U411-U412</f>
        <v>0</v>
      </c>
      <c r="V413" s="444">
        <f t="shared" si="821"/>
        <v>0</v>
      </c>
      <c r="W413" s="444">
        <f t="shared" si="821"/>
        <v>0</v>
      </c>
      <c r="X413" s="444">
        <f t="shared" si="821"/>
        <v>0</v>
      </c>
      <c r="Y413" s="283"/>
      <c r="Z413" s="444">
        <f t="shared" ref="Z413:AG413" si="822">Z411-Z412</f>
        <v>-3.3464341845820442</v>
      </c>
      <c r="AA413" s="444">
        <f t="shared" si="822"/>
        <v>-3.362762751332367</v>
      </c>
      <c r="AB413" s="444">
        <f t="shared" si="822"/>
        <v>9.6938154370586762</v>
      </c>
      <c r="AC413" s="444">
        <f t="shared" si="822"/>
        <v>8.0251101727019982</v>
      </c>
      <c r="AD413" s="444">
        <f t="shared" si="822"/>
        <v>4.9257833283757773</v>
      </c>
      <c r="AE413" s="444">
        <f t="shared" si="822"/>
        <v>0</v>
      </c>
      <c r="AF413" s="444">
        <f t="shared" si="822"/>
        <v>0</v>
      </c>
      <c r="AG413" s="444">
        <f t="shared" si="822"/>
        <v>0</v>
      </c>
      <c r="AH413" s="444">
        <f t="shared" ref="AH413" si="823">AH411-AH412</f>
        <v>0</v>
      </c>
    </row>
    <row r="414" spans="1:34" s="398" customFormat="1" outlineLevel="1">
      <c r="A414" s="283"/>
      <c r="B414" s="445"/>
      <c r="C414" s="533"/>
      <c r="D414" s="515"/>
      <c r="E414" s="448"/>
      <c r="F414" s="448"/>
      <c r="G414" s="448"/>
      <c r="H414" s="448"/>
      <c r="I414" s="448"/>
      <c r="J414" s="448"/>
      <c r="K414" s="448"/>
      <c r="L414" s="448"/>
      <c r="M414" s="448"/>
      <c r="N414" s="448"/>
      <c r="O414" s="448"/>
      <c r="P414" s="448"/>
      <c r="Q414" s="448"/>
      <c r="R414" s="448"/>
      <c r="S414" s="448"/>
      <c r="T414" s="448"/>
      <c r="U414" s="448"/>
      <c r="V414" s="448"/>
      <c r="W414" s="448"/>
      <c r="X414" s="448"/>
      <c r="Y414" s="283"/>
      <c r="Z414" s="448"/>
      <c r="AA414" s="448"/>
      <c r="AB414" s="448"/>
      <c r="AC414" s="448"/>
      <c r="AD414" s="448"/>
      <c r="AE414" s="448"/>
      <c r="AF414" s="448"/>
      <c r="AG414" s="448"/>
      <c r="AH414" s="448"/>
    </row>
    <row r="415" spans="1:34" s="398" customFormat="1" outlineLevel="1">
      <c r="A415" s="283"/>
      <c r="B415" s="445"/>
      <c r="C415" s="514" t="s">
        <v>566</v>
      </c>
      <c r="D415" s="515" t="s">
        <v>588</v>
      </c>
      <c r="E415" s="446">
        <f t="shared" ref="E415:P415" si="824">E398/(E350/10^3)</f>
        <v>20.084265275521677</v>
      </c>
      <c r="F415" s="446">
        <f t="shared" si="824"/>
        <v>26.180788961613299</v>
      </c>
      <c r="G415" s="446">
        <f t="shared" si="824"/>
        <v>25.484211514548857</v>
      </c>
      <c r="H415" s="446">
        <f t="shared" si="824"/>
        <v>27.615485605749583</v>
      </c>
      <c r="I415" s="446">
        <f t="shared" si="824"/>
        <v>26.986095461357262</v>
      </c>
      <c r="J415" s="446">
        <f t="shared" si="824"/>
        <v>25.521041111841889</v>
      </c>
      <c r="K415" s="446">
        <f t="shared" si="824"/>
        <v>20.037442119800012</v>
      </c>
      <c r="L415" s="446">
        <f t="shared" si="824"/>
        <v>25.452496721381326</v>
      </c>
      <c r="M415" s="446">
        <f t="shared" si="824"/>
        <v>22.387306166606564</v>
      </c>
      <c r="N415" s="446">
        <f t="shared" si="824"/>
        <v>16.248851059543448</v>
      </c>
      <c r="O415" s="446">
        <f t="shared" si="824"/>
        <v>22.692929270204097</v>
      </c>
      <c r="P415" s="446">
        <f t="shared" si="824"/>
        <v>13.032954757028488</v>
      </c>
      <c r="Q415" s="447">
        <v>0</v>
      </c>
      <c r="R415" s="447">
        <v>0</v>
      </c>
      <c r="S415" s="447">
        <v>0</v>
      </c>
      <c r="T415" s="447">
        <v>0</v>
      </c>
      <c r="U415" s="447">
        <v>0</v>
      </c>
      <c r="V415" s="447">
        <v>0</v>
      </c>
      <c r="W415" s="447">
        <v>0</v>
      </c>
      <c r="X415" s="447">
        <v>0</v>
      </c>
      <c r="Y415" s="283"/>
      <c r="Z415" s="446">
        <f>Z398/(Z350/10^3)</f>
        <v>7.9466750253777088</v>
      </c>
      <c r="AA415" s="446">
        <f>AA398/(AA350/10^3)</f>
        <v>9.4504223482674181</v>
      </c>
      <c r="AB415" s="446">
        <f>AB398/(AB350/10^3)</f>
        <v>24.056587101486834</v>
      </c>
      <c r="AC415" s="446">
        <f>AC398/(AC350/10^3)</f>
        <v>23.852737783618458</v>
      </c>
      <c r="AD415" s="446">
        <f>AD398/(AD350/10^3)</f>
        <v>18.858952713317944</v>
      </c>
      <c r="AE415" s="447">
        <v>0</v>
      </c>
      <c r="AF415" s="447">
        <v>0</v>
      </c>
      <c r="AG415" s="447">
        <v>0</v>
      </c>
      <c r="AH415" s="447">
        <v>0</v>
      </c>
    </row>
    <row r="416" spans="1:34" s="398" customFormat="1" outlineLevel="1">
      <c r="A416" s="283"/>
      <c r="B416" s="445"/>
      <c r="C416" s="514" t="s">
        <v>596</v>
      </c>
      <c r="D416" s="515" t="s">
        <v>588</v>
      </c>
      <c r="E416" s="446">
        <f t="shared" ref="E416:P416" si="825">E405/(E350/10^3)</f>
        <v>11.710452330376111</v>
      </c>
      <c r="F416" s="446">
        <f t="shared" si="825"/>
        <v>9.0360530834615389</v>
      </c>
      <c r="G416" s="446">
        <f t="shared" si="825"/>
        <v>8.5260312186859952</v>
      </c>
      <c r="H416" s="446">
        <f t="shared" si="825"/>
        <v>8.1095957157874317</v>
      </c>
      <c r="I416" s="446">
        <f t="shared" si="825"/>
        <v>10.433505109062096</v>
      </c>
      <c r="J416" s="446">
        <f t="shared" si="825"/>
        <v>10.01649649045252</v>
      </c>
      <c r="K416" s="446">
        <f t="shared" si="825"/>
        <v>12.82411065734183</v>
      </c>
      <c r="L416" s="446">
        <f t="shared" si="825"/>
        <v>13.651836736626313</v>
      </c>
      <c r="M416" s="446">
        <f t="shared" si="825"/>
        <v>12.777497295347999</v>
      </c>
      <c r="N416" s="446">
        <f t="shared" si="825"/>
        <v>14.397955200765539</v>
      </c>
      <c r="O416" s="446">
        <f t="shared" si="825"/>
        <v>13.821238811958411</v>
      </c>
      <c r="P416" s="446">
        <f t="shared" si="825"/>
        <v>11.959652600567319</v>
      </c>
      <c r="Q416" s="447">
        <v>0</v>
      </c>
      <c r="R416" s="447">
        <v>0</v>
      </c>
      <c r="S416" s="447">
        <v>0</v>
      </c>
      <c r="T416" s="447">
        <v>0</v>
      </c>
      <c r="U416" s="447">
        <v>0</v>
      </c>
      <c r="V416" s="447">
        <v>0</v>
      </c>
      <c r="W416" s="447">
        <v>0</v>
      </c>
      <c r="X416" s="447">
        <v>0</v>
      </c>
      <c r="Y416" s="283"/>
      <c r="Z416" s="446">
        <f>Z405/(Z350/10^3)</f>
        <v>9.9361382987865046</v>
      </c>
      <c r="AA416" s="446">
        <f>AA405/(AA350/10^3)</f>
        <v>9.7076560484606205</v>
      </c>
      <c r="AB416" s="446">
        <f>AB405/(AB350/10^3)</f>
        <v>9.3762027066299058</v>
      </c>
      <c r="AC416" s="446">
        <f>AC405/(AC350/10^3)</f>
        <v>11.750328003236154</v>
      </c>
      <c r="AD416" s="446">
        <f>AD405/(AD350/10^3)</f>
        <v>13.182204756737738</v>
      </c>
      <c r="AE416" s="447">
        <v>0</v>
      </c>
      <c r="AF416" s="447">
        <v>0</v>
      </c>
      <c r="AG416" s="447">
        <v>0</v>
      </c>
      <c r="AH416" s="447">
        <v>0</v>
      </c>
    </row>
    <row r="417" spans="1:34" s="398" customFormat="1" outlineLevel="1">
      <c r="A417" s="283"/>
      <c r="B417" s="445"/>
      <c r="C417" s="532" t="s">
        <v>434</v>
      </c>
      <c r="D417" s="515" t="s">
        <v>588</v>
      </c>
      <c r="E417" s="444">
        <f>E415-E416</f>
        <v>8.3738129451455663</v>
      </c>
      <c r="F417" s="444">
        <f t="shared" ref="F417:T417" si="826">F415-F416</f>
        <v>17.14473587815176</v>
      </c>
      <c r="G417" s="444">
        <f t="shared" si="826"/>
        <v>16.95818029586286</v>
      </c>
      <c r="H417" s="444">
        <f t="shared" si="826"/>
        <v>19.505889889962152</v>
      </c>
      <c r="I417" s="444">
        <f t="shared" si="826"/>
        <v>16.552590352295166</v>
      </c>
      <c r="J417" s="444">
        <f t="shared" si="826"/>
        <v>15.504544621389369</v>
      </c>
      <c r="K417" s="444">
        <f t="shared" si="826"/>
        <v>7.2133314624581821</v>
      </c>
      <c r="L417" s="444">
        <f t="shared" si="826"/>
        <v>11.800659984755013</v>
      </c>
      <c r="M417" s="444">
        <f t="shared" si="826"/>
        <v>9.609808871258565</v>
      </c>
      <c r="N417" s="444">
        <f t="shared" si="826"/>
        <v>1.8508958587779087</v>
      </c>
      <c r="O417" s="444">
        <f t="shared" si="826"/>
        <v>8.8716904582456859</v>
      </c>
      <c r="P417" s="444">
        <f t="shared" si="826"/>
        <v>1.0733021564611693</v>
      </c>
      <c r="Q417" s="444">
        <f t="shared" si="826"/>
        <v>0</v>
      </c>
      <c r="R417" s="776">
        <f t="shared" si="826"/>
        <v>0</v>
      </c>
      <c r="S417" s="444">
        <f t="shared" si="826"/>
        <v>0</v>
      </c>
      <c r="T417" s="444">
        <f t="shared" si="826"/>
        <v>0</v>
      </c>
      <c r="U417" s="444">
        <f t="shared" ref="U417:X417" si="827">U415-U416</f>
        <v>0</v>
      </c>
      <c r="V417" s="444">
        <f t="shared" si="827"/>
        <v>0</v>
      </c>
      <c r="W417" s="444">
        <f t="shared" si="827"/>
        <v>0</v>
      </c>
      <c r="X417" s="444">
        <f t="shared" si="827"/>
        <v>0</v>
      </c>
      <c r="Y417" s="283"/>
      <c r="Z417" s="444">
        <f t="shared" ref="Z417:AG417" si="828">Z415-Z416</f>
        <v>-1.9894632734087958</v>
      </c>
      <c r="AA417" s="444">
        <f t="shared" si="828"/>
        <v>-0.25723370019320235</v>
      </c>
      <c r="AB417" s="444">
        <f t="shared" si="828"/>
        <v>14.680384394856928</v>
      </c>
      <c r="AC417" s="444">
        <f t="shared" si="828"/>
        <v>12.102409780382304</v>
      </c>
      <c r="AD417" s="444">
        <f t="shared" si="828"/>
        <v>5.6767479565802059</v>
      </c>
      <c r="AE417" s="444">
        <f t="shared" si="828"/>
        <v>0</v>
      </c>
      <c r="AF417" s="444">
        <f t="shared" si="828"/>
        <v>0</v>
      </c>
      <c r="AG417" s="444">
        <f t="shared" si="828"/>
        <v>0</v>
      </c>
      <c r="AH417" s="444">
        <f t="shared" ref="AH417" si="829">AH415-AH416</f>
        <v>0</v>
      </c>
    </row>
    <row r="418" spans="1:34" s="398" customFormat="1" outlineLevel="1">
      <c r="A418" s="283"/>
      <c r="B418" s="400"/>
      <c r="C418" s="413"/>
      <c r="D418" s="497"/>
      <c r="E418" s="412"/>
      <c r="F418" s="412"/>
      <c r="G418" s="412"/>
      <c r="H418" s="412"/>
      <c r="I418" s="412"/>
      <c r="J418" s="412"/>
      <c r="K418" s="412"/>
      <c r="L418" s="412"/>
      <c r="M418" s="412"/>
      <c r="N418" s="412"/>
      <c r="O418" s="412"/>
      <c r="P418" s="412"/>
      <c r="Q418" s="412"/>
      <c r="R418" s="412"/>
      <c r="S418" s="412"/>
      <c r="T418" s="412"/>
      <c r="U418" s="412"/>
      <c r="V418" s="412"/>
      <c r="W418" s="412"/>
      <c r="X418" s="412"/>
      <c r="Y418" s="283"/>
      <c r="Z418" s="412"/>
      <c r="AA418" s="412"/>
      <c r="AB418" s="412"/>
      <c r="AC418" s="412"/>
      <c r="AD418" s="412"/>
      <c r="AE418" s="412"/>
    </row>
    <row r="419" spans="1:34" s="307" customFormat="1" outlineLevel="1">
      <c r="A419" s="283"/>
      <c r="B419" s="507"/>
      <c r="C419" s="507" t="s">
        <v>704</v>
      </c>
      <c r="D419" s="508"/>
      <c r="E419" s="596">
        <f>+E$1-E417</f>
        <v>8.4670219915303733</v>
      </c>
      <c r="F419" s="596">
        <f t="shared" ref="F419:P419" si="830">+F$1-F417</f>
        <v>-0.53752525852668498</v>
      </c>
      <c r="G419" s="596">
        <f t="shared" si="830"/>
        <v>-2.2742617924025215</v>
      </c>
      <c r="H419" s="596">
        <f t="shared" si="830"/>
        <v>-4.9293603452083108</v>
      </c>
      <c r="I419" s="596">
        <f t="shared" si="830"/>
        <v>-0.85048658232032537</v>
      </c>
      <c r="J419" s="596">
        <f t="shared" si="830"/>
        <v>-0.49660196398541601</v>
      </c>
      <c r="K419" s="596">
        <f t="shared" si="830"/>
        <v>10.965628366734482</v>
      </c>
      <c r="L419" s="596">
        <f t="shared" si="830"/>
        <v>5.6643995186774649</v>
      </c>
      <c r="M419" s="596">
        <f t="shared" si="830"/>
        <v>4.9401237464281351</v>
      </c>
      <c r="N419" s="596">
        <f t="shared" si="830"/>
        <v>16.591223461937169</v>
      </c>
      <c r="O419" s="596">
        <f t="shared" si="830"/>
        <v>16.448546157147533</v>
      </c>
      <c r="P419" s="596">
        <f t="shared" si="830"/>
        <v>24.086629069239336</v>
      </c>
      <c r="Q419" s="596">
        <v>0</v>
      </c>
      <c r="R419" s="596">
        <v>0</v>
      </c>
      <c r="S419" s="596">
        <v>0</v>
      </c>
      <c r="T419" s="596">
        <v>0</v>
      </c>
      <c r="U419" s="596">
        <v>0</v>
      </c>
      <c r="V419" s="596">
        <v>0</v>
      </c>
      <c r="W419" s="596">
        <v>0</v>
      </c>
      <c r="X419" s="596">
        <v>0</v>
      </c>
      <c r="Y419" s="283"/>
      <c r="Z419" s="596">
        <f>+Z$1-Z417</f>
        <v>19.144962718745276</v>
      </c>
      <c r="AA419" s="596">
        <f>+AA$1-AA417</f>
        <v>17.483666055853199</v>
      </c>
      <c r="AB419" s="596">
        <f>+AB$1-AB417</f>
        <v>0.94561344292483618</v>
      </c>
      <c r="AC419" s="596">
        <f>+AC$1-AC417</f>
        <v>4.543658025013313</v>
      </c>
      <c r="AD419" s="596">
        <f>+AD$1-AD417</f>
        <v>15.469746043013648</v>
      </c>
      <c r="AE419" s="596">
        <v>0</v>
      </c>
      <c r="AF419" s="596">
        <v>0</v>
      </c>
      <c r="AG419" s="596">
        <v>0</v>
      </c>
      <c r="AH419" s="596">
        <v>0</v>
      </c>
    </row>
    <row r="420" spans="1:34" s="398" customFormat="1" outlineLevel="1">
      <c r="A420" s="283"/>
      <c r="B420" s="400"/>
      <c r="C420" s="401"/>
      <c r="D420" s="497"/>
      <c r="E420" s="411"/>
      <c r="F420" s="411"/>
      <c r="G420" s="411"/>
      <c r="H420" s="411"/>
      <c r="I420" s="411"/>
      <c r="J420" s="411"/>
      <c r="K420" s="411"/>
      <c r="L420" s="411"/>
      <c r="M420" s="411"/>
      <c r="N420" s="411"/>
      <c r="O420" s="411"/>
      <c r="P420" s="411"/>
      <c r="Q420" s="411"/>
      <c r="R420" s="411"/>
      <c r="S420" s="411"/>
      <c r="T420" s="411"/>
      <c r="U420" s="411"/>
      <c r="V420" s="411"/>
      <c r="W420" s="411"/>
      <c r="X420" s="411"/>
      <c r="Y420" s="283"/>
      <c r="Z420" s="411"/>
      <c r="AA420" s="411"/>
      <c r="AB420" s="411"/>
      <c r="AC420" s="411"/>
      <c r="AD420" s="411"/>
      <c r="AE420" s="411"/>
    </row>
    <row r="421" spans="1:34" outlineLevel="1">
      <c r="C421" s="281" t="s">
        <v>426</v>
      </c>
      <c r="E421" s="305">
        <v>0.43</v>
      </c>
      <c r="F421" s="305">
        <v>1.68</v>
      </c>
      <c r="G421" s="305">
        <v>1.5820000000000001</v>
      </c>
      <c r="H421" s="305">
        <v>2.5270000000000001</v>
      </c>
      <c r="I421" s="305">
        <v>1.8959999999999999</v>
      </c>
      <c r="J421" s="305">
        <v>2.0840000000000001</v>
      </c>
      <c r="K421" s="305">
        <v>1.5129999999999999</v>
      </c>
      <c r="L421" s="305">
        <v>-0.45800000000000002</v>
      </c>
      <c r="M421" s="305">
        <v>0.80300000000000005</v>
      </c>
      <c r="N421" s="305">
        <v>-0.499</v>
      </c>
      <c r="O421" s="305">
        <v>0.23300000000000001</v>
      </c>
      <c r="P421" s="305">
        <v>0</v>
      </c>
      <c r="Q421" s="305">
        <v>0</v>
      </c>
      <c r="R421" s="305">
        <v>7.0000000000000001E-3</v>
      </c>
      <c r="S421" s="305">
        <v>3.0000000000000001E-3</v>
      </c>
      <c r="T421" s="305">
        <v>3.0000000000000001E-3</v>
      </c>
      <c r="U421" s="388"/>
      <c r="V421" s="388"/>
      <c r="W421" s="388"/>
      <c r="X421" s="388"/>
      <c r="Y421" s="283"/>
      <c r="Z421" s="305">
        <v>1.5640000000000001</v>
      </c>
      <c r="AA421" s="305">
        <v>11.231</v>
      </c>
      <c r="AB421" s="282">
        <f>SUMIF($E$5:$T$5,AB$5,$E421:$T421)</f>
        <v>6.2190000000000003</v>
      </c>
      <c r="AC421" s="282">
        <f>SUMIF($E$5:$T$5,AC$5,$E421:$T421)</f>
        <v>5.0350000000000001</v>
      </c>
      <c r="AD421" s="282">
        <f>SUMIF($E$5:$T$5,AD$5,$E421:$T421)</f>
        <v>0.53700000000000003</v>
      </c>
      <c r="AE421" s="282">
        <f>SUMIF($E$5:$T$5,AE$5,$E421:$T421)</f>
        <v>1.3000000000000001E-2</v>
      </c>
      <c r="AF421" s="388"/>
      <c r="AG421" s="388"/>
      <c r="AH421" s="388"/>
    </row>
    <row r="422" spans="1:34" outlineLevel="1">
      <c r="E422" s="411"/>
      <c r="F422" s="411"/>
      <c r="G422" s="411"/>
      <c r="H422" s="411"/>
      <c r="I422" s="411"/>
      <c r="J422" s="411"/>
      <c r="K422" s="411"/>
      <c r="L422" s="411"/>
      <c r="M422" s="411"/>
      <c r="N422" s="411"/>
      <c r="O422" s="411"/>
      <c r="P422" s="411"/>
      <c r="Q422" s="411"/>
      <c r="Y422" s="283"/>
      <c r="Z422" s="411"/>
      <c r="AA422" s="411"/>
      <c r="AB422" s="411"/>
      <c r="AC422" s="411"/>
      <c r="AD422" s="411"/>
      <c r="AE422" s="411"/>
    </row>
    <row r="423" spans="1:34" s="283" customFormat="1">
      <c r="B423" s="286" t="s">
        <v>137</v>
      </c>
      <c r="C423" s="287" t="s">
        <v>438</v>
      </c>
      <c r="D423" s="485"/>
      <c r="E423" s="286"/>
      <c r="F423" s="286"/>
      <c r="G423" s="286"/>
      <c r="H423" s="286"/>
      <c r="I423" s="286"/>
      <c r="J423" s="286"/>
      <c r="K423" s="286"/>
      <c r="L423" s="286"/>
      <c r="M423" s="286"/>
      <c r="N423" s="286"/>
      <c r="O423" s="286"/>
      <c r="P423" s="286"/>
      <c r="Q423" s="286"/>
      <c r="R423" s="286"/>
      <c r="S423" s="286"/>
      <c r="T423" s="286"/>
      <c r="U423" s="286"/>
      <c r="V423" s="286"/>
      <c r="W423" s="286"/>
      <c r="X423" s="286"/>
      <c r="Z423" s="286"/>
      <c r="AA423" s="286"/>
      <c r="AB423" s="286"/>
      <c r="AC423" s="286"/>
      <c r="AD423" s="286"/>
      <c r="AE423" s="286"/>
      <c r="AF423" s="286"/>
      <c r="AG423" s="286"/>
      <c r="AH423" s="286"/>
    </row>
    <row r="424" spans="1:34">
      <c r="Y424" s="283"/>
    </row>
    <row r="425" spans="1:34">
      <c r="C425" s="281" t="s">
        <v>314</v>
      </c>
      <c r="E425" s="305">
        <v>0.44400000000000001</v>
      </c>
      <c r="F425" s="305">
        <v>0.434</v>
      </c>
      <c r="G425" s="305">
        <v>0.47299999999999998</v>
      </c>
      <c r="H425" s="305">
        <v>0.60799999999999998</v>
      </c>
      <c r="I425" s="305">
        <v>0.441</v>
      </c>
      <c r="J425" s="305">
        <v>0.497</v>
      </c>
      <c r="K425" s="305">
        <v>0.16700000000000001</v>
      </c>
      <c r="L425" s="305">
        <v>0.22700000000000001</v>
      </c>
      <c r="M425" s="305">
        <v>0.35</v>
      </c>
      <c r="N425" s="305">
        <v>0.314</v>
      </c>
      <c r="O425" s="305">
        <v>0.42899999999999999</v>
      </c>
      <c r="P425" s="305">
        <v>0.42599999999999999</v>
      </c>
      <c r="Q425" s="305">
        <v>0.435</v>
      </c>
      <c r="R425" s="305">
        <v>0.45</v>
      </c>
      <c r="S425" s="305">
        <v>0.47399999999999998</v>
      </c>
      <c r="T425" s="305">
        <v>0.86699999999999999</v>
      </c>
      <c r="U425" s="305">
        <v>0.71599999999999997</v>
      </c>
      <c r="V425" s="282">
        <f t="shared" ref="V425" si="831">($AF425-$U425)*R425/SUM($R425:$T425)</f>
        <v>0.57386934673366841</v>
      </c>
      <c r="W425" s="282">
        <f t="shared" ref="W425" si="832">($AF425-$U425)*S425/SUM($R425:$T425)</f>
        <v>0.60447571189279725</v>
      </c>
      <c r="X425" s="282">
        <f t="shared" ref="X425" si="833">($AF425-$U425)*T425/SUM($R425:$T425)</f>
        <v>1.1056549413735344</v>
      </c>
      <c r="Y425" s="283"/>
      <c r="Z425" s="305">
        <v>1.6579999999999999</v>
      </c>
      <c r="AA425" s="305">
        <v>1.825</v>
      </c>
      <c r="AB425" s="282">
        <f t="shared" ref="AB425:AE427" si="834">SUMIF($E$5:$T$5,AB$5,$E425:$T425)</f>
        <v>1.9590000000000001</v>
      </c>
      <c r="AC425" s="282">
        <f t="shared" si="834"/>
        <v>1.3320000000000001</v>
      </c>
      <c r="AD425" s="305">
        <v>1.788</v>
      </c>
      <c r="AE425" s="282">
        <f t="shared" si="834"/>
        <v>2.226</v>
      </c>
      <c r="AF425" s="377">
        <v>3</v>
      </c>
      <c r="AG425" s="319">
        <f>+AF425</f>
        <v>3</v>
      </c>
      <c r="AH425" s="319">
        <f>+AG425</f>
        <v>3</v>
      </c>
    </row>
    <row r="426" spans="1:34">
      <c r="C426" s="281" t="s">
        <v>430</v>
      </c>
      <c r="E426" s="305">
        <v>0.11700000000000001</v>
      </c>
      <c r="F426" s="305">
        <v>0.51700000000000002</v>
      </c>
      <c r="G426" s="305">
        <v>0.70399999999999996</v>
      </c>
      <c r="H426" s="305">
        <v>0.157</v>
      </c>
      <c r="I426" s="305">
        <v>6.0999999999999999E-2</v>
      </c>
      <c r="J426" s="305">
        <v>1.2E-2</v>
      </c>
      <c r="K426" s="305">
        <v>0</v>
      </c>
      <c r="L426" s="305">
        <v>3.5000000000000003E-2</v>
      </c>
      <c r="M426" s="305">
        <v>0</v>
      </c>
      <c r="N426" s="305">
        <v>0</v>
      </c>
      <c r="O426" s="305">
        <v>3.7999999999999999E-2</v>
      </c>
      <c r="P426" s="305">
        <v>0</v>
      </c>
      <c r="Q426" s="305">
        <v>0</v>
      </c>
      <c r="R426" s="305">
        <v>0</v>
      </c>
      <c r="S426" s="305">
        <v>0</v>
      </c>
      <c r="T426" s="305">
        <v>0.17199999999999999</v>
      </c>
      <c r="U426" s="305">
        <v>0</v>
      </c>
      <c r="V426" s="282">
        <f t="shared" ref="V426:X426" si="835">$AF426/4</f>
        <v>0</v>
      </c>
      <c r="W426" s="282">
        <f t="shared" si="835"/>
        <v>0</v>
      </c>
      <c r="X426" s="282">
        <f t="shared" si="835"/>
        <v>0</v>
      </c>
      <c r="Y426" s="283"/>
      <c r="Z426" s="305">
        <v>0.59299999999999997</v>
      </c>
      <c r="AA426" s="305">
        <v>2.7160000000000002</v>
      </c>
      <c r="AB426" s="282">
        <f t="shared" si="834"/>
        <v>1.4950000000000001</v>
      </c>
      <c r="AC426" s="282">
        <f t="shared" si="834"/>
        <v>0.108</v>
      </c>
      <c r="AD426" s="282">
        <f>SUMIF($E$5:$T$5,AD$5,$E426:$T426)</f>
        <v>3.7999999999999999E-2</v>
      </c>
      <c r="AE426" s="282">
        <f t="shared" si="834"/>
        <v>0.17199999999999999</v>
      </c>
      <c r="AF426" s="377">
        <v>0</v>
      </c>
      <c r="AG426" s="319">
        <f t="shared" ref="AG426:AH426" si="836">+AF426</f>
        <v>0</v>
      </c>
      <c r="AH426" s="319">
        <f t="shared" si="836"/>
        <v>0</v>
      </c>
    </row>
    <row r="427" spans="1:34">
      <c r="C427" s="281" t="s">
        <v>313</v>
      </c>
      <c r="E427" s="305">
        <v>7.7350000000000003</v>
      </c>
      <c r="F427" s="305">
        <v>9.7870000000000008</v>
      </c>
      <c r="G427" s="305">
        <v>10.327</v>
      </c>
      <c r="H427" s="305">
        <v>8.6929999999999996</v>
      </c>
      <c r="I427" s="305">
        <v>9.9589999999999996</v>
      </c>
      <c r="J427" s="305">
        <v>8.9179999999999993</v>
      </c>
      <c r="K427" s="305">
        <v>7.9779999999999998</v>
      </c>
      <c r="L427" s="305">
        <v>8.9770000000000003</v>
      </c>
      <c r="M427" s="305">
        <v>8.9390000000000001</v>
      </c>
      <c r="N427" s="305">
        <v>6.9790000000000001</v>
      </c>
      <c r="O427" s="305">
        <v>10.345000000000001</v>
      </c>
      <c r="P427" s="305">
        <v>7.4960000000000004</v>
      </c>
      <c r="Q427" s="305">
        <v>8.0069999999999997</v>
      </c>
      <c r="R427" s="305">
        <v>11.103999999999999</v>
      </c>
      <c r="S427" s="305">
        <v>8.8740000000000006</v>
      </c>
      <c r="T427" s="305">
        <v>6.585</v>
      </c>
      <c r="U427" s="305">
        <v>8.2940000000000005</v>
      </c>
      <c r="V427" s="282">
        <f t="shared" ref="V427" si="837">($AF427-$U427)*R427/SUM($R427:$T427)</f>
        <v>12.417852802770769</v>
      </c>
      <c r="W427" s="282">
        <f t="shared" ref="W427" si="838">($AF427-$U427)*S427/SUM($R427:$T427)</f>
        <v>9.9239936754131683</v>
      </c>
      <c r="X427" s="282">
        <f t="shared" ref="X427" si="839">($AF427-$U427)*T427/SUM($R427:$T427)</f>
        <v>7.3641535218160596</v>
      </c>
      <c r="Y427" s="283"/>
      <c r="Z427" s="305">
        <v>45.04</v>
      </c>
      <c r="AA427" s="305">
        <v>35.610999999999997</v>
      </c>
      <c r="AB427" s="282">
        <f t="shared" si="834"/>
        <v>36.542000000000002</v>
      </c>
      <c r="AC427" s="282">
        <f t="shared" si="834"/>
        <v>35.831999999999994</v>
      </c>
      <c r="AD427" s="282">
        <f>SUMIF($E$5:$T$5,AD$5,$E427:$T427)</f>
        <v>33.759</v>
      </c>
      <c r="AE427" s="282">
        <f t="shared" si="834"/>
        <v>34.57</v>
      </c>
      <c r="AF427" s="377">
        <v>38</v>
      </c>
      <c r="AG427" s="319">
        <f t="shared" ref="AG427:AH427" si="840">+AF427</f>
        <v>38</v>
      </c>
      <c r="AH427" s="319">
        <f t="shared" si="840"/>
        <v>38</v>
      </c>
    </row>
    <row r="428" spans="1:34">
      <c r="Y428" s="283"/>
      <c r="AB428" s="443"/>
      <c r="AC428" s="443"/>
      <c r="AD428" s="443"/>
      <c r="AE428" s="443"/>
    </row>
    <row r="429" spans="1:34" s="283" customFormat="1">
      <c r="A429" s="286" t="s">
        <v>137</v>
      </c>
      <c r="B429" s="286" t="s">
        <v>137</v>
      </c>
      <c r="C429" s="287" t="s">
        <v>483</v>
      </c>
      <c r="D429" s="485"/>
      <c r="E429" s="286"/>
      <c r="F429" s="286"/>
      <c r="G429" s="286"/>
      <c r="H429" s="286"/>
      <c r="I429" s="286"/>
      <c r="J429" s="286"/>
      <c r="K429" s="286"/>
      <c r="L429" s="286"/>
      <c r="M429" s="286"/>
      <c r="N429" s="286"/>
      <c r="O429" s="286"/>
      <c r="P429" s="286"/>
      <c r="Q429" s="286"/>
      <c r="R429" s="286"/>
      <c r="S429" s="286"/>
      <c r="T429" s="286"/>
      <c r="U429" s="286"/>
      <c r="V429" s="286"/>
      <c r="W429" s="286"/>
      <c r="X429" s="286"/>
      <c r="Z429" s="286"/>
      <c r="AA429" s="286"/>
      <c r="AB429" s="286"/>
      <c r="AC429" s="286"/>
      <c r="AD429" s="286"/>
      <c r="AE429" s="286"/>
      <c r="AF429" s="286"/>
      <c r="AG429" s="286"/>
      <c r="AH429" s="286"/>
    </row>
    <row r="430" spans="1:34">
      <c r="Y430" s="283"/>
    </row>
    <row r="431" spans="1:34">
      <c r="C431" s="414" t="s">
        <v>499</v>
      </c>
      <c r="E431" s="282">
        <f t="shared" ref="E431:X431" si="841">+E174+E262+E350+E486+E574</f>
        <v>2534.0949999999998</v>
      </c>
      <c r="F431" s="282">
        <f t="shared" si="841"/>
        <v>2596.4229999999998</v>
      </c>
      <c r="G431" s="282">
        <f t="shared" si="841"/>
        <v>2523.6910000000003</v>
      </c>
      <c r="H431" s="282">
        <f t="shared" si="841"/>
        <v>2715.3850000000002</v>
      </c>
      <c r="I431" s="282">
        <f t="shared" si="841"/>
        <v>2923.1309999999999</v>
      </c>
      <c r="J431" s="282">
        <f t="shared" si="841"/>
        <v>3018.7650000000003</v>
      </c>
      <c r="K431" s="282">
        <f t="shared" si="841"/>
        <v>3251.35</v>
      </c>
      <c r="L431" s="282">
        <f t="shared" si="841"/>
        <v>3411.9879999999998</v>
      </c>
      <c r="M431" s="282">
        <f t="shared" si="841"/>
        <v>3245.4690000000001</v>
      </c>
      <c r="N431" s="282">
        <f t="shared" si="841"/>
        <v>3403.7809999999995</v>
      </c>
      <c r="O431" s="282">
        <f t="shared" si="841"/>
        <v>3541.3710000000001</v>
      </c>
      <c r="P431" s="282">
        <f t="shared" si="841"/>
        <v>3352.3360000000007</v>
      </c>
      <c r="Q431" s="282">
        <f t="shared" si="841"/>
        <v>3459.4459999999999</v>
      </c>
      <c r="R431" s="282">
        <f t="shared" si="841"/>
        <v>3524.7829999999999</v>
      </c>
      <c r="S431" s="282">
        <f t="shared" si="841"/>
        <v>2676.0839999999998</v>
      </c>
      <c r="T431" s="282">
        <f t="shared" si="841"/>
        <v>3227.1970000000001</v>
      </c>
      <c r="U431" s="282">
        <f t="shared" si="841"/>
        <v>3324.7080000000005</v>
      </c>
      <c r="V431" s="282">
        <f t="shared" si="841"/>
        <v>3633.2181124796361</v>
      </c>
      <c r="W431" s="282">
        <f t="shared" si="841"/>
        <v>2841.1713846482007</v>
      </c>
      <c r="X431" s="282">
        <f t="shared" si="841"/>
        <v>3407.9705028721623</v>
      </c>
      <c r="Y431" s="283"/>
      <c r="Z431" s="282">
        <f>+Z174+Z262+Z350+Z486+Z574</f>
        <v>17177.316999999999</v>
      </c>
      <c r="AA431" s="282">
        <f>+AA174+AA262+AA350+AA486+AA574</f>
        <v>12484.843999999999</v>
      </c>
      <c r="AB431" s="282">
        <f t="shared" ref="AB431:AF432" si="842">SUMIF($E$5:$X$5,AB$5,$E431:$X431)</f>
        <v>10369.594000000001</v>
      </c>
      <c r="AC431" s="282">
        <f t="shared" si="842"/>
        <v>12605.234</v>
      </c>
      <c r="AD431" s="282">
        <f t="shared" si="842"/>
        <v>13542.957</v>
      </c>
      <c r="AE431" s="282">
        <f t="shared" si="842"/>
        <v>12887.509999999998</v>
      </c>
      <c r="AF431" s="282">
        <f t="shared" si="842"/>
        <v>13207.067999999999</v>
      </c>
      <c r="AG431" s="282">
        <f>+AG174+AG262+AG350+AG486+AG574</f>
        <v>13992.507648177478</v>
      </c>
      <c r="AH431" s="282">
        <f>+AH174+AH262+AH350+AH486+AH574</f>
        <v>14792.079513787619</v>
      </c>
    </row>
    <row r="432" spans="1:34">
      <c r="C432" s="414" t="s">
        <v>500</v>
      </c>
      <c r="E432" s="282">
        <f t="shared" ref="E432:X432" si="843">+E181+E269+E357+E493+E581</f>
        <v>2091.4639999999999</v>
      </c>
      <c r="F432" s="282">
        <f t="shared" si="843"/>
        <v>2313.7539999999999</v>
      </c>
      <c r="G432" s="282">
        <f t="shared" si="843"/>
        <v>2588.4779999999996</v>
      </c>
      <c r="H432" s="282">
        <f t="shared" si="843"/>
        <v>2260.6890000000003</v>
      </c>
      <c r="I432" s="282">
        <f t="shared" si="843"/>
        <v>2898.0830000000001</v>
      </c>
      <c r="J432" s="282">
        <f t="shared" si="843"/>
        <v>2418.5860000000002</v>
      </c>
      <c r="K432" s="282">
        <f t="shared" si="843"/>
        <v>2232.6909999999998</v>
      </c>
      <c r="L432" s="282">
        <f t="shared" si="843"/>
        <v>3999.0129999999999</v>
      </c>
      <c r="M432" s="282">
        <f t="shared" si="843"/>
        <v>2582.2799999999993</v>
      </c>
      <c r="N432" s="282">
        <f t="shared" si="843"/>
        <v>3348.6389999999997</v>
      </c>
      <c r="O432" s="282">
        <f t="shared" si="843"/>
        <v>3147.0479999999998</v>
      </c>
      <c r="P432" s="282">
        <f t="shared" si="843"/>
        <v>3227.9500000000007</v>
      </c>
      <c r="Q432" s="282">
        <f t="shared" si="843"/>
        <v>3030.0249999999996</v>
      </c>
      <c r="R432" s="282">
        <f t="shared" si="843"/>
        <v>3415.4640000000004</v>
      </c>
      <c r="S432" s="282">
        <f t="shared" si="843"/>
        <v>2581.69</v>
      </c>
      <c r="T432" s="282">
        <f t="shared" si="843"/>
        <v>2606.6229999999991</v>
      </c>
      <c r="U432" s="282">
        <f t="shared" si="843"/>
        <v>2687.2620000000002</v>
      </c>
      <c r="V432" s="282">
        <f t="shared" si="843"/>
        <v>3633.2181124796361</v>
      </c>
      <c r="W432" s="282">
        <f t="shared" si="843"/>
        <v>2841.1713846482007</v>
      </c>
      <c r="X432" s="282">
        <f t="shared" si="843"/>
        <v>3407.9705028721623</v>
      </c>
      <c r="Y432" s="283"/>
      <c r="Z432" s="282">
        <f>+Z181+Z269+Z357+Z493+Z581</f>
        <v>15997.086000000001</v>
      </c>
      <c r="AA432" s="282">
        <f>+AA181+AA269+AA357+AA493+AA581</f>
        <v>11308.958000000001</v>
      </c>
      <c r="AB432" s="282">
        <f t="shared" si="842"/>
        <v>9254.3850000000002</v>
      </c>
      <c r="AC432" s="282">
        <f t="shared" si="842"/>
        <v>11548.373</v>
      </c>
      <c r="AD432" s="282">
        <f t="shared" si="842"/>
        <v>12305.916999999999</v>
      </c>
      <c r="AE432" s="282">
        <f t="shared" si="842"/>
        <v>11633.802</v>
      </c>
      <c r="AF432" s="282">
        <f t="shared" si="842"/>
        <v>12569.621999999999</v>
      </c>
      <c r="AG432" s="282">
        <f>+AG181+AG269+AG357+AG493+AG581</f>
        <v>13064.97399725662</v>
      </c>
      <c r="AH432" s="282">
        <f>+AH181+AH269+AH357+AH493+AH581</f>
        <v>13811.543939956999</v>
      </c>
    </row>
    <row r="433" spans="1:34">
      <c r="Y433" s="283"/>
    </row>
    <row r="434" spans="1:34" s="415" customFormat="1">
      <c r="A434" s="282"/>
      <c r="B434" s="800"/>
      <c r="C434" s="800" t="s">
        <v>453</v>
      </c>
      <c r="D434" s="801"/>
      <c r="E434" s="510">
        <f t="shared" ref="E434:P434" si="844">E364+E276+E188+E500+E588</f>
        <v>35.222000000000008</v>
      </c>
      <c r="F434" s="510">
        <f t="shared" si="844"/>
        <v>38.424999999999997</v>
      </c>
      <c r="G434" s="510">
        <f t="shared" si="844"/>
        <v>38.009000000000007</v>
      </c>
      <c r="H434" s="510">
        <f t="shared" si="844"/>
        <v>32.953000000000017</v>
      </c>
      <c r="I434" s="510">
        <f t="shared" si="844"/>
        <v>45.505999999999993</v>
      </c>
      <c r="J434" s="510">
        <f t="shared" si="844"/>
        <v>36.297999999999995</v>
      </c>
      <c r="K434" s="510">
        <f t="shared" si="844"/>
        <v>40.588000000000001</v>
      </c>
      <c r="L434" s="510">
        <f t="shared" si="844"/>
        <v>69.843000000000032</v>
      </c>
      <c r="M434" s="510">
        <f t="shared" si="844"/>
        <v>37.57200000000001</v>
      </c>
      <c r="N434" s="510">
        <f t="shared" si="844"/>
        <v>61.756000000000007</v>
      </c>
      <c r="O434" s="510">
        <f t="shared" si="844"/>
        <v>79.683999999999997</v>
      </c>
      <c r="P434" s="510">
        <f t="shared" si="844"/>
        <v>81.214999999999961</v>
      </c>
      <c r="Q434" s="802">
        <f t="shared" ref="Q434:X434" si="845">Q373+Q285+Q197</f>
        <v>127.70400000000001</v>
      </c>
      <c r="R434" s="802">
        <f t="shared" si="845"/>
        <v>153.411</v>
      </c>
      <c r="S434" s="802">
        <f t="shared" si="845"/>
        <v>114.589</v>
      </c>
      <c r="T434" s="802">
        <f t="shared" si="845"/>
        <v>120.80300000000001</v>
      </c>
      <c r="U434" s="802">
        <f t="shared" si="845"/>
        <v>124.13</v>
      </c>
      <c r="V434" s="802">
        <f t="shared" ca="1" si="845"/>
        <v>166.447947612836</v>
      </c>
      <c r="W434" s="802">
        <f t="shared" ca="1" si="845"/>
        <v>138.614695549007</v>
      </c>
      <c r="X434" s="802">
        <f t="shared" ca="1" si="845"/>
        <v>153.35102969496236</v>
      </c>
      <c r="Y434" s="283"/>
      <c r="Z434" s="510">
        <f t="shared" ref="Z434:AH434" si="846">Z373+Z285+Z197</f>
        <v>468.81400000000002</v>
      </c>
      <c r="AA434" s="510">
        <f t="shared" si="846"/>
        <v>385.61</v>
      </c>
      <c r="AB434" s="510">
        <f t="shared" si="846"/>
        <v>325.62399999999997</v>
      </c>
      <c r="AC434" s="510">
        <f t="shared" si="846"/>
        <v>372.553</v>
      </c>
      <c r="AD434" s="510">
        <f t="shared" si="846"/>
        <v>423.75099999999998</v>
      </c>
      <c r="AE434" s="799">
        <f t="shared" si="846"/>
        <v>516.50700000000006</v>
      </c>
      <c r="AF434" s="802">
        <f t="shared" ca="1" si="846"/>
        <v>582.5436728568053</v>
      </c>
      <c r="AG434" s="802">
        <f t="shared" ca="1" si="846"/>
        <v>610.00619755151502</v>
      </c>
      <c r="AH434" s="802">
        <f t="shared" ca="1" si="846"/>
        <v>653.22482386426611</v>
      </c>
    </row>
    <row r="435" spans="1:34" s="282" customFormat="1">
      <c r="A435" s="283"/>
      <c r="B435" s="474"/>
      <c r="C435" s="474"/>
      <c r="D435" s="493"/>
      <c r="Y435" s="283"/>
    </row>
    <row r="436" spans="1:34">
      <c r="C436" s="281" t="s">
        <v>454</v>
      </c>
      <c r="E436" s="282">
        <f t="shared" ref="E436:X436" si="847">E211+E299+E387</f>
        <v>39.792000000000002</v>
      </c>
      <c r="F436" s="282">
        <f t="shared" si="847"/>
        <v>47.46</v>
      </c>
      <c r="G436" s="282">
        <f t="shared" si="847"/>
        <v>52.263999999999996</v>
      </c>
      <c r="H436" s="282">
        <f t="shared" si="847"/>
        <v>49.989999999999995</v>
      </c>
      <c r="I436" s="282">
        <f t="shared" si="847"/>
        <v>54.346000000000004</v>
      </c>
      <c r="J436" s="282">
        <f t="shared" si="847"/>
        <v>48.623999999999995</v>
      </c>
      <c r="K436" s="282">
        <f t="shared" si="847"/>
        <v>44.701000000000001</v>
      </c>
      <c r="L436" s="282">
        <f t="shared" si="847"/>
        <v>72.644000000000005</v>
      </c>
      <c r="M436" s="282">
        <f t="shared" si="847"/>
        <v>45.942999999999998</v>
      </c>
      <c r="N436" s="282">
        <f t="shared" si="847"/>
        <v>56.064999999999998</v>
      </c>
      <c r="O436" s="282">
        <f t="shared" si="847"/>
        <v>60.093000000000004</v>
      </c>
      <c r="P436" s="282">
        <f t="shared" si="847"/>
        <v>64.743999999999986</v>
      </c>
      <c r="Q436" s="282">
        <f t="shared" si="847"/>
        <v>54.911999999999999</v>
      </c>
      <c r="R436" s="282">
        <f t="shared" si="847"/>
        <v>61.496000000000002</v>
      </c>
      <c r="S436" s="282">
        <f t="shared" si="847"/>
        <v>59.096999999999994</v>
      </c>
      <c r="T436" s="282">
        <f t="shared" si="847"/>
        <v>59.684999999999988</v>
      </c>
      <c r="U436" s="282">
        <f t="shared" si="847"/>
        <v>59.45</v>
      </c>
      <c r="V436" s="282">
        <f t="shared" si="847"/>
        <v>67.44234925156681</v>
      </c>
      <c r="W436" s="282">
        <f t="shared" si="847"/>
        <v>65.17526608132161</v>
      </c>
      <c r="X436" s="282">
        <f t="shared" si="847"/>
        <v>65.882384667111594</v>
      </c>
      <c r="Y436" s="283"/>
      <c r="Z436" s="282">
        <f t="shared" ref="Z436:AA440" si="848">Z211+Z299+Z387</f>
        <v>229.92599999999999</v>
      </c>
      <c r="AA436" s="282">
        <f t="shared" si="848"/>
        <v>179.142</v>
      </c>
      <c r="AB436" s="282">
        <f t="shared" ref="AB436:AF440" si="849">SUMIF($E$5:$X$5,AB$5,$E436:$X436)</f>
        <v>189.50600000000003</v>
      </c>
      <c r="AC436" s="282">
        <f t="shared" si="849"/>
        <v>220.315</v>
      </c>
      <c r="AD436" s="282">
        <f t="shared" si="849"/>
        <v>226.84499999999997</v>
      </c>
      <c r="AE436" s="282">
        <f t="shared" si="849"/>
        <v>235.19</v>
      </c>
      <c r="AF436" s="282">
        <f t="shared" si="849"/>
        <v>257.95</v>
      </c>
      <c r="AG436" s="282">
        <f t="shared" ref="AG436:AH440" si="850">AG211+AG299+AG387</f>
        <v>270.45</v>
      </c>
      <c r="AH436" s="282">
        <f t="shared" si="850"/>
        <v>289.45</v>
      </c>
    </row>
    <row r="437" spans="1:34">
      <c r="C437" s="281" t="s">
        <v>427</v>
      </c>
      <c r="E437" s="282">
        <f t="shared" ref="E437:X437" si="851">E212+E300+E388</f>
        <v>12.164</v>
      </c>
      <c r="F437" s="282">
        <f t="shared" si="851"/>
        <v>9.6519999999999992</v>
      </c>
      <c r="G437" s="282">
        <f t="shared" si="851"/>
        <v>8.6059999999999999</v>
      </c>
      <c r="H437" s="282">
        <f t="shared" si="851"/>
        <v>9.2959999999999994</v>
      </c>
      <c r="I437" s="282">
        <f t="shared" si="851"/>
        <v>11.293000000000001</v>
      </c>
      <c r="J437" s="282">
        <f t="shared" si="851"/>
        <v>11.725999999999999</v>
      </c>
      <c r="K437" s="282">
        <f t="shared" si="851"/>
        <v>13.566000000000001</v>
      </c>
      <c r="L437" s="282">
        <f t="shared" si="851"/>
        <v>15.545999999999999</v>
      </c>
      <c r="M437" s="282">
        <f t="shared" si="851"/>
        <v>16.361999999999998</v>
      </c>
      <c r="N437" s="282">
        <f t="shared" si="851"/>
        <v>23.094999999999999</v>
      </c>
      <c r="O437" s="282">
        <f t="shared" si="851"/>
        <v>26.794</v>
      </c>
      <c r="P437" s="282">
        <f t="shared" si="851"/>
        <v>23.25</v>
      </c>
      <c r="Q437" s="282">
        <f t="shared" si="851"/>
        <v>15.519</v>
      </c>
      <c r="R437" s="282">
        <f t="shared" si="851"/>
        <v>13.61</v>
      </c>
      <c r="S437" s="282">
        <f t="shared" si="851"/>
        <v>11.406000000000001</v>
      </c>
      <c r="T437" s="282">
        <f t="shared" si="851"/>
        <v>12.291</v>
      </c>
      <c r="U437" s="282">
        <f t="shared" si="851"/>
        <v>12.773</v>
      </c>
      <c r="V437" s="282">
        <f t="shared" si="851"/>
        <v>13.732860703587377</v>
      </c>
      <c r="W437" s="282">
        <f t="shared" si="851"/>
        <v>11.501307725523255</v>
      </c>
      <c r="X437" s="282">
        <f t="shared" si="851"/>
        <v>12.392831570889371</v>
      </c>
      <c r="Y437" s="283"/>
      <c r="Z437" s="282">
        <f t="shared" si="848"/>
        <v>84.535000000000011</v>
      </c>
      <c r="AA437" s="282">
        <f t="shared" si="848"/>
        <v>53.718000000000004</v>
      </c>
      <c r="AB437" s="282">
        <f t="shared" si="849"/>
        <v>39.717999999999996</v>
      </c>
      <c r="AC437" s="282">
        <f t="shared" si="849"/>
        <v>52.131</v>
      </c>
      <c r="AD437" s="282">
        <f t="shared" si="849"/>
        <v>89.500999999999991</v>
      </c>
      <c r="AE437" s="282">
        <f t="shared" si="849"/>
        <v>52.825999999999993</v>
      </c>
      <c r="AF437" s="282">
        <f t="shared" si="849"/>
        <v>50.400000000000006</v>
      </c>
      <c r="AG437" s="282">
        <f t="shared" si="850"/>
        <v>50.4</v>
      </c>
      <c r="AH437" s="282">
        <f t="shared" si="850"/>
        <v>50.4</v>
      </c>
    </row>
    <row r="438" spans="1:34">
      <c r="C438" s="281" t="s">
        <v>428</v>
      </c>
      <c r="E438" s="282">
        <f t="shared" ref="E438:X438" si="852">E213+E301+E389</f>
        <v>6.77</v>
      </c>
      <c r="F438" s="282">
        <f t="shared" si="852"/>
        <v>-6.9999999999999951E-2</v>
      </c>
      <c r="G438" s="282">
        <f t="shared" si="852"/>
        <v>-6.0289999999999999</v>
      </c>
      <c r="H438" s="282">
        <f t="shared" si="852"/>
        <v>2.4710000000000001</v>
      </c>
      <c r="I438" s="282">
        <f t="shared" si="852"/>
        <v>-3.2350000000000003</v>
      </c>
      <c r="J438" s="282">
        <f t="shared" si="852"/>
        <v>3.746</v>
      </c>
      <c r="K438" s="282">
        <f t="shared" si="852"/>
        <v>7.9869999999999992</v>
      </c>
      <c r="L438" s="282">
        <f t="shared" si="852"/>
        <v>-11.59</v>
      </c>
      <c r="M438" s="282">
        <f t="shared" si="852"/>
        <v>4.0369999999999999</v>
      </c>
      <c r="N438" s="282">
        <f t="shared" si="852"/>
        <v>-4.5359999999999996</v>
      </c>
      <c r="O438" s="282">
        <f t="shared" si="852"/>
        <v>3.7360000000000002</v>
      </c>
      <c r="P438" s="282">
        <f t="shared" si="852"/>
        <v>-6.3979999999999997</v>
      </c>
      <c r="Q438" s="282">
        <f t="shared" si="852"/>
        <v>0.30800000000000005</v>
      </c>
      <c r="R438" s="282">
        <f t="shared" si="852"/>
        <v>-2.0310000000000001</v>
      </c>
      <c r="S438" s="282">
        <f t="shared" si="852"/>
        <v>-0.19</v>
      </c>
      <c r="T438" s="282">
        <f t="shared" si="852"/>
        <v>1.587</v>
      </c>
      <c r="U438" s="282">
        <f t="shared" si="852"/>
        <v>5.633</v>
      </c>
      <c r="V438" s="282">
        <f t="shared" si="852"/>
        <v>-2.8776666666666668</v>
      </c>
      <c r="W438" s="282">
        <f t="shared" si="852"/>
        <v>-2.8776666666666668</v>
      </c>
      <c r="X438" s="282">
        <f t="shared" si="852"/>
        <v>-2.8776666666666668</v>
      </c>
      <c r="Y438" s="283"/>
      <c r="Z438" s="282">
        <f t="shared" si="848"/>
        <v>-0.77100000000000013</v>
      </c>
      <c r="AA438" s="282">
        <f t="shared" si="848"/>
        <v>-0.4489999999999999</v>
      </c>
      <c r="AB438" s="282">
        <f t="shared" si="849"/>
        <v>3.1419999999999995</v>
      </c>
      <c r="AC438" s="282">
        <f t="shared" si="849"/>
        <v>-3.0920000000000005</v>
      </c>
      <c r="AD438" s="282">
        <f t="shared" si="849"/>
        <v>-3.1609999999999991</v>
      </c>
      <c r="AE438" s="282">
        <f t="shared" si="849"/>
        <v>-0.32600000000000007</v>
      </c>
      <c r="AF438" s="282">
        <f t="shared" si="849"/>
        <v>-3.0000000000000004</v>
      </c>
      <c r="AG438" s="282">
        <f t="shared" si="850"/>
        <v>-3</v>
      </c>
      <c r="AH438" s="282">
        <f t="shared" si="850"/>
        <v>-3</v>
      </c>
    </row>
    <row r="439" spans="1:34">
      <c r="C439" s="281" t="s">
        <v>429</v>
      </c>
      <c r="E439" s="282">
        <f t="shared" ref="E439:X439" si="853">E214+E302+E390</f>
        <v>-1.4510000000000001</v>
      </c>
      <c r="F439" s="282">
        <f t="shared" si="853"/>
        <v>-0.82600000000000007</v>
      </c>
      <c r="G439" s="282">
        <f t="shared" si="853"/>
        <v>-1.32</v>
      </c>
      <c r="H439" s="282">
        <f t="shared" si="853"/>
        <v>-0.77200000000000002</v>
      </c>
      <c r="I439" s="282">
        <f t="shared" si="853"/>
        <v>-0.72699999999999998</v>
      </c>
      <c r="J439" s="282">
        <f t="shared" si="853"/>
        <v>-1.355</v>
      </c>
      <c r="K439" s="282">
        <f t="shared" si="853"/>
        <v>-0.38600000000000001</v>
      </c>
      <c r="L439" s="282">
        <f t="shared" si="853"/>
        <v>-1.641</v>
      </c>
      <c r="M439" s="282">
        <f t="shared" si="853"/>
        <v>-4.1999999999999982E-2</v>
      </c>
      <c r="N439" s="282">
        <f t="shared" si="853"/>
        <v>-0.20299999999999999</v>
      </c>
      <c r="O439" s="282">
        <f t="shared" si="853"/>
        <v>-1.2829999999999999</v>
      </c>
      <c r="P439" s="282">
        <f t="shared" si="853"/>
        <v>-1.5519999999999998</v>
      </c>
      <c r="Q439" s="282">
        <f t="shared" si="853"/>
        <v>-0.58799999999999997</v>
      </c>
      <c r="R439" s="282">
        <f t="shared" si="853"/>
        <v>-0.99800000000000011</v>
      </c>
      <c r="S439" s="282">
        <f t="shared" si="853"/>
        <v>-1.0670000000000002</v>
      </c>
      <c r="T439" s="282">
        <f t="shared" si="853"/>
        <v>-1.8880000000000001</v>
      </c>
      <c r="U439" s="282">
        <f t="shared" si="853"/>
        <v>-1.2109999999999999</v>
      </c>
      <c r="V439" s="282">
        <f t="shared" si="853"/>
        <v>0.95886460929959894</v>
      </c>
      <c r="W439" s="282">
        <f t="shared" si="853"/>
        <v>0.916980749486349</v>
      </c>
      <c r="X439" s="282">
        <f t="shared" si="853"/>
        <v>1.1351546412140519</v>
      </c>
      <c r="Y439" s="283"/>
      <c r="Z439" s="282">
        <f t="shared" si="848"/>
        <v>-5.4060000000000006</v>
      </c>
      <c r="AA439" s="282">
        <f t="shared" si="848"/>
        <v>-4.298</v>
      </c>
      <c r="AB439" s="282">
        <f t="shared" si="849"/>
        <v>-4.3690000000000007</v>
      </c>
      <c r="AC439" s="282">
        <f t="shared" si="849"/>
        <v>-4.109</v>
      </c>
      <c r="AD439" s="282">
        <f t="shared" si="849"/>
        <v>-3.0799999999999996</v>
      </c>
      <c r="AE439" s="282">
        <f t="shared" si="849"/>
        <v>-4.5410000000000004</v>
      </c>
      <c r="AF439" s="282">
        <f t="shared" si="849"/>
        <v>1.7999999999999998</v>
      </c>
      <c r="AG439" s="282">
        <f t="shared" si="850"/>
        <v>1.8</v>
      </c>
      <c r="AH439" s="282">
        <f t="shared" si="850"/>
        <v>1.8</v>
      </c>
    </row>
    <row r="440" spans="1:34">
      <c r="C440" s="281" t="s">
        <v>442</v>
      </c>
      <c r="E440" s="282">
        <f t="shared" ref="E440:X440" si="854">E215+E303+E391</f>
        <v>-2.984</v>
      </c>
      <c r="F440" s="282">
        <f t="shared" si="854"/>
        <v>-0.39900000000000002</v>
      </c>
      <c r="G440" s="282">
        <f t="shared" si="854"/>
        <v>-0.23799999999999999</v>
      </c>
      <c r="H440" s="282">
        <f t="shared" si="854"/>
        <v>-3.6259999999999999</v>
      </c>
      <c r="I440" s="282">
        <f t="shared" si="854"/>
        <v>-4.3049999999999997</v>
      </c>
      <c r="J440" s="282">
        <f t="shared" si="854"/>
        <v>-4.4119999999999999</v>
      </c>
      <c r="K440" s="282">
        <f t="shared" si="854"/>
        <v>-4.0839999999999996</v>
      </c>
      <c r="L440" s="282">
        <f t="shared" si="854"/>
        <v>-6.5449999999999999</v>
      </c>
      <c r="M440" s="282">
        <f t="shared" si="854"/>
        <v>-3.8759999999999999</v>
      </c>
      <c r="N440" s="282">
        <f t="shared" si="854"/>
        <v>-12.475</v>
      </c>
      <c r="O440" s="282">
        <f t="shared" si="854"/>
        <v>-22.593</v>
      </c>
      <c r="P440" s="282">
        <f t="shared" si="854"/>
        <v>0</v>
      </c>
      <c r="Q440" s="282">
        <f t="shared" si="854"/>
        <v>0</v>
      </c>
      <c r="R440" s="282">
        <f t="shared" si="854"/>
        <v>0</v>
      </c>
      <c r="S440" s="282">
        <f t="shared" si="854"/>
        <v>0</v>
      </c>
      <c r="T440" s="282">
        <f t="shared" si="854"/>
        <v>0</v>
      </c>
      <c r="U440" s="282">
        <f t="shared" si="854"/>
        <v>0</v>
      </c>
      <c r="V440" s="282">
        <f t="shared" si="854"/>
        <v>0</v>
      </c>
      <c r="W440" s="282">
        <f t="shared" si="854"/>
        <v>0</v>
      </c>
      <c r="X440" s="282">
        <f t="shared" si="854"/>
        <v>0</v>
      </c>
      <c r="Y440" s="283"/>
      <c r="Z440" s="282">
        <f t="shared" si="848"/>
        <v>0</v>
      </c>
      <c r="AA440" s="282">
        <f t="shared" si="848"/>
        <v>0</v>
      </c>
      <c r="AB440" s="282">
        <f t="shared" si="849"/>
        <v>-7.2469999999999999</v>
      </c>
      <c r="AC440" s="282">
        <f t="shared" si="849"/>
        <v>-19.345999999999997</v>
      </c>
      <c r="AD440" s="282">
        <f t="shared" si="849"/>
        <v>-38.944000000000003</v>
      </c>
      <c r="AE440" s="282">
        <f t="shared" si="849"/>
        <v>0</v>
      </c>
      <c r="AF440" s="282">
        <f t="shared" si="849"/>
        <v>0</v>
      </c>
      <c r="AG440" s="282">
        <f t="shared" si="850"/>
        <v>0</v>
      </c>
      <c r="AH440" s="282">
        <f t="shared" si="850"/>
        <v>0</v>
      </c>
    </row>
    <row r="441" spans="1:34">
      <c r="C441" s="320" t="s">
        <v>436</v>
      </c>
      <c r="E441" s="382">
        <f t="shared" ref="E441:P441" si="855">SUM(E436:E440)</f>
        <v>54.290999999999997</v>
      </c>
      <c r="F441" s="382">
        <f t="shared" si="855"/>
        <v>55.817</v>
      </c>
      <c r="G441" s="382">
        <f t="shared" si="855"/>
        <v>53.282999999999994</v>
      </c>
      <c r="H441" s="382">
        <f t="shared" si="855"/>
        <v>57.358999999999995</v>
      </c>
      <c r="I441" s="382">
        <f t="shared" si="855"/>
        <v>57.372000000000014</v>
      </c>
      <c r="J441" s="382">
        <f t="shared" si="855"/>
        <v>58.328999999999994</v>
      </c>
      <c r="K441" s="382">
        <f t="shared" si="855"/>
        <v>61.784000000000006</v>
      </c>
      <c r="L441" s="382">
        <f t="shared" si="855"/>
        <v>68.413999999999987</v>
      </c>
      <c r="M441" s="382">
        <f t="shared" si="855"/>
        <v>62.423999999999999</v>
      </c>
      <c r="N441" s="382">
        <f t="shared" si="855"/>
        <v>61.945999999999991</v>
      </c>
      <c r="O441" s="382">
        <f t="shared" si="855"/>
        <v>66.747</v>
      </c>
      <c r="P441" s="382">
        <f t="shared" si="855"/>
        <v>80.043999999999983</v>
      </c>
      <c r="Q441" s="382">
        <f>SUM(Q436:Q440)</f>
        <v>70.15100000000001</v>
      </c>
      <c r="R441" s="382">
        <f>SUM(R436:R440)</f>
        <v>72.076999999999984</v>
      </c>
      <c r="S441" s="382">
        <f>SUM(S436:S440)</f>
        <v>69.246000000000009</v>
      </c>
      <c r="T441" s="382">
        <f>SUM(T436:T440)</f>
        <v>71.674999999999983</v>
      </c>
      <c r="U441" s="382">
        <f t="shared" ref="U441:X441" si="856">SUM(U436:U440)</f>
        <v>76.644999999999996</v>
      </c>
      <c r="V441" s="382">
        <f t="shared" si="856"/>
        <v>79.256407897787113</v>
      </c>
      <c r="W441" s="382">
        <f t="shared" si="856"/>
        <v>74.715887889664529</v>
      </c>
      <c r="X441" s="382">
        <f t="shared" si="856"/>
        <v>76.532704212548353</v>
      </c>
      <c r="Y441" s="283"/>
      <c r="Z441" s="382">
        <f t="shared" ref="Z441:AG441" si="857">SUM(Z436:Z440)</f>
        <v>308.28399999999999</v>
      </c>
      <c r="AA441" s="382">
        <f t="shared" si="857"/>
        <v>228.113</v>
      </c>
      <c r="AB441" s="382">
        <f t="shared" si="857"/>
        <v>220.75</v>
      </c>
      <c r="AC441" s="382">
        <f t="shared" si="857"/>
        <v>245.89900000000006</v>
      </c>
      <c r="AD441" s="382">
        <f t="shared" si="857"/>
        <v>271.16099999999994</v>
      </c>
      <c r="AE441" s="382">
        <f t="shared" si="857"/>
        <v>283.14899999999994</v>
      </c>
      <c r="AF441" s="382">
        <f t="shared" si="857"/>
        <v>307.15000000000003</v>
      </c>
      <c r="AG441" s="382">
        <f t="shared" si="857"/>
        <v>319.64999999999998</v>
      </c>
      <c r="AH441" s="382">
        <f t="shared" ref="AH441" si="858">SUM(AH436:AH440)</f>
        <v>338.65</v>
      </c>
    </row>
    <row r="442" spans="1:34">
      <c r="E442" s="282"/>
      <c r="F442" s="282"/>
      <c r="G442" s="282"/>
      <c r="H442" s="282"/>
      <c r="I442" s="282"/>
      <c r="J442" s="282"/>
      <c r="K442" s="282"/>
      <c r="L442" s="282"/>
      <c r="M442" s="282"/>
      <c r="N442" s="282"/>
      <c r="O442" s="282"/>
      <c r="P442" s="282"/>
      <c r="Q442" s="282"/>
      <c r="R442" s="282"/>
      <c r="S442" s="282"/>
      <c r="T442" s="282"/>
      <c r="U442" s="282"/>
      <c r="V442" s="282"/>
      <c r="W442" s="282"/>
      <c r="X442" s="282"/>
      <c r="Y442" s="283"/>
      <c r="Z442" s="282"/>
      <c r="AA442" s="282"/>
      <c r="AB442" s="282"/>
      <c r="AC442" s="282"/>
      <c r="AD442" s="282"/>
      <c r="AE442" s="282"/>
      <c r="AF442" s="282"/>
      <c r="AG442" s="282"/>
      <c r="AH442" s="282"/>
    </row>
    <row r="443" spans="1:34">
      <c r="C443" s="281" t="s">
        <v>429</v>
      </c>
      <c r="E443" s="282">
        <f t="shared" ref="E443:X443" si="859">E218+E306+E394</f>
        <v>0.95499999999999996</v>
      </c>
      <c r="F443" s="282">
        <f t="shared" si="859"/>
        <v>0.95299999999999996</v>
      </c>
      <c r="G443" s="282">
        <f t="shared" si="859"/>
        <v>0.95399999999999996</v>
      </c>
      <c r="H443" s="282">
        <f t="shared" si="859"/>
        <v>0.95399999999999996</v>
      </c>
      <c r="I443" s="282">
        <f t="shared" si="859"/>
        <v>0.86</v>
      </c>
      <c r="J443" s="282">
        <f t="shared" si="859"/>
        <v>0.86099999999999999</v>
      </c>
      <c r="K443" s="282">
        <f t="shared" si="859"/>
        <v>0.86</v>
      </c>
      <c r="L443" s="282">
        <f t="shared" si="859"/>
        <v>0.86</v>
      </c>
      <c r="M443" s="282">
        <f t="shared" si="859"/>
        <v>0.90200000000000002</v>
      </c>
      <c r="N443" s="282">
        <f t="shared" si="859"/>
        <v>0.90300000000000002</v>
      </c>
      <c r="O443" s="282">
        <f t="shared" si="859"/>
        <v>0.90200000000000002</v>
      </c>
      <c r="P443" s="282">
        <f t="shared" si="859"/>
        <v>1.0870000000000002</v>
      </c>
      <c r="Q443" s="282">
        <f t="shared" si="859"/>
        <v>1.1120000000000001</v>
      </c>
      <c r="R443" s="282">
        <f t="shared" si="859"/>
        <v>1.111</v>
      </c>
      <c r="S443" s="282">
        <f t="shared" si="859"/>
        <v>1.1120000000000001</v>
      </c>
      <c r="T443" s="282">
        <f t="shared" si="859"/>
        <v>1.111</v>
      </c>
      <c r="U443" s="282">
        <f t="shared" si="859"/>
        <v>0.98699999999999988</v>
      </c>
      <c r="V443" s="282">
        <f t="shared" si="859"/>
        <v>1.1373132703907685</v>
      </c>
      <c r="W443" s="282">
        <f t="shared" si="859"/>
        <v>1.1383734592184631</v>
      </c>
      <c r="X443" s="282">
        <f t="shared" si="859"/>
        <v>1.1373132703907685</v>
      </c>
      <c r="Y443" s="283"/>
      <c r="Z443" s="282">
        <f>Z218+Z306+Z394</f>
        <v>3.6799999999999997</v>
      </c>
      <c r="AA443" s="282">
        <f>AA218+AA306+AA394</f>
        <v>3.351</v>
      </c>
      <c r="AB443" s="282">
        <f t="shared" ref="AB443:AF446" si="860">SUMIF($E$5:$X$5,AB$5,$E443:$X443)</f>
        <v>3.8159999999999998</v>
      </c>
      <c r="AC443" s="282">
        <f t="shared" si="860"/>
        <v>3.4409999999999998</v>
      </c>
      <c r="AD443" s="282">
        <f t="shared" si="860"/>
        <v>3.7940000000000005</v>
      </c>
      <c r="AE443" s="282">
        <f t="shared" si="860"/>
        <v>4.4459999999999997</v>
      </c>
      <c r="AF443" s="282">
        <f t="shared" si="860"/>
        <v>4.3999999999999995</v>
      </c>
      <c r="AG443" s="282">
        <f>AG218+AG306+AG394</f>
        <v>4.4000000000000004</v>
      </c>
      <c r="AH443" s="282">
        <f>AH218+AH306+AH394</f>
        <v>4.4000000000000004</v>
      </c>
    </row>
    <row r="444" spans="1:34">
      <c r="C444" s="281" t="s">
        <v>314</v>
      </c>
      <c r="E444" s="282">
        <f t="shared" ref="E444:X444" si="861">E219+E307+E395+E425</f>
        <v>3.1159999999999997</v>
      </c>
      <c r="F444" s="282">
        <f t="shared" si="861"/>
        <v>3.5460000000000003</v>
      </c>
      <c r="G444" s="282">
        <f t="shared" si="861"/>
        <v>4.226</v>
      </c>
      <c r="H444" s="282">
        <f t="shared" si="861"/>
        <v>2.0139999999999998</v>
      </c>
      <c r="I444" s="282">
        <f t="shared" si="861"/>
        <v>2.2389999999999999</v>
      </c>
      <c r="J444" s="282">
        <f t="shared" si="861"/>
        <v>2.0590000000000002</v>
      </c>
      <c r="K444" s="282">
        <f t="shared" si="861"/>
        <v>1.8840000000000001</v>
      </c>
      <c r="L444" s="282">
        <f t="shared" si="861"/>
        <v>0.79899999999999993</v>
      </c>
      <c r="M444" s="282">
        <f t="shared" si="861"/>
        <v>1.121</v>
      </c>
      <c r="N444" s="282">
        <f t="shared" si="861"/>
        <v>0.314</v>
      </c>
      <c r="O444" s="282">
        <f t="shared" si="861"/>
        <v>0.79899999999999993</v>
      </c>
      <c r="P444" s="282">
        <f t="shared" si="861"/>
        <v>0.40599999999999997</v>
      </c>
      <c r="Q444" s="282">
        <f t="shared" si="861"/>
        <v>0.55800000000000005</v>
      </c>
      <c r="R444" s="282">
        <f t="shared" si="861"/>
        <v>1.75</v>
      </c>
      <c r="S444" s="282">
        <f t="shared" si="861"/>
        <v>2.9459999999999997</v>
      </c>
      <c r="T444" s="282">
        <f t="shared" si="861"/>
        <v>1.5629999999999999</v>
      </c>
      <c r="U444" s="282">
        <f t="shared" si="861"/>
        <v>0.88100000000000001</v>
      </c>
      <c r="V444" s="282">
        <f t="shared" si="861"/>
        <v>1.95155511217682</v>
      </c>
      <c r="W444" s="282">
        <f t="shared" si="861"/>
        <v>3.2241981827970054</v>
      </c>
      <c r="X444" s="282">
        <f t="shared" si="861"/>
        <v>1.8432467050261754</v>
      </c>
      <c r="Y444" s="283"/>
      <c r="Z444" s="282">
        <f t="shared" ref="Z444:AA446" si="862">Z219+Z307+Z395+Z425</f>
        <v>7.6690000000000005</v>
      </c>
      <c r="AA444" s="282">
        <f t="shared" si="862"/>
        <v>12.967999999999998</v>
      </c>
      <c r="AB444" s="282">
        <f t="shared" si="860"/>
        <v>12.901999999999999</v>
      </c>
      <c r="AC444" s="282">
        <f t="shared" si="860"/>
        <v>6.9809999999999999</v>
      </c>
      <c r="AD444" s="282">
        <f t="shared" si="860"/>
        <v>2.64</v>
      </c>
      <c r="AE444" s="282">
        <f t="shared" si="860"/>
        <v>6.8169999999999993</v>
      </c>
      <c r="AF444" s="282">
        <f t="shared" si="860"/>
        <v>7.9</v>
      </c>
      <c r="AG444" s="282">
        <f t="shared" ref="AG444:AH446" si="863">AG219+AG307+AG395+AG425</f>
        <v>7.9</v>
      </c>
      <c r="AH444" s="282">
        <f t="shared" si="863"/>
        <v>7.9</v>
      </c>
    </row>
    <row r="445" spans="1:34">
      <c r="C445" s="281" t="s">
        <v>430</v>
      </c>
      <c r="E445" s="282">
        <f t="shared" ref="E445:W445" si="864">E220+E308+E396+E426</f>
        <v>10.029</v>
      </c>
      <c r="F445" s="282">
        <f t="shared" si="864"/>
        <v>16.38</v>
      </c>
      <c r="G445" s="282">
        <f t="shared" si="864"/>
        <v>12.219000000000001</v>
      </c>
      <c r="H445" s="282">
        <f t="shared" si="864"/>
        <v>13.154999999999999</v>
      </c>
      <c r="I445" s="282">
        <f t="shared" si="864"/>
        <v>5.8790000000000004</v>
      </c>
      <c r="J445" s="282">
        <f t="shared" si="864"/>
        <v>9.9849999999999994</v>
      </c>
      <c r="K445" s="282">
        <f t="shared" si="864"/>
        <v>9.4939999999999998</v>
      </c>
      <c r="L445" s="282">
        <f t="shared" si="864"/>
        <v>13.805</v>
      </c>
      <c r="M445" s="282">
        <f t="shared" si="864"/>
        <v>5.5659999999999998</v>
      </c>
      <c r="N445" s="282">
        <f t="shared" si="864"/>
        <v>4.5</v>
      </c>
      <c r="O445" s="282">
        <f t="shared" si="864"/>
        <v>8.5470000000000006</v>
      </c>
      <c r="P445" s="282">
        <f t="shared" si="864"/>
        <v>17.675000000000001</v>
      </c>
      <c r="Q445" s="282">
        <f t="shared" si="864"/>
        <v>10.346</v>
      </c>
      <c r="R445" s="282">
        <f t="shared" si="864"/>
        <v>11.583</v>
      </c>
      <c r="S445" s="282">
        <f t="shared" si="864"/>
        <v>14.634</v>
      </c>
      <c r="T445" s="282">
        <f t="shared" si="864"/>
        <v>17.708000000000002</v>
      </c>
      <c r="U445" s="282">
        <f t="shared" si="864"/>
        <v>11.518000000000001</v>
      </c>
      <c r="V445" s="282">
        <f t="shared" si="864"/>
        <v>18.802820999843547</v>
      </c>
      <c r="W445" s="282">
        <f t="shared" si="864"/>
        <v>19.417106254507033</v>
      </c>
      <c r="X445" s="282">
        <f>X220+X308+X396+X426</f>
        <v>19.362072745649414</v>
      </c>
      <c r="Y445" s="283"/>
      <c r="Z445" s="282">
        <f t="shared" si="862"/>
        <v>90.715000000000003</v>
      </c>
      <c r="AA445" s="282">
        <f t="shared" si="862"/>
        <v>46.118000000000009</v>
      </c>
      <c r="AB445" s="282">
        <f t="shared" si="860"/>
        <v>51.783000000000001</v>
      </c>
      <c r="AC445" s="282">
        <f t="shared" si="860"/>
        <v>39.162999999999997</v>
      </c>
      <c r="AD445" s="282">
        <f t="shared" si="860"/>
        <v>36.287999999999997</v>
      </c>
      <c r="AE445" s="282">
        <f t="shared" si="860"/>
        <v>54.271000000000001</v>
      </c>
      <c r="AF445" s="282">
        <f t="shared" si="860"/>
        <v>69.099999999999994</v>
      </c>
      <c r="AG445" s="282">
        <f t="shared" si="863"/>
        <v>69.099999999999994</v>
      </c>
      <c r="AH445" s="282">
        <f t="shared" si="863"/>
        <v>69.099999999999994</v>
      </c>
    </row>
    <row r="446" spans="1:34">
      <c r="C446" s="281" t="s">
        <v>313</v>
      </c>
      <c r="E446" s="282">
        <f t="shared" ref="E446:X446" si="865">E221+E309+E397+E427</f>
        <v>7.7350000000000003</v>
      </c>
      <c r="F446" s="282">
        <f t="shared" si="865"/>
        <v>9.7870000000000008</v>
      </c>
      <c r="G446" s="282">
        <f t="shared" si="865"/>
        <v>10.327</v>
      </c>
      <c r="H446" s="282">
        <f t="shared" si="865"/>
        <v>8.6929999999999996</v>
      </c>
      <c r="I446" s="282">
        <f t="shared" si="865"/>
        <v>9.9589999999999996</v>
      </c>
      <c r="J446" s="282">
        <f t="shared" si="865"/>
        <v>8.9179999999999993</v>
      </c>
      <c r="K446" s="282">
        <f t="shared" si="865"/>
        <v>7.9779999999999998</v>
      </c>
      <c r="L446" s="282">
        <f t="shared" si="865"/>
        <v>8.9770000000000003</v>
      </c>
      <c r="M446" s="282">
        <f t="shared" si="865"/>
        <v>8.9390000000000001</v>
      </c>
      <c r="N446" s="282">
        <f t="shared" si="865"/>
        <v>6.9790000000000001</v>
      </c>
      <c r="O446" s="282">
        <f t="shared" si="865"/>
        <v>10.345000000000001</v>
      </c>
      <c r="P446" s="282">
        <f t="shared" si="865"/>
        <v>7.4960000000000004</v>
      </c>
      <c r="Q446" s="282">
        <f t="shared" si="865"/>
        <v>8.0069999999999997</v>
      </c>
      <c r="R446" s="282">
        <f t="shared" si="865"/>
        <v>11.103999999999999</v>
      </c>
      <c r="S446" s="282">
        <f t="shared" si="865"/>
        <v>8.8740000000000006</v>
      </c>
      <c r="T446" s="282">
        <f t="shared" si="865"/>
        <v>6.585</v>
      </c>
      <c r="U446" s="282">
        <f t="shared" si="865"/>
        <v>8.2940000000000005</v>
      </c>
      <c r="V446" s="282">
        <f t="shared" si="865"/>
        <v>12.417852802770769</v>
      </c>
      <c r="W446" s="282">
        <f t="shared" si="865"/>
        <v>9.9239936754131683</v>
      </c>
      <c r="X446" s="282">
        <f t="shared" si="865"/>
        <v>7.3641535218160596</v>
      </c>
      <c r="Y446" s="283"/>
      <c r="Z446" s="282">
        <f t="shared" si="862"/>
        <v>45.04</v>
      </c>
      <c r="AA446" s="282">
        <f t="shared" si="862"/>
        <v>35.610999999999997</v>
      </c>
      <c r="AB446" s="282">
        <f t="shared" si="860"/>
        <v>36.542000000000002</v>
      </c>
      <c r="AC446" s="282">
        <f t="shared" si="860"/>
        <v>35.831999999999994</v>
      </c>
      <c r="AD446" s="282">
        <f t="shared" si="860"/>
        <v>33.759</v>
      </c>
      <c r="AE446" s="282">
        <f t="shared" si="860"/>
        <v>34.57</v>
      </c>
      <c r="AF446" s="282">
        <f t="shared" si="860"/>
        <v>38</v>
      </c>
      <c r="AG446" s="282">
        <f t="shared" si="863"/>
        <v>38</v>
      </c>
      <c r="AH446" s="282">
        <f t="shared" si="863"/>
        <v>38</v>
      </c>
    </row>
    <row r="447" spans="1:34">
      <c r="C447" s="320" t="s">
        <v>437</v>
      </c>
      <c r="E447" s="382">
        <f t="shared" ref="E447:P447" si="866">SUM(E441:E446)</f>
        <v>76.125999999999991</v>
      </c>
      <c r="F447" s="382">
        <f t="shared" si="866"/>
        <v>86.483000000000004</v>
      </c>
      <c r="G447" s="382">
        <f t="shared" si="866"/>
        <v>81.008999999999986</v>
      </c>
      <c r="H447" s="382">
        <f t="shared" si="866"/>
        <v>82.174999999999997</v>
      </c>
      <c r="I447" s="382">
        <f t="shared" si="866"/>
        <v>76.309000000000012</v>
      </c>
      <c r="J447" s="382">
        <f t="shared" si="866"/>
        <v>80.151999999999987</v>
      </c>
      <c r="K447" s="382">
        <f t="shared" si="866"/>
        <v>82</v>
      </c>
      <c r="L447" s="382">
        <f t="shared" si="866"/>
        <v>92.85499999999999</v>
      </c>
      <c r="M447" s="382">
        <f t="shared" si="866"/>
        <v>78.951999999999998</v>
      </c>
      <c r="N447" s="382">
        <f t="shared" si="866"/>
        <v>74.641999999999982</v>
      </c>
      <c r="O447" s="382">
        <f t="shared" si="866"/>
        <v>87.34</v>
      </c>
      <c r="P447" s="382">
        <f t="shared" si="866"/>
        <v>106.70799999999998</v>
      </c>
      <c r="Q447" s="382">
        <f>SUM(Q441:Q446)</f>
        <v>90.174000000000021</v>
      </c>
      <c r="R447" s="382">
        <f>SUM(R441:R446)</f>
        <v>97.624999999999986</v>
      </c>
      <c r="S447" s="382">
        <f>SUM(S441:S446)</f>
        <v>96.811999999999998</v>
      </c>
      <c r="T447" s="382">
        <f>SUM(T441:T446)</f>
        <v>98.641999999999982</v>
      </c>
      <c r="U447" s="382">
        <f t="shared" ref="U447:X447" si="867">SUM(U441:U446)</f>
        <v>98.324999999999989</v>
      </c>
      <c r="V447" s="382">
        <f t="shared" si="867"/>
        <v>113.56595008296901</v>
      </c>
      <c r="W447" s="382">
        <f t="shared" si="867"/>
        <v>108.4195594616002</v>
      </c>
      <c r="X447" s="382">
        <f t="shared" si="867"/>
        <v>106.23949045543077</v>
      </c>
      <c r="Y447" s="283"/>
      <c r="Z447" s="382">
        <f t="shared" ref="Z447:AG447" si="868">SUM(Z441:Z446)</f>
        <v>455.38799999999998</v>
      </c>
      <c r="AA447" s="382">
        <f t="shared" si="868"/>
        <v>326.161</v>
      </c>
      <c r="AB447" s="382">
        <f t="shared" si="868"/>
        <v>325.79300000000001</v>
      </c>
      <c r="AC447" s="382">
        <f t="shared" si="868"/>
        <v>331.31600000000009</v>
      </c>
      <c r="AD447" s="382">
        <f t="shared" si="868"/>
        <v>347.64199999999994</v>
      </c>
      <c r="AE447" s="382">
        <f t="shared" si="868"/>
        <v>383.25299999999999</v>
      </c>
      <c r="AF447" s="382">
        <f t="shared" si="868"/>
        <v>426.54999999999995</v>
      </c>
      <c r="AG447" s="382">
        <f t="shared" si="868"/>
        <v>439.04999999999995</v>
      </c>
      <c r="AH447" s="382">
        <f t="shared" ref="AH447" si="869">SUM(AH441:AH446)</f>
        <v>458.04999999999995</v>
      </c>
    </row>
    <row r="448" spans="1:34">
      <c r="B448" s="283"/>
      <c r="C448" s="316"/>
      <c r="D448" s="486"/>
      <c r="E448" s="308"/>
      <c r="F448" s="308"/>
      <c r="G448" s="308"/>
      <c r="H448" s="308"/>
      <c r="I448" s="308"/>
      <c r="J448" s="308"/>
      <c r="K448" s="308"/>
      <c r="L448" s="308"/>
      <c r="M448" s="308"/>
      <c r="N448" s="308"/>
      <c r="O448" s="308"/>
      <c r="P448" s="308"/>
      <c r="Q448" s="308"/>
      <c r="Y448" s="283"/>
    </row>
    <row r="449" spans="1:34">
      <c r="C449" s="414" t="s">
        <v>431</v>
      </c>
      <c r="E449" s="282"/>
      <c r="F449" s="282"/>
      <c r="G449" s="282"/>
      <c r="H449" s="282"/>
      <c r="I449" s="282"/>
      <c r="J449" s="282"/>
      <c r="K449" s="282"/>
      <c r="L449" s="282"/>
      <c r="M449" s="282"/>
      <c r="N449" s="282"/>
      <c r="O449" s="282"/>
      <c r="P449" s="282"/>
      <c r="Q449" s="282"/>
      <c r="R449" s="282"/>
      <c r="S449" s="282"/>
      <c r="T449" s="282"/>
      <c r="U449" s="282"/>
      <c r="V449" s="282"/>
      <c r="W449" s="282"/>
      <c r="X449" s="282"/>
      <c r="Y449" s="283"/>
      <c r="Z449" s="282"/>
      <c r="AA449" s="282"/>
      <c r="AB449" s="282"/>
      <c r="AC449" s="282"/>
      <c r="AD449" s="282"/>
      <c r="AE449" s="282"/>
      <c r="AF449" s="282"/>
      <c r="AG449" s="282"/>
      <c r="AH449" s="282"/>
    </row>
    <row r="450" spans="1:34">
      <c r="C450" s="281" t="s">
        <v>444</v>
      </c>
      <c r="E450" s="282">
        <f t="shared" ref="E450:X450" si="870">E225+E313+E403</f>
        <v>0</v>
      </c>
      <c r="F450" s="282">
        <f t="shared" si="870"/>
        <v>0</v>
      </c>
      <c r="G450" s="282">
        <f t="shared" si="870"/>
        <v>0</v>
      </c>
      <c r="H450" s="282">
        <f t="shared" si="870"/>
        <v>0</v>
      </c>
      <c r="I450" s="282">
        <f t="shared" si="870"/>
        <v>0</v>
      </c>
      <c r="J450" s="282">
        <f t="shared" si="870"/>
        <v>0</v>
      </c>
      <c r="K450" s="282">
        <f t="shared" si="870"/>
        <v>0</v>
      </c>
      <c r="L450" s="282">
        <f t="shared" si="870"/>
        <v>0</v>
      </c>
      <c r="M450" s="282">
        <f t="shared" si="870"/>
        <v>0</v>
      </c>
      <c r="N450" s="282">
        <f t="shared" si="870"/>
        <v>0</v>
      </c>
      <c r="O450" s="282">
        <f t="shared" si="870"/>
        <v>0</v>
      </c>
      <c r="P450" s="282">
        <f t="shared" si="870"/>
        <v>0</v>
      </c>
      <c r="Q450" s="282">
        <f t="shared" si="870"/>
        <v>0</v>
      </c>
      <c r="R450" s="282">
        <f t="shared" si="870"/>
        <v>0</v>
      </c>
      <c r="S450" s="282">
        <f t="shared" si="870"/>
        <v>0</v>
      </c>
      <c r="T450" s="282">
        <f t="shared" si="870"/>
        <v>0</v>
      </c>
      <c r="U450" s="282">
        <f t="shared" si="870"/>
        <v>0</v>
      </c>
      <c r="V450" s="282">
        <f t="shared" si="870"/>
        <v>0</v>
      </c>
      <c r="W450" s="282">
        <f t="shared" si="870"/>
        <v>0</v>
      </c>
      <c r="X450" s="282">
        <f t="shared" si="870"/>
        <v>0</v>
      </c>
      <c r="Y450" s="283"/>
      <c r="Z450" s="282">
        <f>Z225+Z313+Z403</f>
        <v>0</v>
      </c>
      <c r="AA450" s="282">
        <f>AA225+AA313+AA403</f>
        <v>0</v>
      </c>
      <c r="AB450" s="282">
        <f t="shared" ref="AB450:AF453" si="871">SUMIF($E$5:$X$5,AB$5,$E450:$X450)</f>
        <v>0</v>
      </c>
      <c r="AC450" s="282">
        <f t="shared" si="871"/>
        <v>0</v>
      </c>
      <c r="AD450" s="282">
        <f t="shared" si="871"/>
        <v>0</v>
      </c>
      <c r="AE450" s="282">
        <f t="shared" si="871"/>
        <v>0</v>
      </c>
      <c r="AF450" s="282">
        <f t="shared" si="871"/>
        <v>0</v>
      </c>
      <c r="AG450" s="282">
        <f>AG225+AG313+AG403</f>
        <v>0</v>
      </c>
      <c r="AH450" s="282">
        <f>AH225+AH313+AH403</f>
        <v>0</v>
      </c>
    </row>
    <row r="451" spans="1:34">
      <c r="C451" s="281" t="s">
        <v>440</v>
      </c>
      <c r="E451" s="282">
        <f t="shared" ref="E451:X451" si="872">E226+E314+E402</f>
        <v>21.29</v>
      </c>
      <c r="F451" s="282">
        <f t="shared" si="872"/>
        <v>20.773</v>
      </c>
      <c r="G451" s="282">
        <f t="shared" si="872"/>
        <v>16.678999999999998</v>
      </c>
      <c r="H451" s="282">
        <f t="shared" si="872"/>
        <v>17.673999999999999</v>
      </c>
      <c r="I451" s="282">
        <f t="shared" si="872"/>
        <v>21.12</v>
      </c>
      <c r="J451" s="282">
        <f t="shared" si="872"/>
        <v>19.994999999999997</v>
      </c>
      <c r="K451" s="282">
        <f t="shared" si="872"/>
        <v>24.463000000000001</v>
      </c>
      <c r="L451" s="282">
        <f t="shared" si="872"/>
        <v>25.773</v>
      </c>
      <c r="M451" s="282">
        <f t="shared" si="872"/>
        <v>21.625999999999998</v>
      </c>
      <c r="N451" s="282">
        <f t="shared" si="872"/>
        <v>21.713999999999999</v>
      </c>
      <c r="O451" s="282">
        <f t="shared" si="872"/>
        <v>24.911999999999999</v>
      </c>
      <c r="P451" s="282">
        <f t="shared" si="872"/>
        <v>18.949000000000002</v>
      </c>
      <c r="Q451" s="282">
        <f t="shared" si="872"/>
        <v>20.995999999999999</v>
      </c>
      <c r="R451" s="282">
        <f t="shared" si="872"/>
        <v>20.437999999999999</v>
      </c>
      <c r="S451" s="282">
        <f t="shared" si="872"/>
        <v>14.864000000000001</v>
      </c>
      <c r="T451" s="282">
        <f t="shared" si="872"/>
        <v>15.712</v>
      </c>
      <c r="U451" s="282">
        <f t="shared" si="872"/>
        <v>18.582999999999998</v>
      </c>
      <c r="V451" s="282">
        <f t="shared" si="872"/>
        <v>19.036978986160658</v>
      </c>
      <c r="W451" s="282">
        <f t="shared" si="872"/>
        <v>13.845075626298664</v>
      </c>
      <c r="X451" s="282">
        <f t="shared" si="872"/>
        <v>14.634945387540675</v>
      </c>
      <c r="Y451" s="283"/>
      <c r="Z451" s="282">
        <f t="shared" ref="Z451:AA453" si="873">Z226+Z314+Z402</f>
        <v>99.905000000000001</v>
      </c>
      <c r="AA451" s="282">
        <f t="shared" si="873"/>
        <v>87.319000000000003</v>
      </c>
      <c r="AB451" s="282">
        <f t="shared" si="871"/>
        <v>76.415999999999997</v>
      </c>
      <c r="AC451" s="282">
        <f t="shared" si="871"/>
        <v>91.350999999999999</v>
      </c>
      <c r="AD451" s="282">
        <f t="shared" si="871"/>
        <v>87.200999999999993</v>
      </c>
      <c r="AE451" s="282">
        <f t="shared" si="871"/>
        <v>72.010000000000005</v>
      </c>
      <c r="AF451" s="282">
        <f t="shared" si="871"/>
        <v>66.099999999999994</v>
      </c>
      <c r="AG451" s="282">
        <f t="shared" ref="AG451:AH453" si="874">AG226+AG314+AG402</f>
        <v>69.599999999999994</v>
      </c>
      <c r="AH451" s="282">
        <f t="shared" si="874"/>
        <v>72.199999999999989</v>
      </c>
    </row>
    <row r="452" spans="1:34">
      <c r="C452" s="281" t="s">
        <v>439</v>
      </c>
      <c r="E452" s="282">
        <f t="shared" ref="E452:X452" si="875">E227+E315+E403</f>
        <v>32.142000000000003</v>
      </c>
      <c r="F452" s="282">
        <f t="shared" si="875"/>
        <v>27.492000000000001</v>
      </c>
      <c r="G452" s="282">
        <f t="shared" si="875"/>
        <v>20.673999999999999</v>
      </c>
      <c r="H452" s="282">
        <f t="shared" si="875"/>
        <v>22.788</v>
      </c>
      <c r="I452" s="282">
        <f t="shared" si="875"/>
        <v>23.285</v>
      </c>
      <c r="J452" s="282">
        <f t="shared" si="875"/>
        <v>22.221</v>
      </c>
      <c r="K452" s="282">
        <f t="shared" si="875"/>
        <v>22.452000000000002</v>
      </c>
      <c r="L452" s="282">
        <f t="shared" si="875"/>
        <v>23.478000000000002</v>
      </c>
      <c r="M452" s="282">
        <f t="shared" si="875"/>
        <v>16.026</v>
      </c>
      <c r="N452" s="282">
        <f t="shared" si="875"/>
        <v>19.913</v>
      </c>
      <c r="O452" s="282">
        <f t="shared" si="875"/>
        <v>23.771999999999998</v>
      </c>
      <c r="P452" s="282">
        <f t="shared" si="875"/>
        <v>23.975000000000001</v>
      </c>
      <c r="Q452" s="282">
        <f t="shared" si="875"/>
        <v>27.52</v>
      </c>
      <c r="R452" s="282">
        <f t="shared" si="875"/>
        <v>31.603000000000002</v>
      </c>
      <c r="S452" s="282">
        <f t="shared" si="875"/>
        <v>29.906000000000002</v>
      </c>
      <c r="T452" s="282">
        <f t="shared" si="875"/>
        <v>30.664999999999999</v>
      </c>
      <c r="U452" s="282">
        <f t="shared" si="875"/>
        <v>34.628</v>
      </c>
      <c r="V452" s="282">
        <f t="shared" si="875"/>
        <v>36.493683109777905</v>
      </c>
      <c r="W452" s="282">
        <f t="shared" si="875"/>
        <v>34.426402000533365</v>
      </c>
      <c r="X452" s="282">
        <f t="shared" si="875"/>
        <v>35.45191488968873</v>
      </c>
      <c r="Y452" s="283"/>
      <c r="Z452" s="282">
        <f t="shared" si="873"/>
        <v>92.276999999999987</v>
      </c>
      <c r="AA452" s="282">
        <f t="shared" si="873"/>
        <v>101.864</v>
      </c>
      <c r="AB452" s="282">
        <f t="shared" si="871"/>
        <v>103.09599999999999</v>
      </c>
      <c r="AC452" s="282">
        <f t="shared" si="871"/>
        <v>91.436000000000007</v>
      </c>
      <c r="AD452" s="282">
        <f t="shared" si="871"/>
        <v>83.686000000000007</v>
      </c>
      <c r="AE452" s="282">
        <f t="shared" si="871"/>
        <v>119.69400000000002</v>
      </c>
      <c r="AF452" s="282">
        <f t="shared" si="871"/>
        <v>141</v>
      </c>
      <c r="AG452" s="282">
        <f t="shared" si="874"/>
        <v>145.69999999999999</v>
      </c>
      <c r="AH452" s="282">
        <f t="shared" si="874"/>
        <v>149.80000000000001</v>
      </c>
    </row>
    <row r="453" spans="1:34">
      <c r="C453" s="281" t="s">
        <v>441</v>
      </c>
      <c r="E453" s="282">
        <f t="shared" ref="E453:X453" si="876">E228+E316+E404</f>
        <v>8.9740000000000002</v>
      </c>
      <c r="F453" s="282">
        <f t="shared" si="876"/>
        <v>9.0220000000000002</v>
      </c>
      <c r="G453" s="282">
        <f t="shared" si="876"/>
        <v>6.0410000000000004</v>
      </c>
      <c r="H453" s="282">
        <f t="shared" si="876"/>
        <v>6.4749999999999996</v>
      </c>
      <c r="I453" s="282">
        <f t="shared" si="876"/>
        <v>6.9169999999999998</v>
      </c>
      <c r="J453" s="282">
        <f t="shared" si="876"/>
        <v>6.1980000000000004</v>
      </c>
      <c r="K453" s="282">
        <f t="shared" si="876"/>
        <v>7.649</v>
      </c>
      <c r="L453" s="282">
        <f t="shared" si="876"/>
        <v>7.8250000000000002</v>
      </c>
      <c r="M453" s="282">
        <f t="shared" si="876"/>
        <v>6.9260000000000002</v>
      </c>
      <c r="N453" s="282">
        <f t="shared" si="876"/>
        <v>7.133</v>
      </c>
      <c r="O453" s="282">
        <f t="shared" si="876"/>
        <v>8.1489999999999991</v>
      </c>
      <c r="P453" s="282">
        <f t="shared" si="876"/>
        <v>14.405999999999999</v>
      </c>
      <c r="Q453" s="282">
        <f t="shared" si="876"/>
        <v>16.795000000000002</v>
      </c>
      <c r="R453" s="282">
        <f t="shared" si="876"/>
        <v>19.404</v>
      </c>
      <c r="S453" s="282">
        <f t="shared" si="876"/>
        <v>17.827999999999999</v>
      </c>
      <c r="T453" s="282">
        <f t="shared" si="876"/>
        <v>19.861000000000001</v>
      </c>
      <c r="U453" s="282">
        <f t="shared" si="876"/>
        <v>19.802</v>
      </c>
      <c r="V453" s="282">
        <f t="shared" si="876"/>
        <v>22.930749167971165</v>
      </c>
      <c r="W453" s="282">
        <f t="shared" si="876"/>
        <v>21.200557134798572</v>
      </c>
      <c r="X453" s="282">
        <f t="shared" si="876"/>
        <v>24.042693697230259</v>
      </c>
      <c r="Y453" s="283"/>
      <c r="Z453" s="282">
        <f t="shared" si="873"/>
        <v>62.988999999999997</v>
      </c>
      <c r="AA453" s="282">
        <f t="shared" si="873"/>
        <v>39.084000000000003</v>
      </c>
      <c r="AB453" s="282">
        <f t="shared" si="871"/>
        <v>30.512</v>
      </c>
      <c r="AC453" s="282">
        <f t="shared" si="871"/>
        <v>28.588999999999999</v>
      </c>
      <c r="AD453" s="282">
        <f t="shared" si="871"/>
        <v>36.613999999999997</v>
      </c>
      <c r="AE453" s="282">
        <f t="shared" si="871"/>
        <v>73.888000000000005</v>
      </c>
      <c r="AF453" s="282">
        <f t="shared" si="871"/>
        <v>87.975999999999999</v>
      </c>
      <c r="AG453" s="282">
        <f t="shared" si="874"/>
        <v>92.676000000000002</v>
      </c>
      <c r="AH453" s="282">
        <f t="shared" si="874"/>
        <v>96.77600000000001</v>
      </c>
    </row>
    <row r="454" spans="1:34">
      <c r="C454" s="320" t="s">
        <v>466</v>
      </c>
      <c r="E454" s="382">
        <f>SUM(E450:E453)</f>
        <v>62.406000000000006</v>
      </c>
      <c r="F454" s="382">
        <f t="shared" ref="F454:T454" si="877">SUM(F450:F453)</f>
        <v>57.286999999999999</v>
      </c>
      <c r="G454" s="382">
        <f t="shared" si="877"/>
        <v>43.393999999999991</v>
      </c>
      <c r="H454" s="382">
        <f t="shared" si="877"/>
        <v>46.937000000000005</v>
      </c>
      <c r="I454" s="382">
        <f t="shared" si="877"/>
        <v>51.322000000000003</v>
      </c>
      <c r="J454" s="382">
        <f t="shared" si="877"/>
        <v>48.413999999999994</v>
      </c>
      <c r="K454" s="382">
        <f t="shared" si="877"/>
        <v>54.564000000000007</v>
      </c>
      <c r="L454" s="382">
        <f t="shared" si="877"/>
        <v>57.076000000000008</v>
      </c>
      <c r="M454" s="382">
        <f t="shared" si="877"/>
        <v>44.578000000000003</v>
      </c>
      <c r="N454" s="382">
        <f t="shared" si="877"/>
        <v>48.76</v>
      </c>
      <c r="O454" s="382">
        <f t="shared" si="877"/>
        <v>56.832999999999998</v>
      </c>
      <c r="P454" s="382">
        <f t="shared" si="877"/>
        <v>57.330000000000005</v>
      </c>
      <c r="Q454" s="382">
        <f t="shared" si="877"/>
        <v>65.311000000000007</v>
      </c>
      <c r="R454" s="382">
        <f t="shared" si="877"/>
        <v>71.444999999999993</v>
      </c>
      <c r="S454" s="382">
        <f t="shared" si="877"/>
        <v>62.597999999999999</v>
      </c>
      <c r="T454" s="382">
        <f t="shared" si="877"/>
        <v>66.238</v>
      </c>
      <c r="U454" s="382">
        <f t="shared" ref="U454:X454" si="878">SUM(U450:U453)</f>
        <v>73.013000000000005</v>
      </c>
      <c r="V454" s="382">
        <f t="shared" si="878"/>
        <v>78.461411263909724</v>
      </c>
      <c r="W454" s="382">
        <f t="shared" si="878"/>
        <v>69.472034761630596</v>
      </c>
      <c r="X454" s="382">
        <f t="shared" si="878"/>
        <v>74.129553974459668</v>
      </c>
      <c r="Y454" s="283"/>
      <c r="Z454" s="382">
        <f t="shared" ref="Z454:AG454" si="879">SUM(Z450:Z453)</f>
        <v>255.17099999999999</v>
      </c>
      <c r="AA454" s="382">
        <f t="shared" si="879"/>
        <v>228.267</v>
      </c>
      <c r="AB454" s="382">
        <f t="shared" si="879"/>
        <v>210.024</v>
      </c>
      <c r="AC454" s="382">
        <f t="shared" si="879"/>
        <v>211.376</v>
      </c>
      <c r="AD454" s="382">
        <f t="shared" si="879"/>
        <v>207.501</v>
      </c>
      <c r="AE454" s="382">
        <f t="shared" si="879"/>
        <v>265.59199999999998</v>
      </c>
      <c r="AF454" s="382">
        <f t="shared" si="879"/>
        <v>295.07600000000002</v>
      </c>
      <c r="AG454" s="382">
        <f t="shared" si="879"/>
        <v>307.976</v>
      </c>
      <c r="AH454" s="382">
        <f t="shared" ref="AH454" si="880">SUM(AH450:AH453)</f>
        <v>318.77600000000001</v>
      </c>
    </row>
    <row r="455" spans="1:34">
      <c r="C455" s="320"/>
      <c r="E455" s="308"/>
      <c r="F455" s="308"/>
      <c r="G455" s="308"/>
      <c r="H455" s="308"/>
      <c r="I455" s="308"/>
      <c r="J455" s="308"/>
      <c r="K455" s="308"/>
      <c r="L455" s="308"/>
      <c r="M455" s="308"/>
      <c r="N455" s="308"/>
      <c r="O455" s="308"/>
      <c r="P455" s="308"/>
      <c r="Q455" s="308"/>
      <c r="R455" s="308"/>
      <c r="S455" s="308"/>
      <c r="T455" s="308"/>
      <c r="U455" s="308"/>
      <c r="V455" s="308"/>
      <c r="W455" s="308"/>
      <c r="X455" s="308"/>
      <c r="Y455" s="283"/>
      <c r="Z455" s="308"/>
      <c r="AA455" s="308"/>
      <c r="AB455" s="308"/>
      <c r="AC455" s="308"/>
      <c r="AD455" s="308"/>
      <c r="AE455" s="308"/>
      <c r="AF455" s="308"/>
      <c r="AG455" s="308"/>
      <c r="AH455" s="308"/>
    </row>
    <row r="456" spans="1:34" s="315" customFormat="1">
      <c r="A456" s="283"/>
      <c r="B456" s="472"/>
      <c r="C456" s="472" t="s">
        <v>433</v>
      </c>
      <c r="D456" s="494"/>
      <c r="E456" s="461">
        <f t="shared" ref="E456:AC456" si="881">E441-E454</f>
        <v>-8.1150000000000091</v>
      </c>
      <c r="F456" s="461">
        <f t="shared" si="881"/>
        <v>-1.4699999999999989</v>
      </c>
      <c r="G456" s="461">
        <f t="shared" si="881"/>
        <v>9.8890000000000029</v>
      </c>
      <c r="H456" s="461">
        <f t="shared" si="881"/>
        <v>10.42199999999999</v>
      </c>
      <c r="I456" s="461">
        <f t="shared" si="881"/>
        <v>6.0500000000000114</v>
      </c>
      <c r="J456" s="461">
        <f t="shared" si="881"/>
        <v>9.9149999999999991</v>
      </c>
      <c r="K456" s="461">
        <f t="shared" si="881"/>
        <v>7.2199999999999989</v>
      </c>
      <c r="L456" s="461">
        <f t="shared" si="881"/>
        <v>11.33799999999998</v>
      </c>
      <c r="M456" s="461">
        <f t="shared" si="881"/>
        <v>17.845999999999997</v>
      </c>
      <c r="N456" s="461">
        <f t="shared" si="881"/>
        <v>13.185999999999993</v>
      </c>
      <c r="O456" s="461">
        <f t="shared" si="881"/>
        <v>9.9140000000000015</v>
      </c>
      <c r="P456" s="461">
        <f t="shared" si="881"/>
        <v>22.713999999999977</v>
      </c>
      <c r="Q456" s="461">
        <f t="shared" si="881"/>
        <v>4.8400000000000034</v>
      </c>
      <c r="R456" s="461">
        <f t="shared" si="881"/>
        <v>0.63199999999999079</v>
      </c>
      <c r="S456" s="461">
        <f t="shared" si="881"/>
        <v>6.6480000000000103</v>
      </c>
      <c r="T456" s="461">
        <f t="shared" si="881"/>
        <v>5.4369999999999834</v>
      </c>
      <c r="U456" s="461">
        <f t="shared" ref="U456:X456" si="882">U441-U454</f>
        <v>3.6319999999999908</v>
      </c>
      <c r="V456" s="461">
        <f t="shared" si="882"/>
        <v>0.79499663387738906</v>
      </c>
      <c r="W456" s="461">
        <f t="shared" si="882"/>
        <v>5.2438531280339333</v>
      </c>
      <c r="X456" s="461">
        <f t="shared" si="882"/>
        <v>2.4031502380886849</v>
      </c>
      <c r="Y456" s="283"/>
      <c r="Z456" s="461">
        <f t="shared" si="881"/>
        <v>53.113</v>
      </c>
      <c r="AA456" s="461">
        <f t="shared" si="881"/>
        <v>-0.15399999999999636</v>
      </c>
      <c r="AB456" s="461">
        <f t="shared" si="881"/>
        <v>10.725999999999999</v>
      </c>
      <c r="AC456" s="461">
        <f t="shared" si="881"/>
        <v>34.523000000000053</v>
      </c>
      <c r="AD456" s="461">
        <f>AD441-AD454</f>
        <v>63.65999999999994</v>
      </c>
      <c r="AE456" s="461">
        <f>AE441-AE454</f>
        <v>17.55699999999996</v>
      </c>
      <c r="AF456" s="461">
        <f>AF441-AF454</f>
        <v>12.074000000000012</v>
      </c>
      <c r="AG456" s="461">
        <f>AG441-AG454</f>
        <v>11.673999999999978</v>
      </c>
      <c r="AH456" s="461">
        <f>AH441-AH454</f>
        <v>19.873999999999967</v>
      </c>
    </row>
    <row r="457" spans="1:34" s="315" customFormat="1">
      <c r="A457" s="283"/>
      <c r="B457" s="473"/>
      <c r="C457" s="473" t="s">
        <v>434</v>
      </c>
      <c r="D457" s="495"/>
      <c r="E457" s="469">
        <f t="shared" ref="E457:AC457" si="883">E447-E454</f>
        <v>13.719999999999985</v>
      </c>
      <c r="F457" s="469">
        <f t="shared" si="883"/>
        <v>29.196000000000005</v>
      </c>
      <c r="G457" s="469">
        <f t="shared" si="883"/>
        <v>37.614999999999995</v>
      </c>
      <c r="H457" s="469">
        <f t="shared" si="883"/>
        <v>35.237999999999992</v>
      </c>
      <c r="I457" s="469">
        <f t="shared" si="883"/>
        <v>24.987000000000009</v>
      </c>
      <c r="J457" s="469">
        <f t="shared" si="883"/>
        <v>31.737999999999992</v>
      </c>
      <c r="K457" s="469">
        <f t="shared" si="883"/>
        <v>27.435999999999993</v>
      </c>
      <c r="L457" s="469">
        <f t="shared" si="883"/>
        <v>35.778999999999982</v>
      </c>
      <c r="M457" s="469">
        <f t="shared" si="883"/>
        <v>34.373999999999995</v>
      </c>
      <c r="N457" s="469">
        <f t="shared" si="883"/>
        <v>25.881999999999984</v>
      </c>
      <c r="O457" s="469">
        <f t="shared" si="883"/>
        <v>30.507000000000005</v>
      </c>
      <c r="P457" s="469">
        <f t="shared" si="883"/>
        <v>49.377999999999979</v>
      </c>
      <c r="Q457" s="469">
        <f t="shared" si="883"/>
        <v>24.863000000000014</v>
      </c>
      <c r="R457" s="469">
        <f t="shared" si="883"/>
        <v>26.179999999999993</v>
      </c>
      <c r="S457" s="469">
        <f t="shared" si="883"/>
        <v>34.213999999999999</v>
      </c>
      <c r="T457" s="469">
        <f t="shared" si="883"/>
        <v>32.403999999999982</v>
      </c>
      <c r="U457" s="469">
        <f t="shared" ref="U457:X457" si="884">U447-U454</f>
        <v>25.311999999999983</v>
      </c>
      <c r="V457" s="469">
        <f t="shared" si="884"/>
        <v>35.104538819059286</v>
      </c>
      <c r="W457" s="469">
        <f t="shared" si="884"/>
        <v>38.947524699969605</v>
      </c>
      <c r="X457" s="469">
        <f t="shared" si="884"/>
        <v>32.109936480971101</v>
      </c>
      <c r="Y457" s="283"/>
      <c r="Z457" s="469">
        <f t="shared" si="883"/>
        <v>200.21699999999998</v>
      </c>
      <c r="AA457" s="469">
        <f t="shared" si="883"/>
        <v>97.894000000000005</v>
      </c>
      <c r="AB457" s="469">
        <f t="shared" si="883"/>
        <v>115.76900000000001</v>
      </c>
      <c r="AC457" s="469">
        <f t="shared" si="883"/>
        <v>119.94000000000008</v>
      </c>
      <c r="AD457" s="469">
        <f>AD447-AD454</f>
        <v>140.14099999999993</v>
      </c>
      <c r="AE457" s="469">
        <f>AE447-AE454</f>
        <v>117.661</v>
      </c>
      <c r="AF457" s="469">
        <f>AF447-AF454</f>
        <v>131.47399999999993</v>
      </c>
      <c r="AG457" s="469">
        <f>AG447-AG454</f>
        <v>131.07399999999996</v>
      </c>
      <c r="AH457" s="469">
        <f>AH447-AH454</f>
        <v>139.27399999999994</v>
      </c>
    </row>
    <row r="458" spans="1:34">
      <c r="E458" s="282"/>
      <c r="F458" s="282"/>
      <c r="G458" s="282"/>
      <c r="H458" s="282"/>
      <c r="I458" s="282"/>
      <c r="J458" s="282"/>
      <c r="K458" s="282"/>
      <c r="L458" s="282"/>
      <c r="M458" s="282"/>
      <c r="N458" s="282"/>
      <c r="O458" s="282"/>
      <c r="P458" s="282"/>
      <c r="Q458" s="282"/>
      <c r="R458" s="282"/>
      <c r="S458" s="422"/>
      <c r="T458" s="282"/>
      <c r="U458" s="282"/>
      <c r="V458" s="282"/>
      <c r="W458" s="282"/>
      <c r="X458" s="282"/>
      <c r="Y458" s="283"/>
      <c r="Z458" s="282"/>
      <c r="AA458" s="282"/>
      <c r="AB458" s="282"/>
      <c r="AC458" s="282"/>
      <c r="AD458" s="282"/>
      <c r="AE458" s="282"/>
      <c r="AF458" s="282"/>
      <c r="AG458" s="282"/>
      <c r="AH458" s="282"/>
    </row>
    <row r="459" spans="1:34" s="315" customFormat="1">
      <c r="A459" s="313"/>
      <c r="B459" s="588"/>
      <c r="C459" s="588" t="s">
        <v>435</v>
      </c>
      <c r="D459" s="589"/>
      <c r="E459" s="590">
        <f t="shared" ref="E459:O459" si="885">E174+E350</f>
        <v>2425.424</v>
      </c>
      <c r="F459" s="590">
        <f t="shared" si="885"/>
        <v>2559.4380000000001</v>
      </c>
      <c r="G459" s="590">
        <f t="shared" si="885"/>
        <v>2398.348</v>
      </c>
      <c r="H459" s="590">
        <f t="shared" si="885"/>
        <v>2606.8650000000002</v>
      </c>
      <c r="I459" s="590">
        <f t="shared" si="885"/>
        <v>2673.826</v>
      </c>
      <c r="J459" s="590">
        <f t="shared" si="885"/>
        <v>2836.0050000000001</v>
      </c>
      <c r="K459" s="590">
        <f t="shared" si="885"/>
        <v>3085.654</v>
      </c>
      <c r="L459" s="590">
        <f t="shared" si="885"/>
        <v>3163.5240000000003</v>
      </c>
      <c r="M459" s="590">
        <f t="shared" si="885"/>
        <v>3122.3319999999999</v>
      </c>
      <c r="N459" s="590">
        <f t="shared" si="885"/>
        <v>2912.761</v>
      </c>
      <c r="O459" s="590">
        <f t="shared" si="885"/>
        <v>2901.127</v>
      </c>
      <c r="P459" s="590">
        <f t="shared" ref="P459:X459" si="886">P174+P262+P350</f>
        <v>3343.4780000000005</v>
      </c>
      <c r="Q459" s="590">
        <f t="shared" si="886"/>
        <v>3448.7709999999997</v>
      </c>
      <c r="R459" s="590">
        <f t="shared" si="886"/>
        <v>3471.741</v>
      </c>
      <c r="S459" s="590">
        <f t="shared" si="886"/>
        <v>2669.0719999999997</v>
      </c>
      <c r="T459" s="590">
        <f t="shared" si="886"/>
        <v>3218.0360000000001</v>
      </c>
      <c r="U459" s="590">
        <f t="shared" si="886"/>
        <v>3317.6400000000003</v>
      </c>
      <c r="V459" s="590">
        <f t="shared" si="886"/>
        <v>3633.2181124796361</v>
      </c>
      <c r="W459" s="590">
        <f t="shared" si="886"/>
        <v>2841.1713846482007</v>
      </c>
      <c r="X459" s="590">
        <f t="shared" si="886"/>
        <v>3407.9705028721623</v>
      </c>
      <c r="Y459" s="283"/>
      <c r="Z459" s="590">
        <f>Z174+Z262+Z350</f>
        <v>17143.675999999999</v>
      </c>
      <c r="AA459" s="590">
        <f>AA174+AA262+AA350</f>
        <v>12448.277999999998</v>
      </c>
      <c r="AB459" s="590">
        <f>SUMIF($E$5:$T$5,AB$5,$E459:$T459)</f>
        <v>9990.0750000000007</v>
      </c>
      <c r="AC459" s="590">
        <f>SUMIF($E$5:$T$5,AC$5,$E459:$T459)</f>
        <v>11759.009000000002</v>
      </c>
      <c r="AD459" s="590">
        <f>SUMIF($E$5:$T$5,AD$5,$E459:$T459)</f>
        <v>12279.698</v>
      </c>
      <c r="AE459" s="590">
        <f>SUMIF($E$5:$T$5,AE$5,$E459:$T459)</f>
        <v>12807.619999999999</v>
      </c>
      <c r="AF459" s="590">
        <f>AF174+AF262+AF350</f>
        <v>13200</v>
      </c>
      <c r="AG459" s="590">
        <f>AG174+AG262+AG350</f>
        <v>13992.507648177478</v>
      </c>
      <c r="AH459" s="590">
        <f>AH174+AH262+AH350</f>
        <v>14792.079513787619</v>
      </c>
    </row>
    <row r="460" spans="1:34">
      <c r="B460" s="451"/>
      <c r="C460" s="470" t="s">
        <v>597</v>
      </c>
      <c r="D460" s="496"/>
      <c r="E460" s="449"/>
      <c r="F460" s="449"/>
      <c r="G460" s="449"/>
      <c r="H460" s="449"/>
      <c r="I460" s="449"/>
      <c r="J460" s="449"/>
      <c r="K460" s="449"/>
      <c r="L460" s="449"/>
      <c r="M460" s="449"/>
      <c r="N460" s="449"/>
      <c r="O460" s="449"/>
      <c r="P460" s="449"/>
      <c r="Q460" s="449"/>
      <c r="R460" s="449"/>
      <c r="S460" s="798"/>
      <c r="T460" s="449"/>
      <c r="U460" s="449"/>
      <c r="V460" s="449"/>
      <c r="W460" s="449"/>
      <c r="X460" s="449"/>
      <c r="Y460" s="283"/>
      <c r="Z460" s="449"/>
      <c r="AA460" s="449"/>
      <c r="AB460" s="449"/>
      <c r="AC460" s="449"/>
      <c r="AD460" s="449"/>
      <c r="AE460" s="449"/>
      <c r="AF460" s="449"/>
      <c r="AG460" s="449"/>
      <c r="AH460" s="449"/>
    </row>
    <row r="461" spans="1:34" s="398" customFormat="1">
      <c r="A461" s="283"/>
      <c r="B461" s="445"/>
      <c r="C461" s="514" t="s">
        <v>565</v>
      </c>
      <c r="D461" s="515" t="s">
        <v>588</v>
      </c>
      <c r="E461" s="446">
        <f t="shared" ref="E461:T461" si="887">E441/(E$459/10^3)</f>
        <v>22.384127476268066</v>
      </c>
      <c r="F461" s="446">
        <f t="shared" si="887"/>
        <v>21.808303229068255</v>
      </c>
      <c r="G461" s="446">
        <f t="shared" si="887"/>
        <v>22.21654238667616</v>
      </c>
      <c r="H461" s="446">
        <f t="shared" si="887"/>
        <v>22.003057312135454</v>
      </c>
      <c r="I461" s="446">
        <f t="shared" si="887"/>
        <v>21.456893604894265</v>
      </c>
      <c r="J461" s="446">
        <f t="shared" si="887"/>
        <v>20.567312116868621</v>
      </c>
      <c r="K461" s="446">
        <f t="shared" si="887"/>
        <v>20.022983782368343</v>
      </c>
      <c r="L461" s="446">
        <f t="shared" si="887"/>
        <v>21.625883034236498</v>
      </c>
      <c r="M461" s="446">
        <f t="shared" si="887"/>
        <v>19.992749009394263</v>
      </c>
      <c r="N461" s="446">
        <f t="shared" si="887"/>
        <v>21.267107050664297</v>
      </c>
      <c r="O461" s="446">
        <f t="shared" si="887"/>
        <v>23.007265797050596</v>
      </c>
      <c r="P461" s="446">
        <f t="shared" si="887"/>
        <v>23.940339969337309</v>
      </c>
      <c r="Q461" s="446">
        <f t="shared" si="887"/>
        <v>20.340869254583737</v>
      </c>
      <c r="R461" s="446">
        <f t="shared" si="887"/>
        <v>20.761053315901151</v>
      </c>
      <c r="S461" s="446">
        <f t="shared" si="887"/>
        <v>25.943848648519044</v>
      </c>
      <c r="T461" s="446">
        <f t="shared" si="887"/>
        <v>22.272901856908991</v>
      </c>
      <c r="U461" s="446">
        <f t="shared" ref="U461:X461" si="888">U441/(U$459/10^3)</f>
        <v>23.102265465813044</v>
      </c>
      <c r="V461" s="446">
        <f t="shared" si="888"/>
        <v>21.81438202830476</v>
      </c>
      <c r="W461" s="446">
        <f t="shared" si="888"/>
        <v>26.297564551501353</v>
      </c>
      <c r="X461" s="446">
        <f t="shared" si="888"/>
        <v>22.456973776048905</v>
      </c>
      <c r="Y461" s="283"/>
      <c r="Z461" s="446">
        <f t="shared" ref="Z461:AE461" si="889">Z441/(Z$459/10^3)</f>
        <v>17.982374375250675</v>
      </c>
      <c r="AA461" s="446">
        <f t="shared" si="889"/>
        <v>18.324863888804543</v>
      </c>
      <c r="AB461" s="446">
        <f t="shared" si="889"/>
        <v>22.096931204220187</v>
      </c>
      <c r="AC461" s="446">
        <f t="shared" si="889"/>
        <v>20.911541100104611</v>
      </c>
      <c r="AD461" s="446">
        <f t="shared" si="889"/>
        <v>22.082057718357564</v>
      </c>
      <c r="AE461" s="446">
        <f t="shared" si="889"/>
        <v>22.107854542842464</v>
      </c>
      <c r="AF461" s="446">
        <f>AF441/(AF$459/10^3)</f>
        <v>23.268939393939398</v>
      </c>
      <c r="AG461" s="446">
        <f>AG441/(AG$459/10^3)</f>
        <v>22.844368431818179</v>
      </c>
      <c r="AH461" s="446">
        <f>AH441/(AH$459/10^3)</f>
        <v>22.894008897420143</v>
      </c>
    </row>
    <row r="462" spans="1:34" s="398" customFormat="1">
      <c r="A462" s="283"/>
      <c r="B462" s="445"/>
      <c r="C462" s="514" t="s">
        <v>596</v>
      </c>
      <c r="D462" s="515" t="s">
        <v>588</v>
      </c>
      <c r="E462" s="446">
        <f t="shared" ref="E462:P462" si="890">E454/(E$459/10^3)</f>
        <v>25.729934230056273</v>
      </c>
      <c r="F462" s="446">
        <f t="shared" si="890"/>
        <v>22.382648065708175</v>
      </c>
      <c r="G462" s="446">
        <f t="shared" si="890"/>
        <v>18.093287546261006</v>
      </c>
      <c r="H462" s="446">
        <f t="shared" si="890"/>
        <v>18.005151781929634</v>
      </c>
      <c r="I462" s="446">
        <f t="shared" si="890"/>
        <v>19.194218322359049</v>
      </c>
      <c r="J462" s="446">
        <f t="shared" si="890"/>
        <v>17.071196983080071</v>
      </c>
      <c r="K462" s="446">
        <f t="shared" si="890"/>
        <v>17.683123253611718</v>
      </c>
      <c r="L462" s="446">
        <f t="shared" si="890"/>
        <v>18.041905166516834</v>
      </c>
      <c r="M462" s="446">
        <f t="shared" si="890"/>
        <v>14.277149258951324</v>
      </c>
      <c r="N462" s="446">
        <f t="shared" si="890"/>
        <v>16.74013075566447</v>
      </c>
      <c r="O462" s="446">
        <f t="shared" si="890"/>
        <v>19.589973138025329</v>
      </c>
      <c r="P462" s="446">
        <f t="shared" si="890"/>
        <v>17.146815382066219</v>
      </c>
      <c r="Q462" s="446">
        <f>Q454/(Q$459/10^3)</f>
        <v>18.937470768572343</v>
      </c>
      <c r="R462" s="446">
        <f>R454/(R$459/10^3)</f>
        <v>20.579012086443083</v>
      </c>
      <c r="S462" s="446">
        <f>S454/(S$459/10^3)</f>
        <v>23.453095308032161</v>
      </c>
      <c r="T462" s="446">
        <f>T454/(T$459/10^3)</f>
        <v>20.583362025782183</v>
      </c>
      <c r="U462" s="446">
        <f t="shared" ref="U462:X462" si="891">U454/(U$459/10^3)</f>
        <v>22.007511363499354</v>
      </c>
      <c r="V462" s="446">
        <f t="shared" si="891"/>
        <v>21.595568676266609</v>
      </c>
      <c r="W462" s="446">
        <f t="shared" si="891"/>
        <v>24.451898655959734</v>
      </c>
      <c r="X462" s="446">
        <f t="shared" si="891"/>
        <v>21.751817954992543</v>
      </c>
      <c r="Y462" s="283"/>
      <c r="Z462" s="446">
        <f t="shared" ref="Z462:AG462" si="892">Z454/(Z$459/10^3)</f>
        <v>14.884264028321581</v>
      </c>
      <c r="AA462" s="446">
        <f t="shared" si="892"/>
        <v>18.337235077815585</v>
      </c>
      <c r="AB462" s="446">
        <f t="shared" si="892"/>
        <v>21.023265591099165</v>
      </c>
      <c r="AC462" s="446">
        <f t="shared" si="892"/>
        <v>17.975664445872944</v>
      </c>
      <c r="AD462" s="446">
        <f t="shared" si="892"/>
        <v>16.897891137062167</v>
      </c>
      <c r="AE462" s="446">
        <f t="shared" si="892"/>
        <v>20.737029986835964</v>
      </c>
      <c r="AF462" s="446">
        <f t="shared" si="892"/>
        <v>22.354242424242425</v>
      </c>
      <c r="AG462" s="446">
        <f t="shared" si="892"/>
        <v>22.010064796363633</v>
      </c>
      <c r="AH462" s="446">
        <f t="shared" ref="AH462" si="893">AH454/(AH$459/10^3)</f>
        <v>21.55045203095823</v>
      </c>
    </row>
    <row r="463" spans="1:34" s="398" customFormat="1">
      <c r="A463" s="283"/>
      <c r="B463" s="445"/>
      <c r="C463" s="532" t="s">
        <v>433</v>
      </c>
      <c r="D463" s="515" t="s">
        <v>588</v>
      </c>
      <c r="E463" s="444">
        <f t="shared" ref="E463:AG463" si="894">E461-E462</f>
        <v>-3.3458067537882066</v>
      </c>
      <c r="F463" s="444">
        <f t="shared" si="894"/>
        <v>-0.57434483663991998</v>
      </c>
      <c r="G463" s="444">
        <f t="shared" si="894"/>
        <v>4.1232548404151537</v>
      </c>
      <c r="H463" s="444">
        <f t="shared" si="894"/>
        <v>3.99790553020582</v>
      </c>
      <c r="I463" s="444">
        <f t="shared" si="894"/>
        <v>2.2626752825352163</v>
      </c>
      <c r="J463" s="444">
        <f t="shared" si="894"/>
        <v>3.4961151337885497</v>
      </c>
      <c r="K463" s="444">
        <f t="shared" si="894"/>
        <v>2.3398605287566241</v>
      </c>
      <c r="L463" s="444">
        <f t="shared" si="894"/>
        <v>3.5839778677196641</v>
      </c>
      <c r="M463" s="444">
        <f t="shared" si="894"/>
        <v>5.715599750442939</v>
      </c>
      <c r="N463" s="444">
        <f t="shared" si="894"/>
        <v>4.5269762949998267</v>
      </c>
      <c r="O463" s="444">
        <f t="shared" si="894"/>
        <v>3.4172926590252679</v>
      </c>
      <c r="P463" s="444">
        <f t="shared" si="894"/>
        <v>6.7935245872710901</v>
      </c>
      <c r="Q463" s="444">
        <f t="shared" si="894"/>
        <v>1.4033984860113939</v>
      </c>
      <c r="R463" s="444">
        <f t="shared" si="894"/>
        <v>0.18204122945806844</v>
      </c>
      <c r="S463" s="444">
        <f t="shared" si="894"/>
        <v>2.4907533404868829</v>
      </c>
      <c r="T463" s="444">
        <f t="shared" si="894"/>
        <v>1.6895398311268082</v>
      </c>
      <c r="U463" s="444">
        <f t="shared" ref="U463:X463" si="895">U461-U462</f>
        <v>1.09475410231369</v>
      </c>
      <c r="V463" s="444">
        <f t="shared" si="895"/>
        <v>0.21881335203815055</v>
      </c>
      <c r="W463" s="444">
        <f t="shared" si="895"/>
        <v>1.8456658955416181</v>
      </c>
      <c r="X463" s="444">
        <f t="shared" si="895"/>
        <v>0.70515582105636199</v>
      </c>
      <c r="Y463" s="283"/>
      <c r="Z463" s="444">
        <f t="shared" si="894"/>
        <v>3.0981103469290936</v>
      </c>
      <c r="AA463" s="444">
        <f t="shared" si="894"/>
        <v>-1.2371189011041395E-2</v>
      </c>
      <c r="AB463" s="444">
        <f t="shared" si="894"/>
        <v>1.0736656131210225</v>
      </c>
      <c r="AC463" s="444">
        <f t="shared" si="894"/>
        <v>2.9358766542316665</v>
      </c>
      <c r="AD463" s="444">
        <f t="shared" si="894"/>
        <v>5.184166581295397</v>
      </c>
      <c r="AE463" s="444">
        <f t="shared" si="894"/>
        <v>1.3708245560065002</v>
      </c>
      <c r="AF463" s="444">
        <f t="shared" si="894"/>
        <v>0.91469696969697267</v>
      </c>
      <c r="AG463" s="444">
        <f t="shared" si="894"/>
        <v>0.83430363545454611</v>
      </c>
      <c r="AH463" s="444">
        <f t="shared" ref="AH463" si="896">AH461-AH462</f>
        <v>1.3435568664619133</v>
      </c>
    </row>
    <row r="464" spans="1:34" s="398" customFormat="1">
      <c r="A464" s="283"/>
      <c r="B464" s="445"/>
      <c r="C464" s="533"/>
      <c r="D464" s="515"/>
      <c r="E464" s="448"/>
      <c r="F464" s="448"/>
      <c r="G464" s="448"/>
      <c r="H464" s="448"/>
      <c r="I464" s="448"/>
      <c r="J464" s="448"/>
      <c r="K464" s="448"/>
      <c r="L464" s="448"/>
      <c r="M464" s="448"/>
      <c r="N464" s="448"/>
      <c r="O464" s="448"/>
      <c r="P464" s="448"/>
      <c r="Q464" s="448"/>
      <c r="R464" s="448"/>
      <c r="S464" s="446"/>
      <c r="T464" s="448"/>
      <c r="U464" s="448"/>
      <c r="V464" s="448"/>
      <c r="W464" s="448"/>
      <c r="X464" s="448"/>
      <c r="Y464" s="283"/>
      <c r="Z464" s="448"/>
      <c r="AA464" s="448"/>
      <c r="AB464" s="448"/>
      <c r="AC464" s="448"/>
      <c r="AD464" s="448"/>
      <c r="AE464" s="448"/>
      <c r="AF464" s="448"/>
      <c r="AG464" s="448"/>
      <c r="AH464" s="448"/>
    </row>
    <row r="465" spans="1:34" s="398" customFormat="1">
      <c r="A465" s="283"/>
      <c r="B465" s="445"/>
      <c r="C465" s="514" t="s">
        <v>566</v>
      </c>
      <c r="D465" s="515" t="s">
        <v>588</v>
      </c>
      <c r="E465" s="446">
        <f t="shared" ref="E465:T465" si="897">E447/(E$459/10^3)</f>
        <v>31.386677133565097</v>
      </c>
      <c r="F465" s="446">
        <f t="shared" si="897"/>
        <v>33.78983980076876</v>
      </c>
      <c r="G465" s="446">
        <f t="shared" si="897"/>
        <v>33.77699983488634</v>
      </c>
      <c r="H465" s="446">
        <f t="shared" si="897"/>
        <v>31.522537607432675</v>
      </c>
      <c r="I465" s="446">
        <f t="shared" si="897"/>
        <v>28.539254237186718</v>
      </c>
      <c r="J465" s="446">
        <f t="shared" si="897"/>
        <v>28.262291498075633</v>
      </c>
      <c r="K465" s="446">
        <f t="shared" si="897"/>
        <v>26.574593262886896</v>
      </c>
      <c r="L465" s="446">
        <f t="shared" si="897"/>
        <v>29.35176088438083</v>
      </c>
      <c r="M465" s="446">
        <f t="shared" si="897"/>
        <v>25.286228370333458</v>
      </c>
      <c r="N465" s="446">
        <f t="shared" si="897"/>
        <v>25.625858077610893</v>
      </c>
      <c r="O465" s="446">
        <f t="shared" si="897"/>
        <v>30.105541742915772</v>
      </c>
      <c r="P465" s="446">
        <f t="shared" si="897"/>
        <v>31.915269070112011</v>
      </c>
      <c r="Q465" s="446">
        <f t="shared" si="897"/>
        <v>26.146705594543686</v>
      </c>
      <c r="R465" s="446">
        <f t="shared" si="897"/>
        <v>28.119897192791736</v>
      </c>
      <c r="S465" s="446">
        <f t="shared" si="897"/>
        <v>36.27178285186762</v>
      </c>
      <c r="T465" s="446">
        <f t="shared" si="897"/>
        <v>30.652857830055343</v>
      </c>
      <c r="U465" s="446">
        <f t="shared" ref="U465:X465" si="898">U447/(U$459/10^3)</f>
        <v>29.637031142619445</v>
      </c>
      <c r="V465" s="446">
        <f t="shared" si="898"/>
        <v>31.257674757506191</v>
      </c>
      <c r="W465" s="446">
        <f t="shared" si="898"/>
        <v>38.160161702116021</v>
      </c>
      <c r="X465" s="446">
        <f t="shared" si="898"/>
        <v>31.173829223549461</v>
      </c>
      <c r="Y465" s="283"/>
      <c r="Z465" s="446">
        <f t="shared" ref="Z465:AE465" si="899">Z447/(Z$459/10^3)</f>
        <v>26.563031172544324</v>
      </c>
      <c r="AA465" s="446">
        <f t="shared" si="899"/>
        <v>26.201294669029728</v>
      </c>
      <c r="AB465" s="446">
        <f t="shared" si="899"/>
        <v>32.611667079576478</v>
      </c>
      <c r="AC465" s="446">
        <f t="shared" si="899"/>
        <v>28.175503564968785</v>
      </c>
      <c r="AD465" s="446">
        <f t="shared" si="899"/>
        <v>28.310305351157655</v>
      </c>
      <c r="AE465" s="446">
        <f t="shared" si="899"/>
        <v>29.923826596978991</v>
      </c>
      <c r="AF465" s="446">
        <f>AF447/(AF$459/10^3)</f>
        <v>32.314393939393938</v>
      </c>
      <c r="AG465" s="446">
        <f>AG447/(AG$459/10^3)</f>
        <v>31.377506522727266</v>
      </c>
      <c r="AH465" s="446">
        <f>AH447/(AH$459/10^3)</f>
        <v>30.965896280712524</v>
      </c>
    </row>
    <row r="466" spans="1:34" s="398" customFormat="1">
      <c r="A466" s="283"/>
      <c r="B466" s="445"/>
      <c r="C466" s="514" t="s">
        <v>596</v>
      </c>
      <c r="D466" s="515" t="s">
        <v>588</v>
      </c>
      <c r="E466" s="446">
        <f t="shared" ref="E466:P466" si="900">E454/(E$459/10^3)</f>
        <v>25.729934230056273</v>
      </c>
      <c r="F466" s="446">
        <f t="shared" si="900"/>
        <v>22.382648065708175</v>
      </c>
      <c r="G466" s="446">
        <f t="shared" si="900"/>
        <v>18.093287546261006</v>
      </c>
      <c r="H466" s="446">
        <f t="shared" si="900"/>
        <v>18.005151781929634</v>
      </c>
      <c r="I466" s="446">
        <f t="shared" si="900"/>
        <v>19.194218322359049</v>
      </c>
      <c r="J466" s="446">
        <f t="shared" si="900"/>
        <v>17.071196983080071</v>
      </c>
      <c r="K466" s="446">
        <f t="shared" si="900"/>
        <v>17.683123253611718</v>
      </c>
      <c r="L466" s="446">
        <f t="shared" si="900"/>
        <v>18.041905166516834</v>
      </c>
      <c r="M466" s="446">
        <f t="shared" si="900"/>
        <v>14.277149258951324</v>
      </c>
      <c r="N466" s="446">
        <f t="shared" si="900"/>
        <v>16.74013075566447</v>
      </c>
      <c r="O466" s="446">
        <f t="shared" si="900"/>
        <v>19.589973138025329</v>
      </c>
      <c r="P466" s="446">
        <f t="shared" si="900"/>
        <v>17.146815382066219</v>
      </c>
      <c r="Q466" s="446">
        <f>Q454/(Q$459/10^3)</f>
        <v>18.937470768572343</v>
      </c>
      <c r="R466" s="446">
        <f>R454/(R$459/10^3)</f>
        <v>20.579012086443083</v>
      </c>
      <c r="S466" s="446">
        <f>S454/(S$459/10^3)</f>
        <v>23.453095308032161</v>
      </c>
      <c r="T466" s="446">
        <f>T454/(T$459/10^3)</f>
        <v>20.583362025782183</v>
      </c>
      <c r="U466" s="446">
        <f t="shared" ref="U466:X466" si="901">U454/(U$459/10^3)</f>
        <v>22.007511363499354</v>
      </c>
      <c r="V466" s="446">
        <f t="shared" si="901"/>
        <v>21.595568676266609</v>
      </c>
      <c r="W466" s="446">
        <f t="shared" si="901"/>
        <v>24.451898655959734</v>
      </c>
      <c r="X466" s="446">
        <f t="shared" si="901"/>
        <v>21.751817954992543</v>
      </c>
      <c r="Y466" s="283"/>
      <c r="Z466" s="446">
        <f t="shared" ref="Z466:AG466" si="902">Z454/(Z$459/10^3)</f>
        <v>14.884264028321581</v>
      </c>
      <c r="AA466" s="446">
        <f t="shared" si="902"/>
        <v>18.337235077815585</v>
      </c>
      <c r="AB466" s="446">
        <f t="shared" si="902"/>
        <v>21.023265591099165</v>
      </c>
      <c r="AC466" s="446">
        <f t="shared" si="902"/>
        <v>17.975664445872944</v>
      </c>
      <c r="AD466" s="446">
        <f t="shared" si="902"/>
        <v>16.897891137062167</v>
      </c>
      <c r="AE466" s="446">
        <f t="shared" si="902"/>
        <v>20.737029986835964</v>
      </c>
      <c r="AF466" s="446">
        <f t="shared" si="902"/>
        <v>22.354242424242425</v>
      </c>
      <c r="AG466" s="446">
        <f t="shared" si="902"/>
        <v>22.010064796363633</v>
      </c>
      <c r="AH466" s="446">
        <f t="shared" ref="AH466" si="903">AH454/(AH$459/10^3)</f>
        <v>21.55045203095823</v>
      </c>
    </row>
    <row r="467" spans="1:34" s="398" customFormat="1">
      <c r="A467" s="283"/>
      <c r="B467" s="445"/>
      <c r="C467" s="532" t="s">
        <v>434</v>
      </c>
      <c r="D467" s="515" t="s">
        <v>588</v>
      </c>
      <c r="E467" s="444">
        <f t="shared" ref="E467:AG467" si="904">E465-E466</f>
        <v>5.6567429035088246</v>
      </c>
      <c r="F467" s="444">
        <f t="shared" si="904"/>
        <v>11.407191735060586</v>
      </c>
      <c r="G467" s="444">
        <f t="shared" si="904"/>
        <v>15.683712288625333</v>
      </c>
      <c r="H467" s="444">
        <f t="shared" si="904"/>
        <v>13.517385825503041</v>
      </c>
      <c r="I467" s="444">
        <f t="shared" si="904"/>
        <v>9.3450359148276689</v>
      </c>
      <c r="J467" s="444">
        <f t="shared" si="904"/>
        <v>11.191094514995562</v>
      </c>
      <c r="K467" s="444">
        <f t="shared" si="904"/>
        <v>8.8914700092751779</v>
      </c>
      <c r="L467" s="444">
        <f t="shared" si="904"/>
        <v>11.309855717863996</v>
      </c>
      <c r="M467" s="444">
        <f t="shared" si="904"/>
        <v>11.009079111382134</v>
      </c>
      <c r="N467" s="444">
        <f t="shared" si="904"/>
        <v>8.8857273219464226</v>
      </c>
      <c r="O467" s="444">
        <f t="shared" si="904"/>
        <v>10.515568604890444</v>
      </c>
      <c r="P467" s="444">
        <f t="shared" si="904"/>
        <v>14.768453688045792</v>
      </c>
      <c r="Q467" s="444">
        <f t="shared" si="904"/>
        <v>7.2092348259713432</v>
      </c>
      <c r="R467" s="444">
        <f t="shared" si="904"/>
        <v>7.5408851063486537</v>
      </c>
      <c r="S467" s="444">
        <f t="shared" si="904"/>
        <v>12.818687543835459</v>
      </c>
      <c r="T467" s="444">
        <f t="shared" si="904"/>
        <v>10.06949580427316</v>
      </c>
      <c r="U467" s="444">
        <f t="shared" ref="U467:X467" si="905">U465-U466</f>
        <v>7.6295197791200913</v>
      </c>
      <c r="V467" s="444">
        <f t="shared" si="905"/>
        <v>9.6621060812395818</v>
      </c>
      <c r="W467" s="444">
        <f t="shared" si="905"/>
        <v>13.708263046156286</v>
      </c>
      <c r="X467" s="444">
        <f t="shared" si="905"/>
        <v>9.4220112685569184</v>
      </c>
      <c r="Y467" s="283"/>
      <c r="Z467" s="444">
        <f t="shared" si="904"/>
        <v>11.678767144222743</v>
      </c>
      <c r="AA467" s="444">
        <f t="shared" si="904"/>
        <v>7.8640595912141436</v>
      </c>
      <c r="AB467" s="444">
        <f t="shared" si="904"/>
        <v>11.588401488477313</v>
      </c>
      <c r="AC467" s="444">
        <f t="shared" si="904"/>
        <v>10.199839119095842</v>
      </c>
      <c r="AD467" s="444">
        <f t="shared" si="904"/>
        <v>11.412414214095488</v>
      </c>
      <c r="AE467" s="444">
        <f t="shared" si="904"/>
        <v>9.186796610143027</v>
      </c>
      <c r="AF467" s="444">
        <f t="shared" si="904"/>
        <v>9.9601515151515123</v>
      </c>
      <c r="AG467" s="444">
        <f t="shared" si="904"/>
        <v>9.3674417263636336</v>
      </c>
      <c r="AH467" s="444">
        <f t="shared" ref="AH467" si="906">AH465-AH466</f>
        <v>9.4154442497542945</v>
      </c>
    </row>
    <row r="468" spans="1:34">
      <c r="E468" s="411"/>
      <c r="F468" s="411"/>
      <c r="G468" s="411"/>
      <c r="H468" s="411"/>
      <c r="I468" s="411"/>
      <c r="J468" s="411"/>
      <c r="K468" s="411"/>
      <c r="L468" s="411"/>
      <c r="M468" s="411"/>
      <c r="N468" s="411"/>
      <c r="O468" s="411"/>
      <c r="P468" s="411"/>
      <c r="Q468" s="411"/>
      <c r="Y468" s="283"/>
      <c r="Z468" s="411"/>
      <c r="AA468" s="411"/>
      <c r="AB468" s="411"/>
      <c r="AC468" s="411"/>
      <c r="AD468" s="411"/>
      <c r="AE468" s="411"/>
    </row>
    <row r="469" spans="1:34" s="307" customFormat="1">
      <c r="A469" s="283"/>
      <c r="B469" s="507"/>
      <c r="C469" s="507" t="s">
        <v>704</v>
      </c>
      <c r="D469" s="508"/>
      <c r="E469" s="596">
        <f>+E$1-E467</f>
        <v>11.184092033167115</v>
      </c>
      <c r="F469" s="596">
        <f t="shared" ref="F469:T469" si="907">+F$1-F467</f>
        <v>5.2000188845644892</v>
      </c>
      <c r="G469" s="596">
        <f t="shared" si="907"/>
        <v>-0.99979378516499473</v>
      </c>
      <c r="H469" s="596">
        <f t="shared" si="907"/>
        <v>1.0591437192508</v>
      </c>
      <c r="I469" s="596">
        <f t="shared" si="907"/>
        <v>6.3570678551471715</v>
      </c>
      <c r="J469" s="596">
        <f t="shared" si="907"/>
        <v>3.8168481424083911</v>
      </c>
      <c r="K469" s="596">
        <f t="shared" si="907"/>
        <v>9.2874898199174858</v>
      </c>
      <c r="L469" s="596">
        <f t="shared" si="907"/>
        <v>6.1552037855684816</v>
      </c>
      <c r="M469" s="596">
        <f t="shared" si="907"/>
        <v>3.5408535063045665</v>
      </c>
      <c r="N469" s="596">
        <f t="shared" si="907"/>
        <v>9.5563919987686532</v>
      </c>
      <c r="O469" s="596">
        <f t="shared" si="907"/>
        <v>14.804668010502777</v>
      </c>
      <c r="P469" s="596">
        <f t="shared" si="907"/>
        <v>10.391477537654715</v>
      </c>
      <c r="Q469" s="596">
        <f t="shared" si="907"/>
        <v>18.453919768462704</v>
      </c>
      <c r="R469" s="596">
        <f t="shared" si="907"/>
        <v>19.619407023798228</v>
      </c>
      <c r="S469" s="596">
        <f t="shared" si="907"/>
        <v>11.153981521776601</v>
      </c>
      <c r="T469" s="596">
        <f t="shared" si="907"/>
        <v>13.421051160132517</v>
      </c>
      <c r="U469" s="596">
        <f t="shared" ref="U469:X469" si="908">+U$1-U467</f>
        <v>17.054340596235939</v>
      </c>
      <c r="V469" s="596">
        <f t="shared" si="908"/>
        <v>12.052893918760418</v>
      </c>
      <c r="W469" s="596">
        <f t="shared" si="908"/>
        <v>8.146736953843714</v>
      </c>
      <c r="X469" s="596">
        <f t="shared" si="908"/>
        <v>12.67298873144308</v>
      </c>
      <c r="Y469" s="283"/>
      <c r="Z469" s="596">
        <f t="shared" ref="Z469:AG469" si="909">+Z$1-Z467</f>
        <v>5.4767323011137385</v>
      </c>
      <c r="AA469" s="596">
        <f t="shared" si="909"/>
        <v>9.3623727644458548</v>
      </c>
      <c r="AB469" s="596">
        <f t="shared" si="909"/>
        <v>4.0375963493044509</v>
      </c>
      <c r="AC469" s="596">
        <f t="shared" si="909"/>
        <v>6.4462286862997757</v>
      </c>
      <c r="AD469" s="596">
        <f t="shared" si="909"/>
        <v>9.7340797854983663</v>
      </c>
      <c r="AE469" s="596">
        <f t="shared" si="909"/>
        <v>16.053963031459954</v>
      </c>
      <c r="AF469" s="596">
        <f t="shared" si="909"/>
        <v>12.524235062658242</v>
      </c>
      <c r="AG469" s="596">
        <f t="shared" si="909"/>
        <v>12.945224940303035</v>
      </c>
      <c r="AH469" s="596">
        <f t="shared" ref="AH469" si="910">+AH$1-AH467</f>
        <v>13.422305750245705</v>
      </c>
    </row>
    <row r="470" spans="1:34">
      <c r="M470" s="283"/>
      <c r="N470" s="283"/>
      <c r="O470" s="283"/>
      <c r="P470" s="283"/>
      <c r="Q470" s="283"/>
      <c r="Y470" s="283"/>
    </row>
    <row r="471" spans="1:34" s="283" customFormat="1">
      <c r="B471" s="286" t="s">
        <v>137</v>
      </c>
      <c r="C471" s="287" t="s">
        <v>573</v>
      </c>
      <c r="D471" s="485"/>
      <c r="E471" s="286"/>
      <c r="F471" s="286"/>
      <c r="G471" s="286"/>
      <c r="H471" s="286"/>
      <c r="I471" s="286"/>
      <c r="J471" s="286"/>
      <c r="K471" s="286"/>
      <c r="L471" s="286"/>
      <c r="M471" s="286"/>
      <c r="N471" s="286"/>
      <c r="O471" s="286"/>
      <c r="P471" s="286"/>
      <c r="Q471" s="286"/>
      <c r="R471" s="286"/>
      <c r="S471" s="286"/>
      <c r="T471" s="286"/>
      <c r="U471" s="286"/>
      <c r="V471" s="286"/>
      <c r="W471" s="286"/>
      <c r="X471" s="286"/>
      <c r="Z471" s="286"/>
      <c r="AA471" s="286"/>
      <c r="AB471" s="286"/>
      <c r="AC471" s="286"/>
      <c r="AD471" s="286"/>
      <c r="AE471" s="286"/>
      <c r="AF471" s="286"/>
      <c r="AG471" s="286"/>
      <c r="AH471" s="286"/>
    </row>
    <row r="472" spans="1:34">
      <c r="D472" s="501"/>
      <c r="H472" s="282"/>
      <c r="L472" s="282"/>
      <c r="P472" s="282"/>
      <c r="Y472" s="283"/>
    </row>
    <row r="473" spans="1:34">
      <c r="C473" s="414" t="s">
        <v>419</v>
      </c>
      <c r="E473" s="305">
        <v>348.54899999999998</v>
      </c>
      <c r="F473" s="305">
        <v>349.93700000000001</v>
      </c>
      <c r="G473" s="305">
        <v>353.84000000000003</v>
      </c>
      <c r="H473" s="305">
        <v>323.392</v>
      </c>
      <c r="I473" s="305">
        <v>329.75099999999998</v>
      </c>
      <c r="J473" s="305">
        <v>347.596</v>
      </c>
      <c r="K473" s="305">
        <v>337.351</v>
      </c>
      <c r="L473" s="305">
        <v>363.36700000000002</v>
      </c>
      <c r="M473" s="305">
        <v>331.61800000000005</v>
      </c>
      <c r="N473" s="305">
        <v>280.41999999999996</v>
      </c>
      <c r="O473" s="305">
        <v>288.68200000000002</v>
      </c>
      <c r="P473" s="305">
        <v>382.98099999999999</v>
      </c>
      <c r="Q473" s="305">
        <v>368.40300000000002</v>
      </c>
      <c r="R473" s="305">
        <v>374.68299999999999</v>
      </c>
      <c r="S473" s="771">
        <v>398.14299999999997</v>
      </c>
      <c r="T473" s="771">
        <v>387.017</v>
      </c>
      <c r="U473" s="771">
        <v>386.15</v>
      </c>
      <c r="V473" s="380">
        <f t="shared" ref="V473:X473" si="911">+V487/V481/V475</f>
        <v>399.85884191575224</v>
      </c>
      <c r="W473" s="380">
        <f t="shared" si="911"/>
        <v>379.29992338492929</v>
      </c>
      <c r="X473" s="380">
        <f t="shared" si="911"/>
        <v>475.5733444876783</v>
      </c>
      <c r="Y473" s="283"/>
      <c r="Z473" s="305">
        <v>997.58799999999997</v>
      </c>
      <c r="AA473" s="305">
        <v>1296.2239999999999</v>
      </c>
      <c r="AB473" s="282">
        <f>SUMIF($E$5:$X$5,AB$5,$E473:$X473)</f>
        <v>1375.7180000000001</v>
      </c>
      <c r="AC473" s="282">
        <f t="shared" ref="AC473:AF473" si="912">SUMIF($E$5:$X$5,AC$5,$E473:$X473)</f>
        <v>1378.0650000000001</v>
      </c>
      <c r="AD473" s="282">
        <f t="shared" si="912"/>
        <v>1283.701</v>
      </c>
      <c r="AE473" s="282">
        <f t="shared" si="912"/>
        <v>1528.2460000000001</v>
      </c>
      <c r="AF473" s="282">
        <f t="shared" si="912"/>
        <v>1640.8821097883597</v>
      </c>
      <c r="AG473" s="380">
        <f>+AG487/AG481/AG475</f>
        <v>1739.3981417402438</v>
      </c>
      <c r="AH473" s="380">
        <f>+AH487/AH481/AH475</f>
        <v>1838.7923212682576</v>
      </c>
    </row>
    <row r="474" spans="1:34" s="384" customFormat="1">
      <c r="A474" s="399"/>
      <c r="B474" s="399"/>
      <c r="C474" s="399" t="s">
        <v>564</v>
      </c>
      <c r="D474" s="822"/>
      <c r="E474" s="384">
        <v>0.03</v>
      </c>
      <c r="F474" s="384">
        <v>0.04</v>
      </c>
      <c r="G474" s="384">
        <v>0.03</v>
      </c>
      <c r="H474" s="384">
        <v>0.03</v>
      </c>
      <c r="I474" s="384">
        <v>0.03</v>
      </c>
      <c r="J474" s="384">
        <v>0.02</v>
      </c>
      <c r="K474" s="384">
        <v>0.02</v>
      </c>
      <c r="L474" s="384">
        <v>0.04</v>
      </c>
      <c r="M474" s="384">
        <v>0.02</v>
      </c>
      <c r="N474" s="384">
        <v>0.02</v>
      </c>
      <c r="O474" s="384">
        <v>0.02</v>
      </c>
      <c r="P474" s="384">
        <v>0</v>
      </c>
      <c r="Q474" s="384">
        <v>0.04</v>
      </c>
      <c r="R474" s="384">
        <v>0.03</v>
      </c>
      <c r="S474" s="384">
        <v>0.02</v>
      </c>
      <c r="T474" s="384">
        <v>0.02</v>
      </c>
      <c r="U474" s="384">
        <v>0.02</v>
      </c>
      <c r="V474" s="391">
        <f t="shared" ref="V474:V475" si="913">+U474</f>
        <v>0.02</v>
      </c>
      <c r="W474" s="391">
        <f t="shared" ref="W474:W475" si="914">+V474</f>
        <v>0.02</v>
      </c>
      <c r="X474" s="391">
        <f t="shared" ref="X474:X475" si="915">+W474</f>
        <v>0.02</v>
      </c>
      <c r="Y474" s="283"/>
      <c r="Z474" s="384">
        <v>0.04</v>
      </c>
      <c r="AA474" s="384">
        <v>0.03</v>
      </c>
      <c r="AB474" s="384">
        <v>0.03</v>
      </c>
      <c r="AC474" s="384">
        <v>0.03</v>
      </c>
      <c r="AD474" s="384">
        <v>0.02</v>
      </c>
      <c r="AE474" s="384">
        <v>0.03</v>
      </c>
      <c r="AF474" s="422">
        <f>AVERAGEIF($E$5:$X$5,AF$5,$E474:$X474)</f>
        <v>0.02</v>
      </c>
      <c r="AG474" s="391">
        <f t="shared" ref="AG474:AH477" si="916">+AF474</f>
        <v>0.02</v>
      </c>
      <c r="AH474" s="391">
        <f t="shared" si="916"/>
        <v>0.02</v>
      </c>
    </row>
    <row r="475" spans="1:34" s="384" customFormat="1">
      <c r="A475" s="399"/>
      <c r="B475" s="399"/>
      <c r="C475" s="399" t="s">
        <v>563</v>
      </c>
      <c r="D475" s="822"/>
      <c r="E475" s="384">
        <v>0.13500000000000001</v>
      </c>
      <c r="F475" s="384">
        <v>0.14000000000000001</v>
      </c>
      <c r="G475" s="384">
        <v>0.14000000000000001</v>
      </c>
      <c r="H475" s="384">
        <v>0.129</v>
      </c>
      <c r="I475" s="384">
        <v>0.12</v>
      </c>
      <c r="J475" s="384">
        <v>0.112</v>
      </c>
      <c r="K475" s="384">
        <v>0.128</v>
      </c>
      <c r="L475" s="384">
        <v>0.11899999999999999</v>
      </c>
      <c r="M475" s="384">
        <v>0.10199999999999999</v>
      </c>
      <c r="N475" s="384">
        <v>0.13</v>
      </c>
      <c r="O475" s="384">
        <v>0.114</v>
      </c>
      <c r="P475" s="384">
        <v>0.123</v>
      </c>
      <c r="Q475" s="384">
        <v>0.12</v>
      </c>
      <c r="R475" s="384">
        <v>0.1</v>
      </c>
      <c r="S475" s="384">
        <v>8.6999999999999994E-2</v>
      </c>
      <c r="T475" s="384">
        <v>0.11</v>
      </c>
      <c r="U475" s="384">
        <v>9.0999999999999998E-2</v>
      </c>
      <c r="V475" s="391">
        <f t="shared" si="913"/>
        <v>9.0999999999999998E-2</v>
      </c>
      <c r="W475" s="391">
        <f t="shared" si="914"/>
        <v>9.0999999999999998E-2</v>
      </c>
      <c r="X475" s="391">
        <f t="shared" si="915"/>
        <v>9.0999999999999998E-2</v>
      </c>
      <c r="Y475" s="283"/>
      <c r="Z475" s="384">
        <v>0</v>
      </c>
      <c r="AA475" s="384">
        <v>0</v>
      </c>
      <c r="AB475" s="384">
        <v>0.20300000000000001</v>
      </c>
      <c r="AC475" s="384">
        <v>0.12</v>
      </c>
      <c r="AD475" s="384">
        <v>0.11700000000000001</v>
      </c>
      <c r="AE475" s="384">
        <v>0.104</v>
      </c>
      <c r="AF475" s="422">
        <f>AVERAGEIF($E$5:$X$5,AF$5,$E475:$X475)</f>
        <v>9.0999999999999998E-2</v>
      </c>
      <c r="AG475" s="391">
        <f t="shared" si="916"/>
        <v>9.0999999999999998E-2</v>
      </c>
      <c r="AH475" s="391">
        <f t="shared" si="916"/>
        <v>9.0999999999999998E-2</v>
      </c>
    </row>
    <row r="476" spans="1:34">
      <c r="B476" s="283"/>
      <c r="C476" s="464" t="s">
        <v>562</v>
      </c>
      <c r="D476" s="486"/>
      <c r="E476" s="305">
        <v>0</v>
      </c>
      <c r="F476" s="305">
        <v>0</v>
      </c>
      <c r="G476" s="305">
        <v>0</v>
      </c>
      <c r="H476" s="305">
        <v>0</v>
      </c>
      <c r="I476" s="305">
        <v>0</v>
      </c>
      <c r="J476" s="305">
        <v>0</v>
      </c>
      <c r="K476" s="305">
        <v>0</v>
      </c>
      <c r="L476" s="305">
        <v>0</v>
      </c>
      <c r="M476" s="305">
        <v>0</v>
      </c>
      <c r="N476" s="305">
        <v>0</v>
      </c>
      <c r="O476" s="305">
        <v>0</v>
      </c>
      <c r="P476" s="305">
        <v>0</v>
      </c>
      <c r="Q476" s="305">
        <v>0</v>
      </c>
      <c r="R476" s="305">
        <v>0</v>
      </c>
      <c r="S476" s="305">
        <v>0</v>
      </c>
      <c r="T476" s="305">
        <v>0</v>
      </c>
      <c r="U476" s="305">
        <v>0</v>
      </c>
      <c r="V476" s="305">
        <v>0</v>
      </c>
      <c r="W476" s="305">
        <v>0</v>
      </c>
      <c r="X476" s="305">
        <v>0</v>
      </c>
      <c r="Y476" s="283"/>
      <c r="Z476" s="305">
        <v>0</v>
      </c>
      <c r="AA476" s="305">
        <v>0</v>
      </c>
      <c r="AB476" s="305">
        <v>0</v>
      </c>
      <c r="AC476" s="305">
        <v>0</v>
      </c>
      <c r="AD476" s="305">
        <v>0</v>
      </c>
      <c r="AE476" s="305">
        <v>0</v>
      </c>
      <c r="AF476" s="305">
        <v>0</v>
      </c>
      <c r="AG476" s="460">
        <f t="shared" si="916"/>
        <v>0</v>
      </c>
      <c r="AH476" s="460">
        <f t="shared" si="916"/>
        <v>0</v>
      </c>
    </row>
    <row r="477" spans="1:34">
      <c r="B477" s="283"/>
      <c r="C477" s="464" t="s">
        <v>561</v>
      </c>
      <c r="D477" s="486"/>
      <c r="E477" s="305">
        <v>0</v>
      </c>
      <c r="F477" s="305">
        <v>0</v>
      </c>
      <c r="G477" s="305">
        <v>0</v>
      </c>
      <c r="H477" s="305">
        <v>0</v>
      </c>
      <c r="I477" s="305">
        <v>0</v>
      </c>
      <c r="J477" s="305">
        <v>0</v>
      </c>
      <c r="K477" s="305">
        <v>0</v>
      </c>
      <c r="L477" s="305">
        <v>0</v>
      </c>
      <c r="M477" s="305">
        <v>0</v>
      </c>
      <c r="N477" s="305">
        <v>0</v>
      </c>
      <c r="O477" s="305">
        <v>0</v>
      </c>
      <c r="P477" s="305">
        <v>0</v>
      </c>
      <c r="Q477" s="305">
        <v>0</v>
      </c>
      <c r="R477" s="305">
        <v>0</v>
      </c>
      <c r="S477" s="305">
        <v>0</v>
      </c>
      <c r="T477" s="305">
        <v>0</v>
      </c>
      <c r="U477" s="305">
        <v>0</v>
      </c>
      <c r="V477" s="305">
        <v>0</v>
      </c>
      <c r="W477" s="305">
        <v>0</v>
      </c>
      <c r="X477" s="305">
        <v>0</v>
      </c>
      <c r="Y477" s="283"/>
      <c r="Z477" s="305">
        <v>0</v>
      </c>
      <c r="AA477" s="305">
        <v>0</v>
      </c>
      <c r="AB477" s="305">
        <v>0</v>
      </c>
      <c r="AC477" s="305">
        <v>0</v>
      </c>
      <c r="AD477" s="305">
        <v>0</v>
      </c>
      <c r="AE477" s="305">
        <v>0</v>
      </c>
      <c r="AF477" s="305">
        <v>0</v>
      </c>
      <c r="AG477" s="460">
        <f t="shared" si="916"/>
        <v>0</v>
      </c>
      <c r="AH477" s="460">
        <f t="shared" si="916"/>
        <v>0</v>
      </c>
    </row>
    <row r="478" spans="1:34">
      <c r="Y478" s="283"/>
      <c r="AE478" s="282"/>
    </row>
    <row r="479" spans="1:34" s="439" customFormat="1">
      <c r="A479" s="283"/>
      <c r="B479" s="306"/>
      <c r="C479" s="458" t="s">
        <v>501</v>
      </c>
      <c r="D479" s="492"/>
      <c r="R479" s="457"/>
      <c r="Y479" s="283"/>
      <c r="AE479" s="456"/>
    </row>
    <row r="480" spans="1:34" s="439" customFormat="1">
      <c r="A480" s="283"/>
      <c r="B480" s="306"/>
      <c r="C480" s="455" t="s">
        <v>444</v>
      </c>
      <c r="D480" s="492"/>
      <c r="E480" s="454">
        <f>E486/(E$473*E474)</f>
        <v>0.85028695152379341</v>
      </c>
      <c r="F480" s="454">
        <f t="shared" ref="F480:R481" si="917">F486/(F$473*F474)</f>
        <v>0.87858671703763813</v>
      </c>
      <c r="G480" s="454">
        <f t="shared" si="917"/>
        <v>0.90050116813625736</v>
      </c>
      <c r="H480" s="454">
        <f t="shared" si="917"/>
        <v>0.7563576093409855</v>
      </c>
      <c r="I480" s="454">
        <f t="shared" si="917"/>
        <v>0.83295173226666996</v>
      </c>
      <c r="J480" s="454">
        <f t="shared" si="917"/>
        <v>0.88666152659984576</v>
      </c>
      <c r="K480" s="454">
        <f t="shared" si="917"/>
        <v>0.9836935417413909</v>
      </c>
      <c r="L480" s="454">
        <f t="shared" si="917"/>
        <v>0.72234132433600184</v>
      </c>
      <c r="M480" s="454">
        <f t="shared" si="917"/>
        <v>0.89470414754325744</v>
      </c>
      <c r="N480" s="454">
        <f t="shared" si="917"/>
        <v>0.97978032950574145</v>
      </c>
      <c r="O480" s="454">
        <f t="shared" si="917"/>
        <v>0.66768970701325325</v>
      </c>
      <c r="P480" s="477">
        <v>0</v>
      </c>
      <c r="Q480" s="454">
        <f t="shared" si="917"/>
        <v>0.72441049611430963</v>
      </c>
      <c r="R480" s="454">
        <f t="shared" si="917"/>
        <v>0.70432872588294637</v>
      </c>
      <c r="S480" s="454">
        <f t="shared" ref="S480:T480" si="918">S486/(S$473*S474)</f>
        <v>0.88058813039536044</v>
      </c>
      <c r="T480" s="454">
        <f t="shared" si="918"/>
        <v>1.0292829513949</v>
      </c>
      <c r="U480" s="454">
        <f t="shared" ref="U480" si="919">U486/(U$473*U474)</f>
        <v>0.91518839829081955</v>
      </c>
      <c r="V480" s="333">
        <f t="shared" ref="V480:V481" si="920">+U480</f>
        <v>0.91518839829081955</v>
      </c>
      <c r="W480" s="333">
        <f t="shared" ref="W480:W481" si="921">+V480</f>
        <v>0.91518839829081955</v>
      </c>
      <c r="X480" s="333">
        <f t="shared" ref="X480:X481" si="922">+W480</f>
        <v>0.91518839829081955</v>
      </c>
      <c r="Y480" s="283"/>
      <c r="Z480" s="454">
        <f t="shared" ref="Z480:AE480" si="923">Z486/(Z$473*Z474)</f>
        <v>0.84305845699827975</v>
      </c>
      <c r="AA480" s="454">
        <f t="shared" si="923"/>
        <v>0.9403210144748646</v>
      </c>
      <c r="AB480" s="454">
        <f t="shared" si="923"/>
        <v>0.92281509243415671</v>
      </c>
      <c r="AC480" s="454">
        <f t="shared" si="923"/>
        <v>0.76290547494735983</v>
      </c>
      <c r="AD480" s="454">
        <f t="shared" si="923"/>
        <v>0.94032800473007339</v>
      </c>
      <c r="AE480" s="454">
        <f t="shared" si="923"/>
        <v>0.73223377213703367</v>
      </c>
      <c r="AF480" s="454">
        <f t="shared" ref="AF480" si="924">AF486/(AF$473*AF474)</f>
        <v>0.21537196236820536</v>
      </c>
      <c r="AG480" s="333">
        <f t="shared" ref="AG480:AH481" si="925">+AF480</f>
        <v>0.21537196236820536</v>
      </c>
      <c r="AH480" s="333">
        <f t="shared" si="925"/>
        <v>0.21537196236820536</v>
      </c>
    </row>
    <row r="481" spans="1:35" s="439" customFormat="1">
      <c r="A481" s="283"/>
      <c r="B481" s="306"/>
      <c r="C481" s="455" t="s">
        <v>440</v>
      </c>
      <c r="D481" s="492"/>
      <c r="E481" s="454">
        <f t="shared" ref="E481:Q481" si="926">E487/(E$473*E475)</f>
        <v>0.85384668269714559</v>
      </c>
      <c r="F481" s="454">
        <f t="shared" si="926"/>
        <v>0.87203451723351011</v>
      </c>
      <c r="G481" s="454">
        <f t="shared" si="926"/>
        <v>0.88783065792448534</v>
      </c>
      <c r="H481" s="454">
        <f t="shared" si="926"/>
        <v>0.85968578034079079</v>
      </c>
      <c r="I481" s="454">
        <f t="shared" si="926"/>
        <v>0.80361141184307761</v>
      </c>
      <c r="J481" s="454">
        <f t="shared" si="926"/>
        <v>0.80322106287594963</v>
      </c>
      <c r="K481" s="454">
        <f t="shared" si="926"/>
        <v>0.84636902662212343</v>
      </c>
      <c r="L481" s="454">
        <f t="shared" si="926"/>
        <v>0.80463595004638333</v>
      </c>
      <c r="M481" s="454">
        <f t="shared" si="926"/>
        <v>0.7908934671939446</v>
      </c>
      <c r="N481" s="454">
        <f t="shared" si="926"/>
        <v>0.84367953564159259</v>
      </c>
      <c r="O481" s="454">
        <f t="shared" si="926"/>
        <v>0.80234585813297632</v>
      </c>
      <c r="P481" s="454">
        <f t="shared" si="926"/>
        <v>0.79776400209032006</v>
      </c>
      <c r="Q481" s="454">
        <f t="shared" si="926"/>
        <v>0.8186234458821815</v>
      </c>
      <c r="R481" s="454">
        <f t="shared" si="917"/>
        <v>0.8362535796927002</v>
      </c>
      <c r="S481" s="454">
        <f t="shared" ref="S481:T481" si="927">S487/(S$473*S475)</f>
        <v>0.85806402199221399</v>
      </c>
      <c r="T481" s="454">
        <f t="shared" si="927"/>
        <v>0.87536676213659392</v>
      </c>
      <c r="U481" s="454">
        <f t="shared" ref="U481" si="928">U487/(U$473*U475)</f>
        <v>0.86056634030219425</v>
      </c>
      <c r="V481" s="333">
        <f t="shared" si="920"/>
        <v>0.86056634030219425</v>
      </c>
      <c r="W481" s="333">
        <f t="shared" si="921"/>
        <v>0.86056634030219425</v>
      </c>
      <c r="X481" s="333">
        <f t="shared" si="922"/>
        <v>0.86056634030219425</v>
      </c>
      <c r="Y481" s="283"/>
      <c r="Z481" s="457">
        <v>0</v>
      </c>
      <c r="AA481" s="457">
        <v>0</v>
      </c>
      <c r="AB481" s="454">
        <f>AB487/(AB$473*AB475)</f>
        <v>0.58274630504273994</v>
      </c>
      <c r="AC481" s="454">
        <f>AC487/(AC$473*AC475)</f>
        <v>0.81278822116518457</v>
      </c>
      <c r="AD481" s="454">
        <f>AD487/(AD$473*AD475)</f>
        <v>0.80891244098252579</v>
      </c>
      <c r="AE481" s="454">
        <f>AE487/(AE$473*AE475)</f>
        <v>0.84631335531059781</v>
      </c>
      <c r="AF481" s="454">
        <f>AF487/(AF$473*AF475)</f>
        <v>0.86056634030219425</v>
      </c>
      <c r="AG481" s="333">
        <f t="shared" si="925"/>
        <v>0.86056634030219425</v>
      </c>
      <c r="AH481" s="333">
        <f t="shared" si="925"/>
        <v>0.86056634030219425</v>
      </c>
    </row>
    <row r="482" spans="1:35" s="439" customFormat="1">
      <c r="A482" s="283"/>
      <c r="B482" s="464"/>
      <c r="C482" s="465" t="s">
        <v>439</v>
      </c>
      <c r="D482" s="487"/>
      <c r="E482" s="439">
        <v>0</v>
      </c>
      <c r="F482" s="439">
        <v>0</v>
      </c>
      <c r="G482" s="439">
        <v>0</v>
      </c>
      <c r="H482" s="439">
        <v>0</v>
      </c>
      <c r="I482" s="439">
        <v>0</v>
      </c>
      <c r="J482" s="439">
        <v>0</v>
      </c>
      <c r="K482" s="439">
        <v>0</v>
      </c>
      <c r="L482" s="439">
        <v>0</v>
      </c>
      <c r="M482" s="439">
        <v>0</v>
      </c>
      <c r="N482" s="439">
        <v>0</v>
      </c>
      <c r="O482" s="439">
        <v>0</v>
      </c>
      <c r="P482" s="439">
        <v>0</v>
      </c>
      <c r="Q482" s="439">
        <v>0</v>
      </c>
      <c r="R482" s="439">
        <v>0</v>
      </c>
      <c r="S482" s="439">
        <v>0</v>
      </c>
      <c r="T482" s="439">
        <v>0</v>
      </c>
      <c r="U482" s="439">
        <v>0</v>
      </c>
      <c r="V482" s="439">
        <v>0</v>
      </c>
      <c r="W482" s="439">
        <v>0</v>
      </c>
      <c r="X482" s="439">
        <v>0</v>
      </c>
      <c r="Y482" s="283"/>
      <c r="Z482" s="439">
        <v>0</v>
      </c>
      <c r="AA482" s="439">
        <v>0</v>
      </c>
      <c r="AB482" s="439">
        <v>0</v>
      </c>
      <c r="AC482" s="439">
        <v>0</v>
      </c>
      <c r="AD482" s="439">
        <v>0</v>
      </c>
      <c r="AE482" s="439">
        <v>0</v>
      </c>
      <c r="AF482" s="439">
        <v>0</v>
      </c>
      <c r="AG482" s="439">
        <v>0</v>
      </c>
      <c r="AH482" s="439">
        <v>0</v>
      </c>
    </row>
    <row r="483" spans="1:35" s="439" customFormat="1">
      <c r="A483" s="283"/>
      <c r="B483" s="464"/>
      <c r="C483" s="465" t="s">
        <v>441</v>
      </c>
      <c r="D483" s="487"/>
      <c r="E483" s="439">
        <v>0</v>
      </c>
      <c r="F483" s="439">
        <v>0</v>
      </c>
      <c r="G483" s="439">
        <v>0</v>
      </c>
      <c r="H483" s="439">
        <v>0</v>
      </c>
      <c r="I483" s="439">
        <v>0</v>
      </c>
      <c r="J483" s="439">
        <v>0</v>
      </c>
      <c r="K483" s="439">
        <v>0</v>
      </c>
      <c r="L483" s="439">
        <v>0</v>
      </c>
      <c r="M483" s="439">
        <v>0</v>
      </c>
      <c r="N483" s="439">
        <v>0</v>
      </c>
      <c r="O483" s="439">
        <v>0</v>
      </c>
      <c r="P483" s="439">
        <v>0</v>
      </c>
      <c r="Q483" s="439">
        <v>0</v>
      </c>
      <c r="R483" s="439">
        <v>0</v>
      </c>
      <c r="S483" s="439">
        <v>0</v>
      </c>
      <c r="T483" s="439">
        <v>0</v>
      </c>
      <c r="U483" s="439">
        <v>0</v>
      </c>
      <c r="V483" s="439">
        <v>0</v>
      </c>
      <c r="W483" s="439">
        <v>0</v>
      </c>
      <c r="X483" s="439">
        <v>0</v>
      </c>
      <c r="Y483" s="283"/>
      <c r="Z483" s="439">
        <v>0</v>
      </c>
      <c r="AA483" s="439">
        <v>0</v>
      </c>
      <c r="AB483" s="439">
        <v>0</v>
      </c>
      <c r="AC483" s="439">
        <v>0</v>
      </c>
      <c r="AD483" s="439">
        <v>0</v>
      </c>
      <c r="AE483" s="439">
        <v>0</v>
      </c>
      <c r="AF483" s="439">
        <v>0</v>
      </c>
      <c r="AG483" s="439">
        <v>0</v>
      </c>
      <c r="AH483" s="439">
        <v>0</v>
      </c>
    </row>
    <row r="484" spans="1:35">
      <c r="Q484" s="453"/>
      <c r="R484" s="453"/>
      <c r="Y484" s="283"/>
      <c r="AE484" s="282"/>
    </row>
    <row r="485" spans="1:35">
      <c r="C485" s="414" t="s">
        <v>499</v>
      </c>
      <c r="Y485" s="283"/>
      <c r="AE485" s="282"/>
    </row>
    <row r="486" spans="1:35">
      <c r="C486" s="402" t="s">
        <v>460</v>
      </c>
      <c r="E486" s="305">
        <v>8.891</v>
      </c>
      <c r="F486" s="305">
        <v>12.298</v>
      </c>
      <c r="G486" s="305">
        <v>9.5589999999999993</v>
      </c>
      <c r="H486" s="305">
        <v>7.3380000000000001</v>
      </c>
      <c r="I486" s="305">
        <v>8.24</v>
      </c>
      <c r="J486" s="305">
        <v>6.1639999999999997</v>
      </c>
      <c r="K486" s="305">
        <v>6.6369999999999996</v>
      </c>
      <c r="L486" s="305">
        <v>10.499000000000001</v>
      </c>
      <c r="M486" s="305">
        <v>5.9340000000000002</v>
      </c>
      <c r="N486" s="305">
        <v>5.4950000000000001</v>
      </c>
      <c r="O486" s="305">
        <v>3.855</v>
      </c>
      <c r="P486" s="305">
        <v>8.8580000000000005</v>
      </c>
      <c r="Q486" s="305">
        <v>10.675000000000001</v>
      </c>
      <c r="R486" s="305">
        <v>7.9169999999999998</v>
      </c>
      <c r="S486" s="305">
        <v>7.0119999999999996</v>
      </c>
      <c r="T486" s="305">
        <v>7.9669999999999996</v>
      </c>
      <c r="U486" s="305">
        <v>7.0679999999999996</v>
      </c>
      <c r="V486" s="282">
        <v>0</v>
      </c>
      <c r="W486" s="282">
        <v>0</v>
      </c>
      <c r="X486" s="282">
        <v>0</v>
      </c>
      <c r="Y486" s="283"/>
      <c r="Z486" s="305">
        <v>33.640999999999998</v>
      </c>
      <c r="AA486" s="305">
        <v>36.566000000000003</v>
      </c>
      <c r="AB486" s="305">
        <v>38.085999999999999</v>
      </c>
      <c r="AC486" s="305">
        <v>31.54</v>
      </c>
      <c r="AD486" s="305">
        <v>24.141999999999999</v>
      </c>
      <c r="AE486" s="305">
        <v>33.570999999999998</v>
      </c>
      <c r="AF486" s="282">
        <f t="shared" ref="AF486" si="929">SUMIF($E$5:$X$5,AF$5,$E486:$X486)</f>
        <v>7.0679999999999996</v>
      </c>
      <c r="AG486" s="282">
        <v>0</v>
      </c>
      <c r="AH486" s="282">
        <v>0</v>
      </c>
      <c r="AI486" s="329"/>
    </row>
    <row r="487" spans="1:35">
      <c r="B487" s="373"/>
      <c r="C487" s="402" t="s">
        <v>461</v>
      </c>
      <c r="D487" s="502"/>
      <c r="E487" s="305">
        <v>40.177</v>
      </c>
      <c r="F487" s="305">
        <v>42.722000000000001</v>
      </c>
      <c r="G487" s="305">
        <v>43.980999999999995</v>
      </c>
      <c r="H487" s="305">
        <v>35.864000000000004</v>
      </c>
      <c r="I487" s="305">
        <v>31.798999999999999</v>
      </c>
      <c r="J487" s="305">
        <v>31.27</v>
      </c>
      <c r="K487" s="305">
        <v>36.546999999999997</v>
      </c>
      <c r="L487" s="305">
        <v>34.792999999999999</v>
      </c>
      <c r="M487" s="305">
        <v>26.751999999999999</v>
      </c>
      <c r="N487" s="305">
        <v>30.756</v>
      </c>
      <c r="O487" s="305">
        <v>26.405000000000001</v>
      </c>
      <c r="P487" s="305">
        <v>37.58</v>
      </c>
      <c r="Q487" s="305">
        <v>36.19</v>
      </c>
      <c r="R487" s="305">
        <v>31.332999999999998</v>
      </c>
      <c r="S487" s="305">
        <v>29.722000000000001</v>
      </c>
      <c r="T487" s="305">
        <v>37.265999999999998</v>
      </c>
      <c r="U487" s="305">
        <v>30.24</v>
      </c>
      <c r="V487" s="282">
        <f t="shared" ref="V487" si="930">($AF487-$U487)*R487/SUM($R487:$T487)</f>
        <v>31.313560480467043</v>
      </c>
      <c r="W487" s="282">
        <f t="shared" ref="W487" si="931">($AF487-$U487)*S487/SUM($R487:$T487)</f>
        <v>29.703559971928684</v>
      </c>
      <c r="X487" s="282">
        <f t="shared" ref="X487" si="932">($AF487-$U487)*T487/SUM($R487:$T487)</f>
        <v>37.242879547604275</v>
      </c>
      <c r="Y487" s="283"/>
      <c r="Z487" s="305">
        <v>145.97499999999999</v>
      </c>
      <c r="AA487" s="305">
        <v>156.65299999999999</v>
      </c>
      <c r="AB487" s="305">
        <v>162.744</v>
      </c>
      <c r="AC487" s="305">
        <v>134.40899999999999</v>
      </c>
      <c r="AD487" s="305">
        <v>121.49299999999999</v>
      </c>
      <c r="AE487" s="305">
        <v>134.511</v>
      </c>
      <c r="AF487" s="377">
        <f>AVERAGE(125,132)</f>
        <v>128.5</v>
      </c>
      <c r="AG487" s="282">
        <f>+AG$127*($AF487/$AF$127)</f>
        <v>136.21494187809134</v>
      </c>
      <c r="AH487" s="282">
        <f>+AH$127*($AF487/$AF$127)</f>
        <v>143.9986528425537</v>
      </c>
      <c r="AI487" s="329"/>
    </row>
    <row r="488" spans="1:35">
      <c r="C488" s="402" t="s">
        <v>462</v>
      </c>
      <c r="E488" s="305">
        <v>0</v>
      </c>
      <c r="F488" s="305">
        <v>0</v>
      </c>
      <c r="G488" s="305">
        <v>0</v>
      </c>
      <c r="H488" s="305">
        <v>0</v>
      </c>
      <c r="I488" s="305">
        <v>0</v>
      </c>
      <c r="J488" s="305">
        <v>0</v>
      </c>
      <c r="K488" s="305">
        <v>0</v>
      </c>
      <c r="L488" s="305">
        <v>0</v>
      </c>
      <c r="M488" s="305">
        <v>0</v>
      </c>
      <c r="N488" s="305">
        <v>0</v>
      </c>
      <c r="O488" s="305">
        <v>0</v>
      </c>
      <c r="P488" s="305">
        <v>0</v>
      </c>
      <c r="Q488" s="305">
        <v>0</v>
      </c>
      <c r="R488" s="305">
        <v>0</v>
      </c>
      <c r="S488" s="305">
        <v>0</v>
      </c>
      <c r="T488" s="305">
        <v>0</v>
      </c>
      <c r="U488" s="305">
        <v>0</v>
      </c>
      <c r="V488" s="305">
        <v>0</v>
      </c>
      <c r="W488" s="305">
        <v>0</v>
      </c>
      <c r="X488" s="305">
        <v>0</v>
      </c>
      <c r="Y488" s="283"/>
      <c r="Z488" s="305">
        <v>0</v>
      </c>
      <c r="AA488" s="305">
        <v>0</v>
      </c>
      <c r="AB488" s="305">
        <v>0</v>
      </c>
      <c r="AC488" s="305">
        <v>0</v>
      </c>
      <c r="AD488" s="305">
        <v>0</v>
      </c>
      <c r="AE488" s="305">
        <v>0</v>
      </c>
      <c r="AF488" s="305">
        <v>0</v>
      </c>
      <c r="AG488" s="305">
        <v>0</v>
      </c>
      <c r="AH488" s="305">
        <v>0</v>
      </c>
      <c r="AI488" s="329"/>
    </row>
    <row r="489" spans="1:35">
      <c r="C489" s="402" t="s">
        <v>463</v>
      </c>
      <c r="E489" s="305">
        <v>0</v>
      </c>
      <c r="F489" s="305">
        <v>0</v>
      </c>
      <c r="G489" s="305">
        <v>0</v>
      </c>
      <c r="H489" s="305">
        <v>0</v>
      </c>
      <c r="I489" s="305">
        <v>0</v>
      </c>
      <c r="J489" s="305">
        <v>0</v>
      </c>
      <c r="K489" s="305">
        <v>0</v>
      </c>
      <c r="L489" s="305">
        <v>0</v>
      </c>
      <c r="M489" s="305">
        <v>0</v>
      </c>
      <c r="N489" s="305">
        <v>0</v>
      </c>
      <c r="O489" s="305">
        <v>0</v>
      </c>
      <c r="P489" s="305">
        <v>0</v>
      </c>
      <c r="Q489" s="305">
        <v>0</v>
      </c>
      <c r="R489" s="305">
        <v>0</v>
      </c>
      <c r="S489" s="305">
        <v>0</v>
      </c>
      <c r="T489" s="305">
        <v>0</v>
      </c>
      <c r="U489" s="305">
        <v>0</v>
      </c>
      <c r="V489" s="305">
        <v>0</v>
      </c>
      <c r="W489" s="305">
        <v>0</v>
      </c>
      <c r="X489" s="305">
        <v>0</v>
      </c>
      <c r="Y489" s="283"/>
      <c r="Z489" s="305">
        <v>0</v>
      </c>
      <c r="AA489" s="305">
        <v>0</v>
      </c>
      <c r="AB489" s="305">
        <v>0</v>
      </c>
      <c r="AC489" s="305">
        <v>0</v>
      </c>
      <c r="AD489" s="305">
        <v>0</v>
      </c>
      <c r="AE489" s="305">
        <v>0</v>
      </c>
      <c r="AF489" s="305">
        <v>0</v>
      </c>
      <c r="AG489" s="305">
        <v>0</v>
      </c>
      <c r="AH489" s="305">
        <v>0</v>
      </c>
      <c r="AI489" s="329"/>
    </row>
    <row r="490" spans="1:35">
      <c r="C490" s="416" t="s">
        <v>464</v>
      </c>
      <c r="E490" s="382">
        <f>SUM(E486:E489)</f>
        <v>49.067999999999998</v>
      </c>
      <c r="F490" s="382">
        <f t="shared" ref="F490:T490" si="933">SUM(F486:F489)</f>
        <v>55.02</v>
      </c>
      <c r="G490" s="382">
        <f t="shared" si="933"/>
        <v>53.539999999999992</v>
      </c>
      <c r="H490" s="382">
        <f t="shared" si="933"/>
        <v>43.202000000000005</v>
      </c>
      <c r="I490" s="382">
        <f t="shared" si="933"/>
        <v>40.039000000000001</v>
      </c>
      <c r="J490" s="382">
        <f t="shared" si="933"/>
        <v>37.433999999999997</v>
      </c>
      <c r="K490" s="382">
        <f t="shared" si="933"/>
        <v>43.183999999999997</v>
      </c>
      <c r="L490" s="382">
        <f t="shared" si="933"/>
        <v>45.292000000000002</v>
      </c>
      <c r="M490" s="382">
        <f t="shared" si="933"/>
        <v>32.686</v>
      </c>
      <c r="N490" s="382">
        <f t="shared" si="933"/>
        <v>36.250999999999998</v>
      </c>
      <c r="O490" s="382">
        <f t="shared" si="933"/>
        <v>30.26</v>
      </c>
      <c r="P490" s="382">
        <f t="shared" si="933"/>
        <v>46.438000000000002</v>
      </c>
      <c r="Q490" s="382">
        <f t="shared" si="933"/>
        <v>46.864999999999995</v>
      </c>
      <c r="R490" s="769">
        <f t="shared" si="933"/>
        <v>39.25</v>
      </c>
      <c r="S490" s="382">
        <f t="shared" si="933"/>
        <v>36.734000000000002</v>
      </c>
      <c r="T490" s="382">
        <f t="shared" si="933"/>
        <v>45.232999999999997</v>
      </c>
      <c r="U490" s="382">
        <f t="shared" ref="U490:X490" si="934">SUM(U486:U489)</f>
        <v>37.308</v>
      </c>
      <c r="V490" s="382">
        <f t="shared" si="934"/>
        <v>31.313560480467043</v>
      </c>
      <c r="W490" s="382">
        <f t="shared" si="934"/>
        <v>29.703559971928684</v>
      </c>
      <c r="X490" s="382">
        <f t="shared" si="934"/>
        <v>37.242879547604275</v>
      </c>
      <c r="Y490" s="283"/>
      <c r="Z490" s="382">
        <f t="shared" ref="Z490:AG490" si="935">SUM(Z486:Z489)</f>
        <v>179.61599999999999</v>
      </c>
      <c r="AA490" s="382">
        <f t="shared" si="935"/>
        <v>193.21899999999999</v>
      </c>
      <c r="AB490" s="382">
        <f t="shared" si="935"/>
        <v>200.82999999999998</v>
      </c>
      <c r="AC490" s="382">
        <f t="shared" si="935"/>
        <v>165.94899999999998</v>
      </c>
      <c r="AD490" s="382">
        <f t="shared" si="935"/>
        <v>145.63499999999999</v>
      </c>
      <c r="AE490" s="382">
        <f t="shared" si="935"/>
        <v>168.08199999999999</v>
      </c>
      <c r="AF490" s="382">
        <f t="shared" si="935"/>
        <v>135.56800000000001</v>
      </c>
      <c r="AG490" s="382">
        <f t="shared" si="935"/>
        <v>136.21494187809134</v>
      </c>
      <c r="AH490" s="382">
        <f t="shared" ref="AH490" si="936">SUM(AH486:AH489)</f>
        <v>143.9986528425537</v>
      </c>
      <c r="AI490" s="329"/>
    </row>
    <row r="491" spans="1:35">
      <c r="O491" s="282"/>
      <c r="Y491" s="283"/>
      <c r="AE491" s="282"/>
    </row>
    <row r="492" spans="1:35">
      <c r="C492" s="414" t="s">
        <v>500</v>
      </c>
      <c r="Y492" s="283"/>
      <c r="AE492" s="282"/>
    </row>
    <row r="493" spans="1:35">
      <c r="C493" s="402" t="s">
        <v>460</v>
      </c>
      <c r="D493" s="375">
        <v>1</v>
      </c>
      <c r="E493" s="305">
        <v>8.8350000000000009</v>
      </c>
      <c r="F493" s="305">
        <v>13.669</v>
      </c>
      <c r="G493" s="305">
        <v>9.0259999999999998</v>
      </c>
      <c r="H493" s="282">
        <f>SUMIF($Z$6:$AG$6,H$6,$Z493:$AG493)-SUM(E493:G493)</f>
        <v>8.6009999999999991</v>
      </c>
      <c r="I493" s="305">
        <v>8.4619999999999997</v>
      </c>
      <c r="J493" s="305">
        <v>4.9000000000000004</v>
      </c>
      <c r="K493" s="305">
        <v>7.19</v>
      </c>
      <c r="L493" s="282">
        <f>SUMIF($Z$6:$AG$6,L$6,$Z493:$AG493)-SUM(I493:K493)</f>
        <v>4.7680000000000007</v>
      </c>
      <c r="M493" s="305">
        <v>8.423</v>
      </c>
      <c r="N493" s="305">
        <v>4.383</v>
      </c>
      <c r="O493" s="305">
        <v>4.7690000000000001</v>
      </c>
      <c r="P493" s="282">
        <f>SUMIF($Z$6:$AG$6,P$6,$Z493:$AG493)-SUM(M493:O493)</f>
        <v>8.0839999999999961</v>
      </c>
      <c r="Q493" s="305">
        <v>8.7149999999999999</v>
      </c>
      <c r="R493" s="305">
        <v>8.0589999999999993</v>
      </c>
      <c r="S493" s="305">
        <v>7.7640000000000002</v>
      </c>
      <c r="T493" s="305">
        <v>5.4839999999999982</v>
      </c>
      <c r="U493" s="305">
        <v>9.0540000000000003</v>
      </c>
      <c r="V493" s="282">
        <f t="shared" ref="V493:X493" si="937">$D493*V486</f>
        <v>0</v>
      </c>
      <c r="W493" s="282">
        <f t="shared" si="937"/>
        <v>0</v>
      </c>
      <c r="X493" s="282">
        <f t="shared" si="937"/>
        <v>0</v>
      </c>
      <c r="Y493" s="283"/>
      <c r="Z493" s="305">
        <v>32.957000000000001</v>
      </c>
      <c r="AA493" s="305">
        <v>35.191000000000003</v>
      </c>
      <c r="AB493" s="305">
        <v>40.131</v>
      </c>
      <c r="AC493" s="305">
        <v>25.32</v>
      </c>
      <c r="AD493" s="305">
        <v>25.658999999999999</v>
      </c>
      <c r="AE493" s="305">
        <v>30.021999999999998</v>
      </c>
      <c r="AF493" s="282">
        <f t="shared" ref="AF493:AF496" si="938">SUMIF($E$5:$X$5,AF$5,$E493:$X493)</f>
        <v>9.0540000000000003</v>
      </c>
      <c r="AG493" s="282">
        <f t="shared" ref="AG493:AG496" si="939">$D493*AG486</f>
        <v>0</v>
      </c>
      <c r="AH493" s="282">
        <f t="shared" ref="AH493" si="940">$D493*AH486</f>
        <v>0</v>
      </c>
      <c r="AI493" s="329"/>
    </row>
    <row r="494" spans="1:35">
      <c r="C494" s="402" t="s">
        <v>461</v>
      </c>
      <c r="D494" s="375">
        <v>1</v>
      </c>
      <c r="E494" s="305">
        <v>41.645000000000003</v>
      </c>
      <c r="F494" s="305">
        <v>43</v>
      </c>
      <c r="G494" s="305">
        <v>43.682000000000002</v>
      </c>
      <c r="H494" s="282">
        <f>SUMIF($Z$6:$AG$6,H$6,$Z494:$AG494)-SUM(E494:G494)</f>
        <v>36.881</v>
      </c>
      <c r="I494" s="305">
        <v>30.613</v>
      </c>
      <c r="J494" s="305">
        <v>34.646999999999998</v>
      </c>
      <c r="K494" s="305">
        <v>35.811</v>
      </c>
      <c r="L494" s="282">
        <f>SUMIF($Z$6:$AG$6,L$6,$Z494:$AG494)-SUM(I494:K494)</f>
        <v>36.37299999999999</v>
      </c>
      <c r="M494" s="305">
        <v>29.082000000000001</v>
      </c>
      <c r="N494" s="305">
        <v>28.754000000000001</v>
      </c>
      <c r="O494" s="305">
        <v>28.132999999999999</v>
      </c>
      <c r="P494" s="282">
        <f>SUMIF($Z$6:$AG$6,P$6,$Z494:$AG494)-SUM(M494:O494)</f>
        <v>31.702000000000012</v>
      </c>
      <c r="Q494" s="305">
        <v>40.869</v>
      </c>
      <c r="R494" s="305">
        <v>30.614999999999998</v>
      </c>
      <c r="S494" s="305">
        <v>31.227</v>
      </c>
      <c r="T494" s="305">
        <v>33.275999999999996</v>
      </c>
      <c r="U494" s="305">
        <v>33.066000000000003</v>
      </c>
      <c r="V494" s="282">
        <f t="shared" ref="V494:X494" si="941">$D494*V487</f>
        <v>31.313560480467043</v>
      </c>
      <c r="W494" s="282">
        <f t="shared" si="941"/>
        <v>29.703559971928684</v>
      </c>
      <c r="X494" s="282">
        <f t="shared" si="941"/>
        <v>37.242879547604275</v>
      </c>
      <c r="Y494" s="283"/>
      <c r="Z494" s="305">
        <v>142.73599999999999</v>
      </c>
      <c r="AA494" s="305">
        <v>152.292</v>
      </c>
      <c r="AB494" s="305">
        <v>165.208</v>
      </c>
      <c r="AC494" s="305">
        <v>137.44399999999999</v>
      </c>
      <c r="AD494" s="305">
        <v>117.67100000000001</v>
      </c>
      <c r="AE494" s="305">
        <v>135.98699999999999</v>
      </c>
      <c r="AF494" s="282">
        <f t="shared" si="938"/>
        <v>131.32600000000002</v>
      </c>
      <c r="AG494" s="282">
        <f t="shared" si="939"/>
        <v>136.21494187809134</v>
      </c>
      <c r="AH494" s="282">
        <f t="shared" ref="AH494" si="942">$D494*AH487</f>
        <v>143.9986528425537</v>
      </c>
      <c r="AI494" s="329"/>
    </row>
    <row r="495" spans="1:35">
      <c r="C495" s="402" t="s">
        <v>462</v>
      </c>
      <c r="D495" s="375">
        <v>1</v>
      </c>
      <c r="E495" s="305">
        <v>0</v>
      </c>
      <c r="F495" s="305">
        <v>0</v>
      </c>
      <c r="G495" s="305">
        <v>0</v>
      </c>
      <c r="H495" s="282">
        <v>0</v>
      </c>
      <c r="I495" s="305">
        <v>0</v>
      </c>
      <c r="J495" s="305">
        <v>0</v>
      </c>
      <c r="K495" s="305">
        <v>0</v>
      </c>
      <c r="L495" s="282">
        <v>0</v>
      </c>
      <c r="M495" s="305">
        <v>0</v>
      </c>
      <c r="N495" s="305">
        <v>0</v>
      </c>
      <c r="O495" s="305">
        <v>0</v>
      </c>
      <c r="P495" s="282">
        <v>0</v>
      </c>
      <c r="Q495" s="305">
        <v>0</v>
      </c>
      <c r="R495" s="305">
        <v>0</v>
      </c>
      <c r="S495" s="305">
        <v>0</v>
      </c>
      <c r="T495" s="305">
        <v>0</v>
      </c>
      <c r="U495" s="305">
        <v>0</v>
      </c>
      <c r="V495" s="282">
        <f t="shared" ref="V495:X495" si="943">$D495*V488</f>
        <v>0</v>
      </c>
      <c r="W495" s="282">
        <f t="shared" si="943"/>
        <v>0</v>
      </c>
      <c r="X495" s="282">
        <f t="shared" si="943"/>
        <v>0</v>
      </c>
      <c r="Y495" s="283"/>
      <c r="Z495" s="305">
        <v>0</v>
      </c>
      <c r="AA495" s="305">
        <v>0</v>
      </c>
      <c r="AB495" s="305">
        <v>0</v>
      </c>
      <c r="AC495" s="305">
        <v>0</v>
      </c>
      <c r="AD495" s="305">
        <v>0</v>
      </c>
      <c r="AE495" s="305">
        <v>0</v>
      </c>
      <c r="AF495" s="282">
        <f t="shared" si="938"/>
        <v>0</v>
      </c>
      <c r="AG495" s="282">
        <f t="shared" si="939"/>
        <v>0</v>
      </c>
      <c r="AH495" s="282">
        <f t="shared" ref="AH495" si="944">$D495*AH488</f>
        <v>0</v>
      </c>
      <c r="AI495" s="329"/>
    </row>
    <row r="496" spans="1:35">
      <c r="C496" s="402" t="s">
        <v>463</v>
      </c>
      <c r="D496" s="375">
        <v>1</v>
      </c>
      <c r="E496" s="305">
        <v>0</v>
      </c>
      <c r="F496" s="305">
        <v>0</v>
      </c>
      <c r="G496" s="305">
        <v>0</v>
      </c>
      <c r="H496" s="282">
        <v>0</v>
      </c>
      <c r="I496" s="305">
        <v>0</v>
      </c>
      <c r="J496" s="305">
        <v>0</v>
      </c>
      <c r="K496" s="305">
        <v>0</v>
      </c>
      <c r="L496" s="282">
        <v>0</v>
      </c>
      <c r="M496" s="305">
        <v>0</v>
      </c>
      <c r="N496" s="305">
        <v>0</v>
      </c>
      <c r="O496" s="305">
        <v>0</v>
      </c>
      <c r="P496" s="282">
        <v>0</v>
      </c>
      <c r="Q496" s="305">
        <v>0</v>
      </c>
      <c r="R496" s="305">
        <v>0</v>
      </c>
      <c r="S496" s="305">
        <v>0</v>
      </c>
      <c r="T496" s="282">
        <v>0</v>
      </c>
      <c r="U496" s="282">
        <f t="shared" ref="U496:X496" si="945">$D496*U489</f>
        <v>0</v>
      </c>
      <c r="V496" s="282">
        <f t="shared" si="945"/>
        <v>0</v>
      </c>
      <c r="W496" s="282">
        <f t="shared" si="945"/>
        <v>0</v>
      </c>
      <c r="X496" s="282">
        <f t="shared" si="945"/>
        <v>0</v>
      </c>
      <c r="Y496" s="283"/>
      <c r="Z496" s="305">
        <v>0</v>
      </c>
      <c r="AA496" s="305">
        <v>0</v>
      </c>
      <c r="AB496" s="305">
        <v>0</v>
      </c>
      <c r="AC496" s="305">
        <v>0</v>
      </c>
      <c r="AD496" s="305">
        <v>0</v>
      </c>
      <c r="AE496" s="305">
        <v>0</v>
      </c>
      <c r="AF496" s="282">
        <f t="shared" si="938"/>
        <v>0</v>
      </c>
      <c r="AG496" s="282">
        <f t="shared" si="939"/>
        <v>0</v>
      </c>
      <c r="AH496" s="282">
        <f t="shared" ref="AH496" si="946">$D496*AH489</f>
        <v>0</v>
      </c>
      <c r="AI496" s="329"/>
    </row>
    <row r="497" spans="1:40">
      <c r="C497" s="416" t="s">
        <v>465</v>
      </c>
      <c r="E497" s="382">
        <f t="shared" ref="E497:S497" si="947">SUM(E494:E494)</f>
        <v>41.645000000000003</v>
      </c>
      <c r="F497" s="382">
        <f t="shared" si="947"/>
        <v>43</v>
      </c>
      <c r="G497" s="382">
        <f t="shared" si="947"/>
        <v>43.682000000000002</v>
      </c>
      <c r="H497" s="382">
        <f t="shared" si="947"/>
        <v>36.881</v>
      </c>
      <c r="I497" s="382">
        <f t="shared" si="947"/>
        <v>30.613</v>
      </c>
      <c r="J497" s="382">
        <f t="shared" si="947"/>
        <v>34.646999999999998</v>
      </c>
      <c r="K497" s="382">
        <f t="shared" si="947"/>
        <v>35.811</v>
      </c>
      <c r="L497" s="382">
        <f t="shared" si="947"/>
        <v>36.37299999999999</v>
      </c>
      <c r="M497" s="382">
        <f t="shared" si="947"/>
        <v>29.082000000000001</v>
      </c>
      <c r="N497" s="382">
        <f t="shared" si="947"/>
        <v>28.754000000000001</v>
      </c>
      <c r="O497" s="382">
        <f t="shared" si="947"/>
        <v>28.132999999999999</v>
      </c>
      <c r="P497" s="382">
        <f t="shared" si="947"/>
        <v>31.702000000000012</v>
      </c>
      <c r="Q497" s="382">
        <f t="shared" si="947"/>
        <v>40.869</v>
      </c>
      <c r="R497" s="769">
        <f t="shared" si="947"/>
        <v>30.614999999999998</v>
      </c>
      <c r="S497" s="382">
        <f t="shared" si="947"/>
        <v>31.227</v>
      </c>
      <c r="T497" s="382">
        <f t="shared" ref="T497" si="948">SUM(T494:T494)</f>
        <v>33.275999999999996</v>
      </c>
      <c r="U497" s="382">
        <f t="shared" ref="U497:X497" si="949">SUM(U494:U494)</f>
        <v>33.066000000000003</v>
      </c>
      <c r="V497" s="382">
        <f t="shared" si="949"/>
        <v>31.313560480467043</v>
      </c>
      <c r="W497" s="382">
        <f t="shared" si="949"/>
        <v>29.703559971928684</v>
      </c>
      <c r="X497" s="382">
        <f t="shared" si="949"/>
        <v>37.242879547604275</v>
      </c>
      <c r="Y497" s="283"/>
      <c r="Z497" s="382">
        <f t="shared" ref="Z497:AD497" si="950">SUM(Z494:Z494)</f>
        <v>142.73599999999999</v>
      </c>
      <c r="AA497" s="382">
        <f t="shared" si="950"/>
        <v>152.292</v>
      </c>
      <c r="AB497" s="382">
        <f t="shared" si="950"/>
        <v>165.208</v>
      </c>
      <c r="AC497" s="382">
        <f t="shared" si="950"/>
        <v>137.44399999999999</v>
      </c>
      <c r="AD497" s="382">
        <f t="shared" si="950"/>
        <v>117.67100000000001</v>
      </c>
      <c r="AE497" s="382">
        <f t="shared" ref="AE497" si="951">SUM(AE494:AE494)</f>
        <v>135.98699999999999</v>
      </c>
      <c r="AF497" s="382">
        <f>SUM(AF494:AF494)</f>
        <v>131.32600000000002</v>
      </c>
      <c r="AG497" s="382">
        <f>SUM(AG494:AG494)</f>
        <v>136.21494187809134</v>
      </c>
      <c r="AH497" s="382">
        <f>SUM(AH494:AH494)</f>
        <v>143.9986528425537</v>
      </c>
      <c r="AI497" s="329"/>
    </row>
    <row r="498" spans="1:40">
      <c r="C498" s="414"/>
      <c r="H498" s="282"/>
      <c r="O498" s="282"/>
      <c r="Y498" s="283"/>
      <c r="AE498" s="282"/>
      <c r="AI498" s="329"/>
    </row>
    <row r="499" spans="1:40">
      <c r="C499" s="414" t="s">
        <v>577</v>
      </c>
      <c r="E499" s="428"/>
      <c r="F499" s="428"/>
      <c r="G499" s="428"/>
      <c r="H499" s="428"/>
      <c r="I499" s="428"/>
      <c r="J499" s="428"/>
      <c r="K499" s="428"/>
      <c r="L499" s="428"/>
      <c r="M499" s="428"/>
      <c r="N499" s="428"/>
      <c r="O499" s="428"/>
      <c r="P499" s="428"/>
      <c r="Y499" s="283"/>
      <c r="AE499" s="282"/>
      <c r="AI499" s="329"/>
    </row>
    <row r="500" spans="1:40">
      <c r="C500" s="402" t="s">
        <v>444</v>
      </c>
      <c r="E500" s="282">
        <f>E$1*E493/1000</f>
        <v>0.14878877666553195</v>
      </c>
      <c r="F500" s="282">
        <f>F$1*F493/1000</f>
        <v>0.22700396195965516</v>
      </c>
      <c r="G500" s="282">
        <f>G$1*G493/1000</f>
        <v>0.13253704841223302</v>
      </c>
      <c r="H500" s="282">
        <f>H$1*H493/1000</f>
        <v>0.12537273061442777</v>
      </c>
      <c r="I500" s="282">
        <f t="shared" ref="I500:S500" si="952">I$1*I493/1000</f>
        <v>0.13287120210152711</v>
      </c>
      <c r="J500" s="282">
        <f t="shared" si="952"/>
        <v>7.3538919021279389E-2</v>
      </c>
      <c r="K500" s="282">
        <f t="shared" si="952"/>
        <v>0.13070672117189525</v>
      </c>
      <c r="L500" s="282">
        <f t="shared" si="952"/>
        <v>8.3273403712366065E-2</v>
      </c>
      <c r="M500" s="282">
        <f t="shared" si="952"/>
        <v>0.12255408243877507</v>
      </c>
      <c r="N500" s="282">
        <f t="shared" si="952"/>
        <v>8.0831808982694167E-2</v>
      </c>
      <c r="O500" s="282">
        <f t="shared" si="952"/>
        <v>0.12075220841881026</v>
      </c>
      <c r="P500" s="282">
        <f t="shared" si="952"/>
        <v>0.20339288402856281</v>
      </c>
      <c r="Q500" s="282">
        <f t="shared" si="952"/>
        <v>0.22365439229049272</v>
      </c>
      <c r="R500" s="282">
        <f t="shared" si="952"/>
        <v>0.2188847942768537</v>
      </c>
      <c r="S500" s="282">
        <f t="shared" si="952"/>
        <v>0.18612380262541203</v>
      </c>
      <c r="T500" s="282">
        <f t="shared" ref="T500" si="953">T$1*T493/1000</f>
        <v>0.12882215955280069</v>
      </c>
      <c r="U500" s="282">
        <f t="shared" ref="U500:X500" si="954">U$1*U493/1000</f>
        <v>0.22348767183847348</v>
      </c>
      <c r="V500" s="282">
        <f t="shared" si="954"/>
        <v>0</v>
      </c>
      <c r="W500" s="282">
        <f t="shared" si="954"/>
        <v>0</v>
      </c>
      <c r="X500" s="282">
        <f t="shared" si="954"/>
        <v>0</v>
      </c>
      <c r="Y500" s="283"/>
      <c r="Z500" s="282">
        <f>Z$1*Z493/1000</f>
        <v>0.56539379521995448</v>
      </c>
      <c r="AA500" s="282">
        <f>AA$1*AA493/1000</f>
        <v>0.60621538102803108</v>
      </c>
      <c r="AB500" s="282">
        <f t="shared" ref="AB500:AF503" si="955">SUMIF($E$5:$X$5,AB$5,$E500:$X500)</f>
        <v>0.63370251765184793</v>
      </c>
      <c r="AC500" s="282">
        <f t="shared" si="955"/>
        <v>0.42039024600706781</v>
      </c>
      <c r="AD500" s="282">
        <f t="shared" si="955"/>
        <v>0.52753098386884234</v>
      </c>
      <c r="AE500" s="282">
        <f t="shared" si="955"/>
        <v>0.75748514874555917</v>
      </c>
      <c r="AF500" s="282">
        <f t="shared" si="955"/>
        <v>0.22348767183847348</v>
      </c>
      <c r="AG500" s="282">
        <f>AG$1*AG493/1000</f>
        <v>0</v>
      </c>
      <c r="AH500" s="282">
        <f>AH$1*AH493/1000</f>
        <v>0</v>
      </c>
      <c r="AI500" s="329"/>
    </row>
    <row r="501" spans="1:40">
      <c r="C501" s="402" t="s">
        <v>440</v>
      </c>
      <c r="E501" s="282">
        <f>E$2*E494/1000</f>
        <v>55.469964441364716</v>
      </c>
      <c r="F501" s="282">
        <f>F$2*F494/1000</f>
        <v>55.971446774977792</v>
      </c>
      <c r="G501" s="282">
        <f>G$2*G494/1000</f>
        <v>52.639077937230198</v>
      </c>
      <c r="H501" s="282">
        <f>H$2*H494/1000</f>
        <v>45.627353345327101</v>
      </c>
      <c r="I501" s="282">
        <f t="shared" ref="I501:S501" si="956">I$2*I494/1000</f>
        <v>40.029099826047002</v>
      </c>
      <c r="J501" s="282">
        <f t="shared" si="956"/>
        <v>45.803396113450709</v>
      </c>
      <c r="K501" s="282">
        <f t="shared" si="956"/>
        <v>53.330977336582578</v>
      </c>
      <c r="L501" s="282">
        <f t="shared" si="956"/>
        <v>54.138741423811517</v>
      </c>
      <c r="M501" s="282">
        <f t="shared" si="956"/>
        <v>46.18956811375935</v>
      </c>
      <c r="N501" s="282">
        <f t="shared" si="956"/>
        <v>49.909563748856947</v>
      </c>
      <c r="O501" s="282">
        <f t="shared" si="956"/>
        <v>54.2583894417238</v>
      </c>
      <c r="P501" s="282">
        <f t="shared" si="956"/>
        <v>57.16926353606528</v>
      </c>
      <c r="Q501" s="282">
        <f t="shared" si="956"/>
        <v>72.346534092099304</v>
      </c>
      <c r="R501" s="282">
        <f t="shared" si="956"/>
        <v>55.871222888884169</v>
      </c>
      <c r="S501" s="282">
        <f t="shared" si="956"/>
        <v>55.962441614309157</v>
      </c>
      <c r="T501" s="282">
        <f t="shared" ref="T501" si="957">T$2*T494/1000</f>
        <v>59.96311837843956</v>
      </c>
      <c r="U501" s="282">
        <f t="shared" ref="U501:X501" si="958">U$2*U494/1000</f>
        <v>62.154704601368977</v>
      </c>
      <c r="V501" s="282">
        <f t="shared" si="958"/>
        <v>57.162904657092582</v>
      </c>
      <c r="W501" s="282">
        <f t="shared" si="958"/>
        <v>54.458506852534043</v>
      </c>
      <c r="X501" s="282">
        <f t="shared" si="958"/>
        <v>68.700077757488216</v>
      </c>
      <c r="Y501" s="283"/>
      <c r="Z501" s="282">
        <f>Z$2*Z494/1000</f>
        <v>177.77654568785033</v>
      </c>
      <c r="AA501" s="282">
        <f>AA$2*AA494/1000</f>
        <v>192.10290108171273</v>
      </c>
      <c r="AB501" s="282">
        <f t="shared" si="955"/>
        <v>209.70784249889982</v>
      </c>
      <c r="AC501" s="282">
        <f t="shared" si="955"/>
        <v>193.30221469989181</v>
      </c>
      <c r="AD501" s="282">
        <f t="shared" si="955"/>
        <v>207.52678484040538</v>
      </c>
      <c r="AE501" s="282">
        <f t="shared" si="955"/>
        <v>244.14331697373217</v>
      </c>
      <c r="AF501" s="282">
        <f t="shared" si="955"/>
        <v>242.47619386848379</v>
      </c>
      <c r="AG501" s="282">
        <f>AG$2*AG494/1000</f>
        <v>255.24636883826147</v>
      </c>
      <c r="AH501" s="282">
        <f>AH$2*AH494/1000</f>
        <v>276.5062131882716</v>
      </c>
      <c r="AI501" s="329"/>
    </row>
    <row r="502" spans="1:40">
      <c r="C502" s="402" t="s">
        <v>439</v>
      </c>
      <c r="E502" s="282">
        <f>E$3*E495*2</f>
        <v>0</v>
      </c>
      <c r="F502" s="282">
        <f>F$3*F495*2</f>
        <v>0</v>
      </c>
      <c r="G502" s="282">
        <f>G$3*G495*2</f>
        <v>0</v>
      </c>
      <c r="H502" s="282">
        <f>H$3*H495*2</f>
        <v>0</v>
      </c>
      <c r="I502" s="282">
        <f t="shared" ref="I502:S502" si="959">I$3*I495*2</f>
        <v>0</v>
      </c>
      <c r="J502" s="282">
        <f t="shared" si="959"/>
        <v>0</v>
      </c>
      <c r="K502" s="282">
        <f t="shared" si="959"/>
        <v>0</v>
      </c>
      <c r="L502" s="282">
        <f t="shared" si="959"/>
        <v>0</v>
      </c>
      <c r="M502" s="282">
        <f t="shared" si="959"/>
        <v>0</v>
      </c>
      <c r="N502" s="282">
        <f t="shared" si="959"/>
        <v>0</v>
      </c>
      <c r="O502" s="282">
        <f t="shared" si="959"/>
        <v>0</v>
      </c>
      <c r="P502" s="282">
        <f t="shared" si="959"/>
        <v>0</v>
      </c>
      <c r="Q502" s="282">
        <f t="shared" si="959"/>
        <v>0</v>
      </c>
      <c r="R502" s="282">
        <f t="shared" si="959"/>
        <v>0</v>
      </c>
      <c r="S502" s="282">
        <f t="shared" si="959"/>
        <v>0</v>
      </c>
      <c r="T502" s="282">
        <f t="shared" ref="T502" si="960">T$3*T495*2</f>
        <v>0</v>
      </c>
      <c r="U502" s="282">
        <f t="shared" ref="U502:X502" si="961">U$3*U495*2</f>
        <v>0</v>
      </c>
      <c r="V502" s="282">
        <f t="shared" si="961"/>
        <v>0</v>
      </c>
      <c r="W502" s="282">
        <f t="shared" si="961"/>
        <v>0</v>
      </c>
      <c r="X502" s="282">
        <f t="shared" si="961"/>
        <v>0</v>
      </c>
      <c r="Y502" s="283"/>
      <c r="Z502" s="282">
        <f>Z$3*Z495*2</f>
        <v>0</v>
      </c>
      <c r="AA502" s="282">
        <f>AA$3*AA495*2</f>
        <v>0</v>
      </c>
      <c r="AB502" s="282">
        <f t="shared" si="955"/>
        <v>0</v>
      </c>
      <c r="AC502" s="282">
        <f t="shared" si="955"/>
        <v>0</v>
      </c>
      <c r="AD502" s="282">
        <f t="shared" si="955"/>
        <v>0</v>
      </c>
      <c r="AE502" s="282">
        <f t="shared" si="955"/>
        <v>0</v>
      </c>
      <c r="AF502" s="282">
        <f t="shared" si="955"/>
        <v>0</v>
      </c>
      <c r="AG502" s="282">
        <f ca="1">AG$3*AG495*2</f>
        <v>0</v>
      </c>
      <c r="AH502" s="282">
        <f ca="1">AH$3*AH495*2</f>
        <v>0</v>
      </c>
      <c r="AI502" s="329"/>
    </row>
    <row r="503" spans="1:40">
      <c r="C503" s="402" t="s">
        <v>441</v>
      </c>
      <c r="E503" s="282">
        <f>E$4*E496*2</f>
        <v>0</v>
      </c>
      <c r="F503" s="282">
        <f>F$4*F496*2</f>
        <v>0</v>
      </c>
      <c r="G503" s="282">
        <f>G$4*G496*2</f>
        <v>0</v>
      </c>
      <c r="H503" s="282">
        <f>H$4*H496*2</f>
        <v>0</v>
      </c>
      <c r="I503" s="282">
        <f t="shared" ref="I503:S503" si="962">I$4*I496*2</f>
        <v>0</v>
      </c>
      <c r="J503" s="282">
        <f t="shared" si="962"/>
        <v>0</v>
      </c>
      <c r="K503" s="282">
        <f t="shared" si="962"/>
        <v>0</v>
      </c>
      <c r="L503" s="282">
        <f t="shared" si="962"/>
        <v>0</v>
      </c>
      <c r="M503" s="282">
        <f t="shared" si="962"/>
        <v>0</v>
      </c>
      <c r="N503" s="282">
        <f t="shared" si="962"/>
        <v>0</v>
      </c>
      <c r="O503" s="282">
        <f t="shared" si="962"/>
        <v>0</v>
      </c>
      <c r="P503" s="282">
        <f t="shared" si="962"/>
        <v>0</v>
      </c>
      <c r="Q503" s="282">
        <f t="shared" si="962"/>
        <v>0</v>
      </c>
      <c r="R503" s="282">
        <f t="shared" si="962"/>
        <v>0</v>
      </c>
      <c r="S503" s="282">
        <f t="shared" si="962"/>
        <v>0</v>
      </c>
      <c r="T503" s="282">
        <f t="shared" ref="T503" si="963">T$4*T496*2</f>
        <v>0</v>
      </c>
      <c r="U503" s="282">
        <f t="shared" ref="U503:X503" si="964">U$4*U496*2</f>
        <v>0</v>
      </c>
      <c r="V503" s="282">
        <f t="shared" si="964"/>
        <v>0</v>
      </c>
      <c r="W503" s="282">
        <f t="shared" si="964"/>
        <v>0</v>
      </c>
      <c r="X503" s="282">
        <f t="shared" si="964"/>
        <v>0</v>
      </c>
      <c r="Y503" s="283"/>
      <c r="Z503" s="282">
        <f>Z$4*Z496*2</f>
        <v>0</v>
      </c>
      <c r="AA503" s="282">
        <f>AA$4*AA496*2</f>
        <v>0</v>
      </c>
      <c r="AB503" s="282">
        <f t="shared" si="955"/>
        <v>0</v>
      </c>
      <c r="AC503" s="282">
        <f t="shared" si="955"/>
        <v>0</v>
      </c>
      <c r="AD503" s="282">
        <f t="shared" si="955"/>
        <v>0</v>
      </c>
      <c r="AE503" s="282">
        <f t="shared" si="955"/>
        <v>0</v>
      </c>
      <c r="AF503" s="282">
        <f t="shared" si="955"/>
        <v>0</v>
      </c>
      <c r="AG503" s="282">
        <f ca="1">AG$4*AG496*2</f>
        <v>0</v>
      </c>
      <c r="AH503" s="282">
        <f ca="1">AH$4*AH496*2</f>
        <v>0</v>
      </c>
      <c r="AI503" s="329"/>
    </row>
    <row r="504" spans="1:40">
      <c r="C504" s="416" t="s">
        <v>578</v>
      </c>
      <c r="E504" s="382">
        <f t="shared" ref="E504:R504" si="965">SUM(E500:E503)</f>
        <v>55.61875321803025</v>
      </c>
      <c r="F504" s="382">
        <f t="shared" si="965"/>
        <v>56.198450736937446</v>
      </c>
      <c r="G504" s="382">
        <f t="shared" si="965"/>
        <v>52.771614985642429</v>
      </c>
      <c r="H504" s="382">
        <f t="shared" si="965"/>
        <v>45.752726075941531</v>
      </c>
      <c r="I504" s="382">
        <f t="shared" si="965"/>
        <v>40.161971028148528</v>
      </c>
      <c r="J504" s="382">
        <f t="shared" si="965"/>
        <v>45.876935032471991</v>
      </c>
      <c r="K504" s="382">
        <f t="shared" si="965"/>
        <v>53.461684057754475</v>
      </c>
      <c r="L504" s="382">
        <f t="shared" si="965"/>
        <v>54.222014827523886</v>
      </c>
      <c r="M504" s="382">
        <f t="shared" si="965"/>
        <v>46.312122196198125</v>
      </c>
      <c r="N504" s="382">
        <f t="shared" si="965"/>
        <v>49.990395557839641</v>
      </c>
      <c r="O504" s="382">
        <f t="shared" si="965"/>
        <v>54.379141650142607</v>
      </c>
      <c r="P504" s="382">
        <f t="shared" si="965"/>
        <v>57.37265642009384</v>
      </c>
      <c r="Q504" s="382">
        <f t="shared" si="965"/>
        <v>72.570188484389803</v>
      </c>
      <c r="R504" s="769">
        <f t="shared" si="965"/>
        <v>56.090107683161023</v>
      </c>
      <c r="S504" s="769">
        <f t="shared" ref="S504:T504" si="966">SUM(S500:S503)</f>
        <v>56.148565416934566</v>
      </c>
      <c r="T504" s="769">
        <f t="shared" si="966"/>
        <v>60.091940537992357</v>
      </c>
      <c r="U504" s="382">
        <f t="shared" ref="U504:X504" si="967">SUM(U500:U503)</f>
        <v>62.378192273207453</v>
      </c>
      <c r="V504" s="382">
        <f t="shared" si="967"/>
        <v>57.162904657092582</v>
      </c>
      <c r="W504" s="382">
        <f t="shared" si="967"/>
        <v>54.458506852534043</v>
      </c>
      <c r="X504" s="382">
        <f t="shared" si="967"/>
        <v>68.700077757488216</v>
      </c>
      <c r="Y504" s="283"/>
      <c r="Z504" s="382">
        <f t="shared" ref="Z504:AG504" si="968">SUM(Z500:Z503)</f>
        <v>178.34193948307029</v>
      </c>
      <c r="AA504" s="382">
        <f t="shared" si="968"/>
        <v>192.70911646274075</v>
      </c>
      <c r="AB504" s="382">
        <f t="shared" si="968"/>
        <v>210.34154501655166</v>
      </c>
      <c r="AC504" s="382">
        <f t="shared" si="968"/>
        <v>193.72260494589887</v>
      </c>
      <c r="AD504" s="382">
        <f t="shared" si="968"/>
        <v>208.05431582427423</v>
      </c>
      <c r="AE504" s="382">
        <f t="shared" si="968"/>
        <v>244.90080212247773</v>
      </c>
      <c r="AF504" s="382">
        <f t="shared" si="968"/>
        <v>242.69968154032227</v>
      </c>
      <c r="AG504" s="382">
        <f t="shared" ca="1" si="968"/>
        <v>255.24636883826147</v>
      </c>
      <c r="AH504" s="382">
        <f t="shared" ref="AH504" ca="1" si="969">SUM(AH500:AH503)</f>
        <v>276.5062131882716</v>
      </c>
      <c r="AI504" s="329"/>
    </row>
    <row r="505" spans="1:40" ht="3" customHeight="1">
      <c r="C505" s="416"/>
      <c r="E505" s="308"/>
      <c r="F505" s="308"/>
      <c r="G505" s="308"/>
      <c r="H505" s="308"/>
      <c r="I505" s="308"/>
      <c r="J505" s="308"/>
      <c r="K505" s="308"/>
      <c r="L505" s="308"/>
      <c r="M505" s="308"/>
      <c r="N505" s="308"/>
      <c r="O505" s="308"/>
      <c r="P505" s="308"/>
      <c r="Q505" s="308"/>
      <c r="R505" s="308"/>
      <c r="S505" s="308"/>
      <c r="T505" s="308"/>
      <c r="U505" s="308"/>
      <c r="V505" s="308"/>
      <c r="W505" s="308"/>
      <c r="X505" s="308"/>
      <c r="Y505" s="283"/>
      <c r="Z505" s="308"/>
      <c r="AA505" s="308"/>
      <c r="AB505" s="308"/>
      <c r="AC505" s="308"/>
      <c r="AD505" s="308"/>
      <c r="AE505" s="308"/>
      <c r="AF505" s="308"/>
      <c r="AG505" s="308"/>
      <c r="AH505" s="308"/>
      <c r="AI505" s="329"/>
    </row>
    <row r="506" spans="1:40" s="456" customFormat="1">
      <c r="A506" s="283"/>
      <c r="B506" s="534"/>
      <c r="C506" s="480" t="s">
        <v>575</v>
      </c>
      <c r="D506" s="535"/>
      <c r="E506" s="456">
        <f>+E504-E509</f>
        <v>7.0753218030247922E-2</v>
      </c>
      <c r="F506" s="456">
        <f t="shared" ref="F506:AE506" si="970">+F504-F509</f>
        <v>9.5450736937443992E-2</v>
      </c>
      <c r="G506" s="456">
        <f t="shared" si="970"/>
        <v>-7.8385014357571947E-2</v>
      </c>
      <c r="H506" s="456">
        <f t="shared" si="970"/>
        <v>-8.5273924058462569E-2</v>
      </c>
      <c r="I506" s="456">
        <f t="shared" si="970"/>
        <v>9.997102814853065E-2</v>
      </c>
      <c r="J506" s="456">
        <f t="shared" si="970"/>
        <v>0.37693503247199089</v>
      </c>
      <c r="K506" s="456">
        <f t="shared" si="970"/>
        <v>8.6840577544720077E-3</v>
      </c>
      <c r="L506" s="456">
        <f t="shared" si="970"/>
        <v>0.29301482752388353</v>
      </c>
      <c r="M506" s="456">
        <f t="shared" si="970"/>
        <v>0.14012219619812782</v>
      </c>
      <c r="N506" s="456">
        <f t="shared" si="970"/>
        <v>-1.4604442160361941E-2</v>
      </c>
      <c r="O506" s="456">
        <f t="shared" si="970"/>
        <v>0.82514165014260499</v>
      </c>
      <c r="P506" s="456">
        <f t="shared" si="970"/>
        <v>-2.1203435799061552</v>
      </c>
      <c r="Q506" s="456">
        <f t="shared" si="970"/>
        <v>-0.34081151561019851</v>
      </c>
      <c r="R506" s="456">
        <f t="shared" si="970"/>
        <v>-3.1892316838977308E-2</v>
      </c>
      <c r="S506" s="456">
        <f t="shared" ref="S506:T506" si="971">+S504-S509</f>
        <v>8.3565416934568759E-2</v>
      </c>
      <c r="T506" s="456">
        <f t="shared" si="971"/>
        <v>3.7940537992355416E-2</v>
      </c>
      <c r="U506" s="456">
        <f t="shared" ref="U506" si="972">+U504-U509</f>
        <v>0.27719227320745432</v>
      </c>
      <c r="V506" s="456">
        <f t="shared" ref="V506:X506" si="973">V507*V504</f>
        <v>0.25401690731339499</v>
      </c>
      <c r="W506" s="456">
        <f t="shared" si="973"/>
        <v>0.24199927506429866</v>
      </c>
      <c r="X506" s="456">
        <f t="shared" si="973"/>
        <v>0.30528506885420587</v>
      </c>
      <c r="Y506" s="283"/>
      <c r="Z506" s="456">
        <f t="shared" si="970"/>
        <v>1.1989394830702906</v>
      </c>
      <c r="AA506" s="456">
        <f t="shared" si="970"/>
        <v>0.5441164627407602</v>
      </c>
      <c r="AB506" s="456">
        <f t="shared" si="970"/>
        <v>2.5450165516645029E-3</v>
      </c>
      <c r="AC506" s="456">
        <f t="shared" si="970"/>
        <v>0.77860494589887708</v>
      </c>
      <c r="AD506" s="456">
        <f t="shared" si="970"/>
        <v>-1.169684175725763</v>
      </c>
      <c r="AE506" s="456">
        <f t="shared" si="970"/>
        <v>-0.25119787752225875</v>
      </c>
      <c r="AF506" s="456">
        <f t="shared" ref="AF506" si="974">+AF504-AF509</f>
        <v>1.0784935244393523</v>
      </c>
      <c r="AG506" s="456">
        <f ca="1">AG507*AG504</f>
        <v>0.25524636883826146</v>
      </c>
      <c r="AH506" s="456">
        <f ca="1">AH507*AH504</f>
        <v>0.27650621318827162</v>
      </c>
      <c r="AI506" s="329"/>
    </row>
    <row r="507" spans="1:40">
      <c r="C507" s="335" t="s">
        <v>579</v>
      </c>
      <c r="E507" s="329">
        <f>E506/E504</f>
        <v>1.2721108247948185E-3</v>
      </c>
      <c r="F507" s="329">
        <f t="shared" ref="F507:R507" si="975">F506/F504</f>
        <v>1.6984585106134835E-3</v>
      </c>
      <c r="G507" s="329">
        <f t="shared" si="975"/>
        <v>-1.4853631896408353E-3</v>
      </c>
      <c r="H507" s="329">
        <f t="shared" si="975"/>
        <v>-1.8637998513339458E-3</v>
      </c>
      <c r="I507" s="329">
        <f t="shared" si="975"/>
        <v>2.4891962617687126E-3</v>
      </c>
      <c r="J507" s="329">
        <f t="shared" si="975"/>
        <v>8.2162209006594236E-3</v>
      </c>
      <c r="K507" s="329">
        <f t="shared" si="975"/>
        <v>1.6243517030048378E-4</v>
      </c>
      <c r="L507" s="329">
        <f t="shared" si="975"/>
        <v>5.403982652727706E-3</v>
      </c>
      <c r="M507" s="536">
        <f t="shared" si="975"/>
        <v>3.0256051667101277E-3</v>
      </c>
      <c r="N507" s="536">
        <f t="shared" si="975"/>
        <v>-2.9214496099484516E-4</v>
      </c>
      <c r="O507" s="536">
        <f t="shared" si="975"/>
        <v>1.5173863086168096E-2</v>
      </c>
      <c r="P507" s="536">
        <f t="shared" si="975"/>
        <v>-3.6957388976040846E-2</v>
      </c>
      <c r="Q507" s="536">
        <f t="shared" si="975"/>
        <v>-4.6963019213255687E-3</v>
      </c>
      <c r="R507" s="536">
        <f t="shared" si="975"/>
        <v>-5.6859075791276814E-4</v>
      </c>
      <c r="S507" s="536">
        <f t="shared" ref="S507:T507" si="976">S506/S504</f>
        <v>1.488291220159388E-3</v>
      </c>
      <c r="T507" s="536">
        <f t="shared" si="976"/>
        <v>6.313748175326107E-4</v>
      </c>
      <c r="U507" s="536">
        <f t="shared" ref="U507" si="977">U506/U504</f>
        <v>4.4437368751148202E-3</v>
      </c>
      <c r="V507" s="481">
        <f t="shared" ref="V507:X507" si="978">+U507</f>
        <v>4.4437368751148202E-3</v>
      </c>
      <c r="W507" s="481">
        <f t="shared" si="978"/>
        <v>4.4437368751148202E-3</v>
      </c>
      <c r="X507" s="481">
        <f t="shared" si="978"/>
        <v>4.4437368751148202E-3</v>
      </c>
      <c r="Y507" s="283"/>
      <c r="Z507" s="536">
        <f t="shared" ref="Z507:AE507" si="979">Z506/Z504</f>
        <v>6.7227007093533598E-3</v>
      </c>
      <c r="AA507" s="536">
        <f t="shared" si="979"/>
        <v>2.8235117919082056E-3</v>
      </c>
      <c r="AB507" s="536">
        <f t="shared" si="979"/>
        <v>1.209944783596715E-5</v>
      </c>
      <c r="AC507" s="536">
        <f t="shared" si="979"/>
        <v>4.0191744588419041E-3</v>
      </c>
      <c r="AD507" s="536">
        <f t="shared" si="979"/>
        <v>-5.6220135164785322E-3</v>
      </c>
      <c r="AE507" s="536">
        <f t="shared" si="979"/>
        <v>-1.0257127593915833E-3</v>
      </c>
      <c r="AF507" s="536">
        <f t="shared" ref="AF507" si="980">AF506/AF504</f>
        <v>4.4437368751148142E-3</v>
      </c>
      <c r="AG507" s="333">
        <v>1E-3</v>
      </c>
      <c r="AH507" s="333">
        <v>1E-3</v>
      </c>
      <c r="AI507" s="329"/>
    </row>
    <row r="508" spans="1:40">
      <c r="C508" s="335"/>
      <c r="M508" s="283"/>
      <c r="N508" s="283"/>
      <c r="O508" s="283"/>
      <c r="P508" s="283"/>
      <c r="Q508" s="283"/>
      <c r="Y508" s="283"/>
      <c r="AB508" s="282"/>
      <c r="AC508" s="282"/>
      <c r="AD508" s="282"/>
      <c r="AE508" s="282"/>
      <c r="AF508" s="380"/>
      <c r="AI508" s="329"/>
    </row>
    <row r="509" spans="1:40" s="307" customFormat="1">
      <c r="A509" s="283"/>
      <c r="B509" s="507"/>
      <c r="C509" s="507" t="s">
        <v>453</v>
      </c>
      <c r="D509" s="508"/>
      <c r="E509" s="509">
        <v>55.548000000000002</v>
      </c>
      <c r="F509" s="509">
        <v>56.103000000000002</v>
      </c>
      <c r="G509" s="509">
        <v>52.85</v>
      </c>
      <c r="H509" s="510">
        <f>SUMIF($Z$6:$AG$6,H$6,$Z509:$AG509)-SUM(E509:G509)</f>
        <v>45.837999999999994</v>
      </c>
      <c r="I509" s="509">
        <v>40.061999999999998</v>
      </c>
      <c r="J509" s="509">
        <v>45.5</v>
      </c>
      <c r="K509" s="509">
        <v>53.453000000000003</v>
      </c>
      <c r="L509" s="510">
        <f>SUMIF($Z$6:$AG$6,L$6,$Z509:$AG509)-SUM(I509:K509)</f>
        <v>53.929000000000002</v>
      </c>
      <c r="M509" s="509">
        <v>46.171999999999997</v>
      </c>
      <c r="N509" s="509">
        <v>50.005000000000003</v>
      </c>
      <c r="O509" s="509">
        <v>53.554000000000002</v>
      </c>
      <c r="P509" s="510">
        <f>SUMIF($Z$6:$AG$6,P$6,$Z509:$AG509)-SUM(M509:O509)</f>
        <v>59.492999999999995</v>
      </c>
      <c r="Q509" s="509">
        <v>72.911000000000001</v>
      </c>
      <c r="R509" s="509">
        <v>56.122</v>
      </c>
      <c r="S509" s="509">
        <v>56.064999999999998</v>
      </c>
      <c r="T509" s="772">
        <v>60.054000000000002</v>
      </c>
      <c r="U509" s="772">
        <v>62.100999999999999</v>
      </c>
      <c r="V509" s="511">
        <f t="shared" ref="V509:X509" si="981">V504-V506</f>
        <v>56.90888774977919</v>
      </c>
      <c r="W509" s="511">
        <f t="shared" si="981"/>
        <v>54.216507577469741</v>
      </c>
      <c r="X509" s="511">
        <f t="shared" si="981"/>
        <v>68.394792688634013</v>
      </c>
      <c r="Y509" s="283"/>
      <c r="Z509" s="509">
        <v>177.143</v>
      </c>
      <c r="AA509" s="509">
        <v>192.16499999999999</v>
      </c>
      <c r="AB509" s="509">
        <v>210.339</v>
      </c>
      <c r="AC509" s="509">
        <v>192.94399999999999</v>
      </c>
      <c r="AD509" s="509">
        <v>209.22399999999999</v>
      </c>
      <c r="AE509" s="509">
        <v>245.15199999999999</v>
      </c>
      <c r="AF509" s="511">
        <f t="shared" ref="AF509" si="982">SUMIF($E$5:$X$5,AF$5,$E509:$X509)</f>
        <v>241.62118801588292</v>
      </c>
      <c r="AG509" s="511">
        <f ca="1">AG504-AG506</f>
        <v>254.9911224694232</v>
      </c>
      <c r="AH509" s="511">
        <f ca="1">AH504-AH506</f>
        <v>276.22970697508333</v>
      </c>
      <c r="AI509" s="329"/>
    </row>
    <row r="510" spans="1:40" s="307" customFormat="1">
      <c r="A510" s="283"/>
      <c r="D510" s="498"/>
      <c r="E510" s="315"/>
      <c r="F510" s="315"/>
      <c r="G510" s="315"/>
      <c r="H510" s="308"/>
      <c r="I510" s="315"/>
      <c r="J510" s="315"/>
      <c r="K510" s="315"/>
      <c r="L510" s="308"/>
      <c r="M510" s="315"/>
      <c r="N510" s="315"/>
      <c r="O510" s="315"/>
      <c r="P510" s="308"/>
      <c r="Q510" s="315"/>
      <c r="R510" s="315"/>
      <c r="S510" s="512"/>
      <c r="T510" s="512"/>
      <c r="U510" s="512"/>
      <c r="V510" s="512"/>
      <c r="W510" s="512"/>
      <c r="X510" s="512"/>
      <c r="Y510" s="283"/>
      <c r="Z510" s="315"/>
      <c r="AA510" s="315"/>
      <c r="AB510" s="315"/>
      <c r="AC510" s="315"/>
      <c r="AD510" s="315"/>
      <c r="AE510" s="308"/>
      <c r="AF510" s="512"/>
      <c r="AG510" s="512"/>
      <c r="AH510" s="512"/>
    </row>
    <row r="511" spans="1:40" s="281" customFormat="1">
      <c r="A511" s="283"/>
      <c r="B511" s="518"/>
      <c r="C511" s="518" t="s">
        <v>311</v>
      </c>
      <c r="D511" s="519"/>
      <c r="E511" s="520">
        <v>33.076999999999998</v>
      </c>
      <c r="F511" s="520">
        <v>32.979999999999997</v>
      </c>
      <c r="G511" s="520">
        <v>31.213000000000001</v>
      </c>
      <c r="H511" s="521">
        <f>SUMIF($Z$6:$AG$6,H$6,$Z511:$AG511)-SUM(E511:G511)</f>
        <v>30.830000000000013</v>
      </c>
      <c r="I511" s="520">
        <v>32.926000000000002</v>
      </c>
      <c r="J511" s="520">
        <v>36.591000000000001</v>
      </c>
      <c r="K511" s="520">
        <v>33.915999999999997</v>
      </c>
      <c r="L511" s="521">
        <f>SUMIF($Z$6:$AG$6,L$6,$Z511:$AG511)-SUM(I511:K511)</f>
        <v>40.289000000000016</v>
      </c>
      <c r="M511" s="520">
        <v>31.928000000000001</v>
      </c>
      <c r="N511" s="520">
        <v>28.300999999999998</v>
      </c>
      <c r="O511" s="520">
        <v>36.35</v>
      </c>
      <c r="P511" s="521">
        <f>SUMIF($Z$6:$AG$6,P$6,$Z511:$AG511)-SUM(M511:O511)</f>
        <v>37.282999999999987</v>
      </c>
      <c r="Q511" s="520">
        <v>36.975000000000001</v>
      </c>
      <c r="R511" s="520">
        <v>36.43</v>
      </c>
      <c r="S511" s="520">
        <v>38.195999999999998</v>
      </c>
      <c r="T511" s="521">
        <f>SUMIF($Z$6:$AG$6,T$6,$Z511:$AG511)-SUM(Q511:S511)</f>
        <v>37.484000000000009</v>
      </c>
      <c r="U511" s="520">
        <v>46.322000000000003</v>
      </c>
      <c r="V511" s="521">
        <f t="shared" ref="V511:V512" si="983">($AF511-$U511)*R511/SUM($R511:$T511)</f>
        <v>34.258692712514488</v>
      </c>
      <c r="W511" s="521">
        <f t="shared" ref="W511:W512" si="984">($AF511-$U511)*S511/SUM($R511:$T511)</f>
        <v>35.91943526893229</v>
      </c>
      <c r="X511" s="521">
        <f t="shared" ref="X511:X512" si="985">($AF511-$U511)*T511/SUM($R511:$T511)</f>
        <v>35.249872018553212</v>
      </c>
      <c r="Y511" s="283"/>
      <c r="Z511" s="520">
        <v>108.399</v>
      </c>
      <c r="AA511" s="520">
        <v>125.58499999999999</v>
      </c>
      <c r="AB511" s="520">
        <v>128.1</v>
      </c>
      <c r="AC511" s="520">
        <v>143.72200000000001</v>
      </c>
      <c r="AD511" s="520">
        <v>133.86199999999999</v>
      </c>
      <c r="AE511" s="520">
        <v>149.08500000000001</v>
      </c>
      <c r="AF511" s="377">
        <f>210-AF512</f>
        <v>151.75</v>
      </c>
      <c r="AG511" s="805">
        <f>AF511+10</f>
        <v>161.75</v>
      </c>
      <c r="AH511" s="805">
        <f>AG511+15</f>
        <v>176.75</v>
      </c>
      <c r="AI511" s="285"/>
      <c r="AJ511" s="285"/>
      <c r="AK511" s="285"/>
      <c r="AL511" s="285"/>
      <c r="AM511" s="285"/>
      <c r="AN511" s="285"/>
    </row>
    <row r="512" spans="1:40" s="281" customFormat="1">
      <c r="A512" s="283"/>
      <c r="B512" s="518"/>
      <c r="C512" s="518" t="s">
        <v>312</v>
      </c>
      <c r="D512" s="519"/>
      <c r="E512" s="520">
        <v>16.11</v>
      </c>
      <c r="F512" s="520">
        <v>18.715</v>
      </c>
      <c r="G512" s="520">
        <v>20.053999999999998</v>
      </c>
      <c r="H512" s="521">
        <f>SUMIF($Z$6:$AG$6,H$6,$Z512:$AG512)-SUM(E512:G512)</f>
        <v>16.423000000000002</v>
      </c>
      <c r="I512" s="520">
        <v>16.155000000000001</v>
      </c>
      <c r="J512" s="520">
        <v>18.561</v>
      </c>
      <c r="K512" s="520">
        <v>19.09</v>
      </c>
      <c r="L512" s="521">
        <f>SUMIF($Z$6:$AG$6,L$6,$Z512:$AG512)-SUM(I512:K512)</f>
        <v>20.153999999999996</v>
      </c>
      <c r="M512" s="520">
        <v>16.396999999999998</v>
      </c>
      <c r="N512" s="520">
        <v>17.280999999999999</v>
      </c>
      <c r="O512" s="520">
        <v>17.471</v>
      </c>
      <c r="P512" s="521">
        <f>SUMIF($Z$6:$AG$6,P$6,$Z512:$AG512)-SUM(M512:O512)</f>
        <v>18.423000000000002</v>
      </c>
      <c r="Q512" s="520">
        <v>25.541</v>
      </c>
      <c r="R512" s="520">
        <v>20.91</v>
      </c>
      <c r="S512" s="520">
        <v>19.968</v>
      </c>
      <c r="T512" s="521">
        <f>SUMIF($Z$6:$AG$6,T$6,$Z512:$AG512)-SUM(Q512:S512)</f>
        <v>14.325000000000003</v>
      </c>
      <c r="U512" s="520">
        <v>15.846</v>
      </c>
      <c r="V512" s="521">
        <f t="shared" si="983"/>
        <v>16.061946633335143</v>
      </c>
      <c r="W512" s="521">
        <f t="shared" si="984"/>
        <v>15.33835248084343</v>
      </c>
      <c r="X512" s="521">
        <f t="shared" si="985"/>
        <v>11.003700885821424</v>
      </c>
      <c r="Y512" s="283"/>
      <c r="Z512" s="520">
        <v>54.817</v>
      </c>
      <c r="AA512" s="520">
        <v>59.131</v>
      </c>
      <c r="AB512" s="520">
        <v>71.302000000000007</v>
      </c>
      <c r="AC512" s="520">
        <v>73.959999999999994</v>
      </c>
      <c r="AD512" s="520">
        <v>69.572000000000003</v>
      </c>
      <c r="AE512" s="520">
        <v>80.744</v>
      </c>
      <c r="AF512" s="377">
        <v>58.25</v>
      </c>
      <c r="AG512" s="805">
        <f>AF512+2</f>
        <v>60.25</v>
      </c>
      <c r="AH512" s="805">
        <f>AG512+4</f>
        <v>64.25</v>
      </c>
      <c r="AI512" s="285"/>
      <c r="AJ512" s="285"/>
      <c r="AK512" s="285"/>
      <c r="AL512" s="285"/>
      <c r="AM512" s="285"/>
      <c r="AN512" s="285"/>
    </row>
    <row r="513" spans="1:34" s="281" customFormat="1">
      <c r="A513" s="283"/>
      <c r="B513" s="518"/>
      <c r="C513" s="522" t="s">
        <v>161</v>
      </c>
      <c r="D513" s="519"/>
      <c r="E513" s="523">
        <f t="shared" ref="E513:Q513" si="986">E509-SUM(E511:E512)</f>
        <v>6.3610000000000042</v>
      </c>
      <c r="F513" s="523">
        <f t="shared" si="986"/>
        <v>4.4080000000000084</v>
      </c>
      <c r="G513" s="523">
        <f t="shared" si="986"/>
        <v>1.5830000000000055</v>
      </c>
      <c r="H513" s="523">
        <f t="shared" si="986"/>
        <v>-1.4150000000000205</v>
      </c>
      <c r="I513" s="523">
        <f t="shared" si="986"/>
        <v>-9.0190000000000055</v>
      </c>
      <c r="J513" s="523">
        <f t="shared" si="986"/>
        <v>-9.652000000000001</v>
      </c>
      <c r="K513" s="523">
        <f t="shared" si="986"/>
        <v>0.44700000000000273</v>
      </c>
      <c r="L513" s="523">
        <f t="shared" si="986"/>
        <v>-6.51400000000001</v>
      </c>
      <c r="M513" s="523">
        <f t="shared" si="986"/>
        <v>-2.1530000000000058</v>
      </c>
      <c r="N513" s="523">
        <f t="shared" si="986"/>
        <v>4.4230000000000089</v>
      </c>
      <c r="O513" s="523">
        <f t="shared" si="986"/>
        <v>-0.26699999999999591</v>
      </c>
      <c r="P513" s="523">
        <f t="shared" si="986"/>
        <v>3.7870000000000061</v>
      </c>
      <c r="Q513" s="523">
        <f t="shared" si="986"/>
        <v>10.394999999999996</v>
      </c>
      <c r="R513" s="773">
        <f t="shared" ref="R513:S513" si="987">R509-SUM(R511:R512)</f>
        <v>-1.2180000000000035</v>
      </c>
      <c r="S513" s="773">
        <f t="shared" si="987"/>
        <v>-2.0990000000000038</v>
      </c>
      <c r="T513" s="523">
        <f t="shared" ref="T513" si="988">T509-SUM(T511:T512)</f>
        <v>8.2449999999999903</v>
      </c>
      <c r="U513" s="523">
        <f t="shared" ref="U513:X513" si="989">U509-SUM(U511:U512)</f>
        <v>-6.7000000000007276E-2</v>
      </c>
      <c r="V513" s="523">
        <f t="shared" si="989"/>
        <v>6.5882484039295619</v>
      </c>
      <c r="W513" s="523">
        <f t="shared" si="989"/>
        <v>2.9587198276940256</v>
      </c>
      <c r="X513" s="523">
        <f t="shared" si="989"/>
        <v>22.141219784259377</v>
      </c>
      <c r="Y513" s="283"/>
      <c r="Z513" s="523">
        <f t="shared" ref="Z513:AG513" si="990">Z509-SUM(Z511:Z512)</f>
        <v>13.926999999999992</v>
      </c>
      <c r="AA513" s="523">
        <f t="shared" si="990"/>
        <v>7.4489999999999839</v>
      </c>
      <c r="AB513" s="523">
        <f t="shared" si="990"/>
        <v>10.937000000000012</v>
      </c>
      <c r="AC513" s="523">
        <f t="shared" si="990"/>
        <v>-24.738000000000028</v>
      </c>
      <c r="AD513" s="523">
        <f t="shared" si="990"/>
        <v>5.789999999999992</v>
      </c>
      <c r="AE513" s="773">
        <f t="shared" ref="AE513" si="991">AE509-SUM(AE511:AE512)</f>
        <v>15.322999999999979</v>
      </c>
      <c r="AF513" s="523">
        <f t="shared" si="990"/>
        <v>31.621188015882922</v>
      </c>
      <c r="AG513" s="523">
        <f t="shared" ca="1" si="990"/>
        <v>32.991122469423203</v>
      </c>
      <c r="AH513" s="523">
        <f t="shared" ref="AH513" ca="1" si="992">AH509-SUM(AH511:AH512)</f>
        <v>35.229706975083332</v>
      </c>
    </row>
    <row r="514" spans="1:34" s="281" customFormat="1" ht="2.2000000000000002" customHeight="1">
      <c r="A514" s="283"/>
      <c r="B514" s="518"/>
      <c r="C514" s="522"/>
      <c r="D514" s="519"/>
      <c r="E514" s="506"/>
      <c r="F514" s="506"/>
      <c r="G514" s="506"/>
      <c r="H514" s="506"/>
      <c r="I514" s="506"/>
      <c r="J514" s="506"/>
      <c r="K514" s="506"/>
      <c r="L514" s="506"/>
      <c r="M514" s="506"/>
      <c r="N514" s="506"/>
      <c r="O514" s="506"/>
      <c r="P514" s="506"/>
      <c r="Q514" s="506"/>
      <c r="R514" s="506"/>
      <c r="S514" s="506"/>
      <c r="T514" s="506"/>
      <c r="U514" s="506"/>
      <c r="V514" s="506"/>
      <c r="W514" s="506"/>
      <c r="X514" s="506"/>
      <c r="Y514" s="283"/>
      <c r="Z514" s="506"/>
      <c r="AA514" s="506"/>
      <c r="AB514" s="506"/>
      <c r="AC514" s="506"/>
      <c r="AD514" s="506"/>
      <c r="AE514" s="506"/>
      <c r="AF514" s="506"/>
      <c r="AG514" s="506"/>
      <c r="AH514" s="506"/>
    </row>
    <row r="515" spans="1:34" s="306" customFormat="1">
      <c r="A515" s="283"/>
      <c r="B515" s="524"/>
      <c r="C515" s="525" t="s">
        <v>598</v>
      </c>
      <c r="D515" s="526"/>
      <c r="E515" s="527">
        <f t="shared" ref="E515:K515" si="993">+E513/E509</f>
        <v>0.11451357384604313</v>
      </c>
      <c r="F515" s="527">
        <f t="shared" si="993"/>
        <v>7.8569773452400196E-2</v>
      </c>
      <c r="G515" s="527">
        <f t="shared" si="993"/>
        <v>2.9952696310312308E-2</v>
      </c>
      <c r="H515" s="527">
        <f t="shared" si="993"/>
        <v>-3.0869584187792239E-2</v>
      </c>
      <c r="I515" s="527">
        <f t="shared" si="993"/>
        <v>-0.22512605461534635</v>
      </c>
      <c r="J515" s="527">
        <f t="shared" si="993"/>
        <v>-0.21213186813186816</v>
      </c>
      <c r="K515" s="527">
        <f t="shared" si="993"/>
        <v>8.3624866705330429E-3</v>
      </c>
      <c r="L515" s="527">
        <f>+L513/L509</f>
        <v>-0.12078844406534536</v>
      </c>
      <c r="M515" s="527">
        <f t="shared" ref="M515:AG515" si="994">+M513/M509</f>
        <v>-4.6629992203066919E-2</v>
      </c>
      <c r="N515" s="527">
        <f t="shared" si="994"/>
        <v>8.8451154884511718E-2</v>
      </c>
      <c r="O515" s="527">
        <f t="shared" si="994"/>
        <v>-4.9856219890203517E-3</v>
      </c>
      <c r="P515" s="527">
        <f t="shared" si="994"/>
        <v>6.3654547593834682E-2</v>
      </c>
      <c r="Q515" s="527">
        <f t="shared" si="994"/>
        <v>0.14257107980963085</v>
      </c>
      <c r="R515" s="527">
        <f t="shared" si="994"/>
        <v>-2.1702719076298126E-2</v>
      </c>
      <c r="S515" s="527">
        <f t="shared" si="994"/>
        <v>-3.743868723802736E-2</v>
      </c>
      <c r="T515" s="527">
        <f t="shared" si="994"/>
        <v>0.13729310287407984</v>
      </c>
      <c r="U515" s="527">
        <f t="shared" ref="U515:X515" si="995">+U513/U509</f>
        <v>-1.0788876185569842E-3</v>
      </c>
      <c r="V515" s="527">
        <f t="shared" si="995"/>
        <v>0.11576835648057671</v>
      </c>
      <c r="W515" s="527">
        <f t="shared" si="995"/>
        <v>5.4572305740393241E-2</v>
      </c>
      <c r="X515" s="527">
        <f t="shared" si="995"/>
        <v>0.32372668903401547</v>
      </c>
      <c r="Y515" s="283"/>
      <c r="Z515" s="527">
        <f t="shared" si="994"/>
        <v>7.8620097887017792E-2</v>
      </c>
      <c r="AA515" s="527">
        <f t="shared" si="994"/>
        <v>3.8763562563421977E-2</v>
      </c>
      <c r="AB515" s="527">
        <f t="shared" si="994"/>
        <v>5.1997014343512199E-2</v>
      </c>
      <c r="AC515" s="527">
        <f t="shared" si="994"/>
        <v>-0.12821336760925464</v>
      </c>
      <c r="AD515" s="527">
        <f t="shared" si="994"/>
        <v>2.7673689442893706E-2</v>
      </c>
      <c r="AE515" s="527">
        <f t="shared" si="994"/>
        <v>6.2504079101944832E-2</v>
      </c>
      <c r="AF515" s="527">
        <f t="shared" si="994"/>
        <v>0.1308709235127356</v>
      </c>
      <c r="AG515" s="527">
        <f t="shared" ca="1" si="994"/>
        <v>0.12938145512645946</v>
      </c>
      <c r="AH515" s="527">
        <f t="shared" ref="AH515" ca="1" si="996">+AH513/AH509</f>
        <v>0.12753771982338288</v>
      </c>
    </row>
    <row r="516" spans="1:34" s="281" customFormat="1">
      <c r="A516" s="283"/>
      <c r="B516" s="518"/>
      <c r="C516" s="522"/>
      <c r="D516" s="519"/>
      <c r="E516" s="506"/>
      <c r="F516" s="506"/>
      <c r="G516" s="506"/>
      <c r="H516" s="506"/>
      <c r="I516" s="506"/>
      <c r="J516" s="506"/>
      <c r="K516" s="506"/>
      <c r="L516" s="506"/>
      <c r="M516" s="506"/>
      <c r="N516" s="506"/>
      <c r="O516" s="506"/>
      <c r="P516" s="506"/>
      <c r="Q516" s="506"/>
      <c r="R516" s="506"/>
      <c r="S516" s="518"/>
      <c r="T516" s="518"/>
      <c r="U516" s="518"/>
      <c r="V516" s="518"/>
      <c r="W516" s="518"/>
      <c r="X516" s="518"/>
      <c r="Y516" s="283"/>
      <c r="Z516" s="506"/>
      <c r="AA516" s="506"/>
      <c r="AB516" s="506"/>
      <c r="AC516" s="506"/>
      <c r="AD516" s="506"/>
      <c r="AE516" s="518"/>
      <c r="AF516" s="518"/>
      <c r="AG516" s="518"/>
      <c r="AH516" s="518"/>
    </row>
    <row r="517" spans="1:34" s="281" customFormat="1">
      <c r="A517" s="283"/>
      <c r="B517" s="518"/>
      <c r="C517" s="528" t="s">
        <v>314</v>
      </c>
      <c r="D517" s="519"/>
      <c r="E517" s="529">
        <f>+E531</f>
        <v>1.19</v>
      </c>
      <c r="F517" s="529">
        <f t="shared" ref="F517:R517" si="997">+F531</f>
        <v>1.33</v>
      </c>
      <c r="G517" s="529">
        <f t="shared" si="997"/>
        <v>0.85399999999999998</v>
      </c>
      <c r="H517" s="529">
        <f t="shared" si="997"/>
        <v>0.90300000000000002</v>
      </c>
      <c r="I517" s="529">
        <f t="shared" si="997"/>
        <v>1.3460000000000001</v>
      </c>
      <c r="J517" s="529">
        <f t="shared" si="997"/>
        <v>0.94099999999999995</v>
      </c>
      <c r="K517" s="529">
        <f t="shared" si="997"/>
        <v>0.60299999999999998</v>
      </c>
      <c r="L517" s="529">
        <f t="shared" si="997"/>
        <v>0.56000000000000005</v>
      </c>
      <c r="M517" s="529">
        <f t="shared" si="997"/>
        <v>0.69099999999999995</v>
      </c>
      <c r="N517" s="529">
        <f t="shared" si="997"/>
        <v>0.46700000000000003</v>
      </c>
      <c r="O517" s="529">
        <f t="shared" si="997"/>
        <v>0.33500000000000002</v>
      </c>
      <c r="P517" s="529">
        <f t="shared" si="997"/>
        <v>0.73799999999999999</v>
      </c>
      <c r="Q517" s="529">
        <f t="shared" si="997"/>
        <v>0.90700000000000003</v>
      </c>
      <c r="R517" s="529">
        <f t="shared" si="997"/>
        <v>1.103</v>
      </c>
      <c r="S517" s="529">
        <f t="shared" ref="S517:T517" si="998">+S531</f>
        <v>1.5409999999999999</v>
      </c>
      <c r="T517" s="529">
        <f t="shared" si="998"/>
        <v>1.7749999999999999</v>
      </c>
      <c r="U517" s="529">
        <f t="shared" ref="U517" si="999">+U531</f>
        <v>1.3939999999999999</v>
      </c>
      <c r="V517" s="529">
        <f t="shared" ref="V517:X517" si="1000">+V531</f>
        <v>0.97495315682281047</v>
      </c>
      <c r="W517" s="529">
        <f t="shared" si="1000"/>
        <v>1.3621059063136454</v>
      </c>
      <c r="X517" s="529">
        <f t="shared" si="1000"/>
        <v>1.5689409368635434</v>
      </c>
      <c r="Y517" s="283"/>
      <c r="Z517" s="529">
        <f t="shared" ref="Z517:AG517" si="1001">+Z531</f>
        <v>3.331</v>
      </c>
      <c r="AA517" s="529">
        <f t="shared" si="1001"/>
        <v>4.351</v>
      </c>
      <c r="AB517" s="529">
        <f t="shared" si="1001"/>
        <v>4.2770000000000001</v>
      </c>
      <c r="AC517" s="529">
        <f t="shared" si="1001"/>
        <v>3.4499999999999997</v>
      </c>
      <c r="AD517" s="529">
        <f t="shared" si="1001"/>
        <v>2.2309999999999999</v>
      </c>
      <c r="AE517" s="529">
        <f t="shared" si="1001"/>
        <v>5.3259999999999996</v>
      </c>
      <c r="AF517" s="529">
        <f t="shared" si="1001"/>
        <v>5.3</v>
      </c>
      <c r="AG517" s="529">
        <f t="shared" si="1001"/>
        <v>5.3</v>
      </c>
      <c r="AH517" s="529">
        <f t="shared" ref="AH517" si="1002">+AH531</f>
        <v>5.3</v>
      </c>
    </row>
    <row r="518" spans="1:34" s="281" customFormat="1">
      <c r="A518" s="283"/>
      <c r="B518" s="518"/>
      <c r="C518" s="528" t="s">
        <v>637</v>
      </c>
      <c r="D518" s="519"/>
      <c r="E518" s="529">
        <f>+E513-E519-E517</f>
        <v>1.9210000000000043</v>
      </c>
      <c r="F518" s="529">
        <f t="shared" ref="F518:R518" si="1003">+F513-F519-F517</f>
        <v>2.0640000000000081</v>
      </c>
      <c r="G518" s="529">
        <f t="shared" si="1003"/>
        <v>1.8750000000000053</v>
      </c>
      <c r="H518" s="529">
        <f t="shared" si="1003"/>
        <v>-8.1000000000020389E-2</v>
      </c>
      <c r="I518" s="529">
        <f t="shared" si="1003"/>
        <v>0.15399999999999459</v>
      </c>
      <c r="J518" s="529">
        <f t="shared" si="1003"/>
        <v>4.7699999999999987</v>
      </c>
      <c r="K518" s="529">
        <f t="shared" si="1003"/>
        <v>0.22400000000000275</v>
      </c>
      <c r="L518" s="529">
        <f t="shared" si="1003"/>
        <v>0.16299999999999537</v>
      </c>
      <c r="M518" s="529">
        <f t="shared" si="1003"/>
        <v>1.0359999999999943</v>
      </c>
      <c r="N518" s="529">
        <f t="shared" si="1003"/>
        <v>0.75200000000000866</v>
      </c>
      <c r="O518" s="529">
        <f t="shared" si="1003"/>
        <v>0.22600000000000403</v>
      </c>
      <c r="P518" s="529">
        <f t="shared" si="1003"/>
        <v>0.1860000000000066</v>
      </c>
      <c r="Q518" s="529">
        <f t="shared" si="1003"/>
        <v>0.37099999999999511</v>
      </c>
      <c r="R518" s="529">
        <f t="shared" si="1003"/>
        <v>0.87899999999999667</v>
      </c>
      <c r="S518" s="529">
        <f t="shared" ref="S518:T518" si="1004">+S513-S519-S517</f>
        <v>2.592999999999996</v>
      </c>
      <c r="T518" s="529">
        <f t="shared" si="1004"/>
        <v>0.34699999999999109</v>
      </c>
      <c r="U518" s="529">
        <f t="shared" ref="U518" si="1005">+U513-U519-U517</f>
        <v>1.2379999999999927</v>
      </c>
      <c r="V518" s="529">
        <v>0</v>
      </c>
      <c r="W518" s="529">
        <v>0</v>
      </c>
      <c r="X518" s="529">
        <v>0</v>
      </c>
      <c r="Y518" s="283"/>
      <c r="Z518" s="529">
        <f t="shared" ref="Z518:AE518" si="1006">+Z513-Z519-Z517</f>
        <v>1.764999999999993</v>
      </c>
      <c r="AA518" s="529">
        <f t="shared" si="1006"/>
        <v>3.6319999999999837</v>
      </c>
      <c r="AB518" s="529">
        <f t="shared" si="1006"/>
        <v>5.7790000000000115</v>
      </c>
      <c r="AC518" s="529">
        <f t="shared" si="1006"/>
        <v>5.3109999999999751</v>
      </c>
      <c r="AD518" s="529">
        <f t="shared" si="1006"/>
        <v>2.1999999999999922</v>
      </c>
      <c r="AE518" s="529">
        <f t="shared" si="1006"/>
        <v>4.1899999999999791</v>
      </c>
      <c r="AF518" s="529">
        <f>SUMIF($E$5:$X$5,AF$5,$E518:$X518)</f>
        <v>1.2379999999999927</v>
      </c>
      <c r="AG518" s="506">
        <v>0</v>
      </c>
      <c r="AH518" s="506">
        <v>0</v>
      </c>
    </row>
    <row r="519" spans="1:34" s="307" customFormat="1">
      <c r="A519" s="283"/>
      <c r="B519" s="504"/>
      <c r="C519" s="522" t="s">
        <v>319</v>
      </c>
      <c r="D519" s="505"/>
      <c r="E519" s="530">
        <v>3.25</v>
      </c>
      <c r="F519" s="530">
        <v>1.014</v>
      </c>
      <c r="G519" s="530">
        <v>-1.1459999999999999</v>
      </c>
      <c r="H519" s="531">
        <f>SUMIF($Z$6:$AG$6,H$6,$Z519:$AG519)-SUM(E519:G519)</f>
        <v>-2.2370000000000001</v>
      </c>
      <c r="I519" s="530">
        <v>-10.519</v>
      </c>
      <c r="J519" s="530">
        <v>-15.363</v>
      </c>
      <c r="K519" s="530">
        <v>-0.38</v>
      </c>
      <c r="L519" s="531">
        <f>SUMIF($Z$6:$AG$6,L$6,$Z519:$AG519)-SUM(I519:K519)</f>
        <v>-7.2370000000000054</v>
      </c>
      <c r="M519" s="530">
        <v>-3.88</v>
      </c>
      <c r="N519" s="530">
        <v>3.2040000000000002</v>
      </c>
      <c r="O519" s="530">
        <v>-0.82799999999999996</v>
      </c>
      <c r="P519" s="531">
        <f>SUMIF($Z$6:$AG$6,P$6,$Z519:$AG519)-SUM(M519:O519)</f>
        <v>2.8629999999999995</v>
      </c>
      <c r="Q519" s="530">
        <v>9.1170000000000009</v>
      </c>
      <c r="R519" s="774">
        <v>-3.2</v>
      </c>
      <c r="S519" s="774">
        <f>-6.233</f>
        <v>-6.2329999999999997</v>
      </c>
      <c r="T519" s="531">
        <f>SUMIF($Z$6:$AG$6,T$6,$Z519:$AG519)-SUM(Q519:S519)</f>
        <v>6.1229999999999993</v>
      </c>
      <c r="U519" s="530">
        <v>-2.6989999999999998</v>
      </c>
      <c r="V519" s="531">
        <f t="shared" ref="V519:X519" si="1007">+V513-SUM(V517:V518)</f>
        <v>5.6132952471067519</v>
      </c>
      <c r="W519" s="531">
        <f t="shared" si="1007"/>
        <v>1.5966139213803803</v>
      </c>
      <c r="X519" s="531">
        <f t="shared" si="1007"/>
        <v>20.572278847395832</v>
      </c>
      <c r="Y519" s="283"/>
      <c r="Z519" s="530">
        <v>8.8309999999999995</v>
      </c>
      <c r="AA519" s="530">
        <v>-0.53400000000000003</v>
      </c>
      <c r="AB519" s="530">
        <v>0.88100000000000001</v>
      </c>
      <c r="AC519" s="530">
        <v>-33.499000000000002</v>
      </c>
      <c r="AD519" s="530">
        <v>1.359</v>
      </c>
      <c r="AE519" s="530">
        <v>5.8070000000000004</v>
      </c>
      <c r="AF519" s="531">
        <f>+AF513-SUM(AF517:AF518)</f>
        <v>25.083188015882929</v>
      </c>
      <c r="AG519" s="531">
        <f ca="1">+AG513-SUM(AG517:AG518)</f>
        <v>27.691122469423203</v>
      </c>
      <c r="AH519" s="531">
        <f ca="1">+AH513-SUM(AH517:AH518)</f>
        <v>29.929706975083331</v>
      </c>
    </row>
    <row r="520" spans="1:34" s="281" customFormat="1" ht="2.2000000000000002" customHeight="1">
      <c r="A520" s="283"/>
      <c r="B520" s="518"/>
      <c r="C520" s="522"/>
      <c r="D520" s="519"/>
      <c r="E520" s="506"/>
      <c r="F520" s="506"/>
      <c r="G520" s="506"/>
      <c r="H520" s="506"/>
      <c r="I520" s="506"/>
      <c r="J520" s="506"/>
      <c r="K520" s="506"/>
      <c r="L520" s="506"/>
      <c r="M520" s="506"/>
      <c r="N520" s="506"/>
      <c r="O520" s="506"/>
      <c r="P520" s="506"/>
      <c r="Q520" s="506"/>
      <c r="R520" s="506"/>
      <c r="S520" s="506"/>
      <c r="T520" s="506"/>
      <c r="U520" s="506"/>
      <c r="V520" s="506"/>
      <c r="W520" s="506"/>
      <c r="X520" s="506"/>
      <c r="Y520" s="283"/>
      <c r="Z520" s="506"/>
      <c r="AA520" s="506"/>
      <c r="AB520" s="506"/>
      <c r="AC520" s="506"/>
      <c r="AD520" s="506"/>
      <c r="AE520" s="506"/>
      <c r="AF520" s="506"/>
      <c r="AG520" s="506"/>
      <c r="AH520" s="506"/>
    </row>
    <row r="521" spans="1:34" s="306" customFormat="1">
      <c r="A521" s="283"/>
      <c r="B521" s="524"/>
      <c r="C521" s="525" t="s">
        <v>598</v>
      </c>
      <c r="D521" s="526"/>
      <c r="E521" s="527">
        <f>+E519/E509</f>
        <v>5.8507957082163171E-2</v>
      </c>
      <c r="F521" s="527">
        <f t="shared" ref="F521:AF521" si="1008">+F519/F509</f>
        <v>1.8073899791455003E-2</v>
      </c>
      <c r="G521" s="527">
        <f t="shared" si="1008"/>
        <v>-2.1684011352885522E-2</v>
      </c>
      <c r="H521" s="527">
        <f t="shared" si="1008"/>
        <v>-4.8802303765434804E-2</v>
      </c>
      <c r="I521" s="527">
        <f t="shared" si="1008"/>
        <v>-0.26256801956966702</v>
      </c>
      <c r="J521" s="527">
        <f t="shared" si="1008"/>
        <v>-0.33764835164835166</v>
      </c>
      <c r="K521" s="527">
        <f t="shared" si="1008"/>
        <v>-7.1090490711466147E-3</v>
      </c>
      <c r="L521" s="527">
        <f t="shared" si="1008"/>
        <v>-0.13419496004005277</v>
      </c>
      <c r="M521" s="527">
        <f t="shared" si="1008"/>
        <v>-8.4033613445378158E-2</v>
      </c>
      <c r="N521" s="527">
        <f t="shared" si="1008"/>
        <v>6.4073592640735921E-2</v>
      </c>
      <c r="O521" s="527">
        <f t="shared" si="1008"/>
        <v>-1.5461029988422898E-2</v>
      </c>
      <c r="P521" s="527">
        <f t="shared" si="1008"/>
        <v>4.8123308624544059E-2</v>
      </c>
      <c r="Q521" s="527">
        <f t="shared" si="1008"/>
        <v>0.12504286047372826</v>
      </c>
      <c r="R521" s="527">
        <f t="shared" si="1008"/>
        <v>-5.7018637967285561E-2</v>
      </c>
      <c r="S521" s="527">
        <f>+S519/S509</f>
        <v>-0.11117452956389905</v>
      </c>
      <c r="T521" s="527">
        <f>+T519/T509</f>
        <v>0.10195823758617242</v>
      </c>
      <c r="U521" s="527">
        <f t="shared" ref="U521:X521" si="1009">+U519/U509</f>
        <v>-4.3461457947537072E-2</v>
      </c>
      <c r="V521" s="527">
        <f t="shared" si="1009"/>
        <v>9.863653058530443E-2</v>
      </c>
      <c r="W521" s="527">
        <f t="shared" si="1009"/>
        <v>2.9448852254066446E-2</v>
      </c>
      <c r="X521" s="527">
        <f t="shared" si="1009"/>
        <v>0.30078720964987404</v>
      </c>
      <c r="Y521" s="283"/>
      <c r="Z521" s="527">
        <f t="shared" si="1008"/>
        <v>4.9852379151307136E-2</v>
      </c>
      <c r="AA521" s="527">
        <f t="shared" si="1008"/>
        <v>-2.7788619155413321E-3</v>
      </c>
      <c r="AB521" s="527">
        <f t="shared" si="1008"/>
        <v>4.1884766971412813E-3</v>
      </c>
      <c r="AC521" s="527">
        <f t="shared" si="1008"/>
        <v>-0.17362032506841366</v>
      </c>
      <c r="AD521" s="527">
        <f t="shared" si="1008"/>
        <v>6.4954307345237647E-3</v>
      </c>
      <c r="AE521" s="527">
        <f t="shared" si="1008"/>
        <v>2.3687344994126096E-2</v>
      </c>
      <c r="AF521" s="527">
        <f t="shared" si="1008"/>
        <v>0.10381203826476547</v>
      </c>
      <c r="AG521" s="527">
        <f ca="1">+AG519/AG509</f>
        <v>0.10859641779389294</v>
      </c>
      <c r="AH521" s="527">
        <f ca="1">+AH519/AH509</f>
        <v>0.10835079001037014</v>
      </c>
    </row>
    <row r="522" spans="1:34" s="334" customFormat="1">
      <c r="A522" s="283"/>
      <c r="B522" s="306"/>
      <c r="C522" s="335"/>
      <c r="D522" s="492"/>
      <c r="S522" s="439"/>
      <c r="T522" s="439"/>
      <c r="Y522" s="283"/>
    </row>
    <row r="523" spans="1:34">
      <c r="C523" s="281" t="s">
        <v>311</v>
      </c>
      <c r="E523" s="282">
        <f t="shared" ref="E523:T523" si="1010">E511</f>
        <v>33.076999999999998</v>
      </c>
      <c r="F523" s="282">
        <f t="shared" si="1010"/>
        <v>32.979999999999997</v>
      </c>
      <c r="G523" s="282">
        <f t="shared" si="1010"/>
        <v>31.213000000000001</v>
      </c>
      <c r="H523" s="282">
        <f t="shared" si="1010"/>
        <v>30.830000000000013</v>
      </c>
      <c r="I523" s="282">
        <f t="shared" si="1010"/>
        <v>32.926000000000002</v>
      </c>
      <c r="J523" s="282">
        <f t="shared" si="1010"/>
        <v>36.591000000000001</v>
      </c>
      <c r="K523" s="282">
        <f t="shared" si="1010"/>
        <v>33.915999999999997</v>
      </c>
      <c r="L523" s="282">
        <f t="shared" si="1010"/>
        <v>40.289000000000016</v>
      </c>
      <c r="M523" s="282">
        <f t="shared" si="1010"/>
        <v>31.928000000000001</v>
      </c>
      <c r="N523" s="282">
        <f t="shared" si="1010"/>
        <v>28.300999999999998</v>
      </c>
      <c r="O523" s="282">
        <f t="shared" si="1010"/>
        <v>36.35</v>
      </c>
      <c r="P523" s="282">
        <f t="shared" si="1010"/>
        <v>37.282999999999987</v>
      </c>
      <c r="Q523" s="282">
        <f t="shared" si="1010"/>
        <v>36.975000000000001</v>
      </c>
      <c r="R523" s="282">
        <f t="shared" si="1010"/>
        <v>36.43</v>
      </c>
      <c r="S523" s="282">
        <f t="shared" si="1010"/>
        <v>38.195999999999998</v>
      </c>
      <c r="T523" s="282">
        <f t="shared" si="1010"/>
        <v>37.484000000000009</v>
      </c>
      <c r="U523" s="282">
        <f t="shared" ref="U523:X523" si="1011">U511</f>
        <v>46.322000000000003</v>
      </c>
      <c r="V523" s="282">
        <f t="shared" si="1011"/>
        <v>34.258692712514488</v>
      </c>
      <c r="W523" s="282">
        <f t="shared" si="1011"/>
        <v>35.91943526893229</v>
      </c>
      <c r="X523" s="282">
        <f t="shared" si="1011"/>
        <v>35.249872018553212</v>
      </c>
      <c r="Y523" s="283"/>
      <c r="Z523" s="282">
        <f t="shared" ref="Z523:AG523" si="1012">Z511</f>
        <v>108.399</v>
      </c>
      <c r="AA523" s="282">
        <f t="shared" si="1012"/>
        <v>125.58499999999999</v>
      </c>
      <c r="AB523" s="282">
        <f t="shared" si="1012"/>
        <v>128.1</v>
      </c>
      <c r="AC523" s="282">
        <f t="shared" si="1012"/>
        <v>143.72200000000001</v>
      </c>
      <c r="AD523" s="282">
        <f t="shared" si="1012"/>
        <v>133.86199999999999</v>
      </c>
      <c r="AE523" s="282">
        <f t="shared" ref="AE523" si="1013">AE511</f>
        <v>149.08500000000001</v>
      </c>
      <c r="AF523" s="283">
        <f t="shared" si="1012"/>
        <v>151.75</v>
      </c>
      <c r="AG523" s="283">
        <f t="shared" si="1012"/>
        <v>161.75</v>
      </c>
      <c r="AH523" s="283">
        <f t="shared" ref="AH523" si="1014">AH511</f>
        <v>176.75</v>
      </c>
    </row>
    <row r="524" spans="1:34">
      <c r="C524" s="281" t="s">
        <v>427</v>
      </c>
      <c r="E524" s="305">
        <v>0.53500000000000003</v>
      </c>
      <c r="F524" s="305">
        <v>0.55900000000000005</v>
      </c>
      <c r="G524" s="305">
        <v>0.53500000000000003</v>
      </c>
      <c r="H524" s="305">
        <v>0.44</v>
      </c>
      <c r="I524" s="305">
        <v>0.442</v>
      </c>
      <c r="J524" s="305">
        <v>0.42699999999999999</v>
      </c>
      <c r="K524" s="305">
        <v>0.56100000000000005</v>
      </c>
      <c r="L524" s="305">
        <v>0.44700000000000001</v>
      </c>
      <c r="M524" s="305">
        <v>0.57399999999999995</v>
      </c>
      <c r="N524" s="305">
        <v>0.55800000000000005</v>
      </c>
      <c r="O524" s="305">
        <v>0.56200000000000006</v>
      </c>
      <c r="P524" s="305">
        <v>0.89800000000000002</v>
      </c>
      <c r="Q524" s="305">
        <v>0.71399999999999997</v>
      </c>
      <c r="R524" s="305">
        <v>0.53500000000000003</v>
      </c>
      <c r="S524" s="305">
        <v>0.47499999999999998</v>
      </c>
      <c r="T524" s="305">
        <v>0.42299999999999999</v>
      </c>
      <c r="U524" s="305">
        <v>0.45800000000000002</v>
      </c>
      <c r="V524" s="282">
        <f t="shared" ref="V524:V526" si="1015">($AF524-$U524)*R524/SUM($R524:$T524)</f>
        <v>1.568039078855547E-2</v>
      </c>
      <c r="W524" s="282">
        <f t="shared" ref="W524:W526" si="1016">($AF524-$U524)*S524/SUM($R524:$T524)</f>
        <v>1.392184228890439E-2</v>
      </c>
      <c r="X524" s="282">
        <f t="shared" ref="X524:X526" si="1017">($AF524-$U524)*T524/SUM($R524:$T524)</f>
        <v>1.2397766922540118E-2</v>
      </c>
      <c r="Y524" s="283"/>
      <c r="Z524" s="305">
        <v>1.264</v>
      </c>
      <c r="AA524" s="305">
        <v>2.4319999999999999</v>
      </c>
      <c r="AB524" s="282">
        <f t="shared" ref="AB524:AE527" si="1018">SUMIF($E$5:$T$5,AB$5,$E524:$T524)</f>
        <v>2.069</v>
      </c>
      <c r="AC524" s="282">
        <f t="shared" si="1018"/>
        <v>1.8770000000000002</v>
      </c>
      <c r="AD524" s="282">
        <f t="shared" si="1018"/>
        <v>2.5920000000000001</v>
      </c>
      <c r="AE524" s="282">
        <f t="shared" si="1018"/>
        <v>2.1470000000000002</v>
      </c>
      <c r="AF524" s="377">
        <v>0.5</v>
      </c>
      <c r="AG524" s="539">
        <f t="shared" ref="AG524:AH527" si="1019">+AF524</f>
        <v>0.5</v>
      </c>
      <c r="AH524" s="539">
        <f t="shared" si="1019"/>
        <v>0.5</v>
      </c>
    </row>
    <row r="525" spans="1:34">
      <c r="C525" s="281" t="s">
        <v>428</v>
      </c>
      <c r="E525" s="305">
        <v>-0.10100000000000001</v>
      </c>
      <c r="F525" s="305">
        <v>-7.8E-2</v>
      </c>
      <c r="G525" s="305">
        <v>-1.3029999999999999</v>
      </c>
      <c r="H525" s="305">
        <v>2.6859999999999999</v>
      </c>
      <c r="I525" s="305">
        <v>2.2679999999999998</v>
      </c>
      <c r="J525" s="305">
        <v>-2.367</v>
      </c>
      <c r="K525" s="305">
        <v>1.07</v>
      </c>
      <c r="L525" s="305">
        <v>-4.343</v>
      </c>
      <c r="M525" s="305">
        <v>1.6080000000000001</v>
      </c>
      <c r="N525" s="305">
        <v>-0.4</v>
      </c>
      <c r="O525" s="305">
        <v>0.54300000000000004</v>
      </c>
      <c r="P525" s="305">
        <v>0.47399999999999998</v>
      </c>
      <c r="Q525" s="305">
        <v>-4.7E-2</v>
      </c>
      <c r="R525" s="305">
        <v>1.0149999999999999</v>
      </c>
      <c r="S525" s="305">
        <v>-3.3690000000000002</v>
      </c>
      <c r="T525" s="305">
        <v>4.8390000000000004</v>
      </c>
      <c r="U525" s="305">
        <v>-0.56299999999999994</v>
      </c>
      <c r="V525" s="282">
        <f t="shared" si="1015"/>
        <v>0.76094366197183083</v>
      </c>
      <c r="W525" s="282">
        <f t="shared" si="1016"/>
        <v>-2.5257331991951708</v>
      </c>
      <c r="X525" s="282">
        <f t="shared" si="1017"/>
        <v>3.62778953722334</v>
      </c>
      <c r="Y525" s="283"/>
      <c r="Z525" s="305">
        <v>2.89</v>
      </c>
      <c r="AA525" s="305">
        <v>1.466</v>
      </c>
      <c r="AB525" s="282">
        <f t="shared" si="1018"/>
        <v>1.204</v>
      </c>
      <c r="AC525" s="282">
        <f t="shared" si="1018"/>
        <v>-3.3719999999999999</v>
      </c>
      <c r="AD525" s="282">
        <f t="shared" si="1018"/>
        <v>2.2250000000000005</v>
      </c>
      <c r="AE525" s="282">
        <f t="shared" si="1018"/>
        <v>2.4380000000000002</v>
      </c>
      <c r="AF525" s="377">
        <v>1.3</v>
      </c>
      <c r="AG525" s="539">
        <f t="shared" si="1019"/>
        <v>1.3</v>
      </c>
      <c r="AH525" s="539">
        <f t="shared" si="1019"/>
        <v>1.3</v>
      </c>
    </row>
    <row r="526" spans="1:34">
      <c r="C526" s="281" t="s">
        <v>429</v>
      </c>
      <c r="E526" s="305">
        <v>-0.14199999999999999</v>
      </c>
      <c r="F526" s="305">
        <v>-0.13900000000000001</v>
      </c>
      <c r="G526" s="305">
        <v>-0.14000000000000001</v>
      </c>
      <c r="H526" s="305">
        <v>-0.13700000000000001</v>
      </c>
      <c r="I526" s="305">
        <v>-0.129</v>
      </c>
      <c r="J526" s="305">
        <v>-0.128</v>
      </c>
      <c r="K526" s="305">
        <v>-0.129</v>
      </c>
      <c r="L526" s="305">
        <v>-0.13</v>
      </c>
      <c r="M526" s="305">
        <v>-9.7000000000000003E-2</v>
      </c>
      <c r="N526" s="305">
        <v>-9.1999999999999998E-2</v>
      </c>
      <c r="O526" s="305">
        <v>-0.44900000000000001</v>
      </c>
      <c r="P526" s="305">
        <v>-0.13500000000000001</v>
      </c>
      <c r="Q526" s="305">
        <v>-0.20799999999999999</v>
      </c>
      <c r="R526" s="305">
        <v>-0.215</v>
      </c>
      <c r="S526" s="305">
        <v>-0.21</v>
      </c>
      <c r="T526" s="305">
        <v>-0.20799999999999999</v>
      </c>
      <c r="U526" s="305">
        <v>-0.21</v>
      </c>
      <c r="V526" s="282">
        <f t="shared" si="1015"/>
        <v>0.47890995260663505</v>
      </c>
      <c r="W526" s="282">
        <f t="shared" si="1016"/>
        <v>0.46777251184834118</v>
      </c>
      <c r="X526" s="282">
        <f t="shared" si="1017"/>
        <v>0.4633175355450237</v>
      </c>
      <c r="Y526" s="283"/>
      <c r="Z526" s="305">
        <v>-0.45900000000000002</v>
      </c>
      <c r="AA526" s="305">
        <v>-0.47599999999999998</v>
      </c>
      <c r="AB526" s="282">
        <f t="shared" si="1018"/>
        <v>-0.55800000000000005</v>
      </c>
      <c r="AC526" s="282">
        <f t="shared" si="1018"/>
        <v>-0.51600000000000001</v>
      </c>
      <c r="AD526" s="282">
        <f t="shared" si="1018"/>
        <v>-0.77300000000000002</v>
      </c>
      <c r="AE526" s="282">
        <f t="shared" si="1018"/>
        <v>-0.84099999999999997</v>
      </c>
      <c r="AF526" s="377">
        <v>1.2</v>
      </c>
      <c r="AG526" s="539">
        <f t="shared" si="1019"/>
        <v>1.2</v>
      </c>
      <c r="AH526" s="539">
        <f t="shared" si="1019"/>
        <v>1.2</v>
      </c>
    </row>
    <row r="527" spans="1:34">
      <c r="C527" s="281" t="s">
        <v>443</v>
      </c>
      <c r="E527" s="305">
        <v>0</v>
      </c>
      <c r="F527" s="305">
        <v>0</v>
      </c>
      <c r="G527" s="305">
        <v>0</v>
      </c>
      <c r="H527" s="305">
        <v>0</v>
      </c>
      <c r="I527" s="305">
        <v>0</v>
      </c>
      <c r="J527" s="305">
        <v>0</v>
      </c>
      <c r="K527" s="305">
        <v>0</v>
      </c>
      <c r="L527" s="305">
        <v>0</v>
      </c>
      <c r="M527" s="305">
        <v>0</v>
      </c>
      <c r="N527" s="305">
        <v>0</v>
      </c>
      <c r="O527" s="305">
        <v>0</v>
      </c>
      <c r="P527" s="305">
        <v>0</v>
      </c>
      <c r="Q527" s="305">
        <v>0</v>
      </c>
      <c r="R527" s="305">
        <v>0</v>
      </c>
      <c r="S527" s="305">
        <v>0</v>
      </c>
      <c r="T527" s="305">
        <v>0</v>
      </c>
      <c r="U527" s="305">
        <v>0</v>
      </c>
      <c r="V527" s="305">
        <v>0</v>
      </c>
      <c r="W527" s="305">
        <v>0</v>
      </c>
      <c r="X527" s="305">
        <v>0</v>
      </c>
      <c r="Y527" s="283"/>
      <c r="Z527" s="305">
        <v>0</v>
      </c>
      <c r="AA527" s="305">
        <v>0</v>
      </c>
      <c r="AB527" s="282">
        <f t="shared" si="1018"/>
        <v>0</v>
      </c>
      <c r="AC527" s="282">
        <f t="shared" si="1018"/>
        <v>0</v>
      </c>
      <c r="AD527" s="282">
        <f t="shared" si="1018"/>
        <v>0</v>
      </c>
      <c r="AE527" s="282">
        <f t="shared" si="1018"/>
        <v>0</v>
      </c>
      <c r="AF527" s="377">
        <v>0</v>
      </c>
      <c r="AG527" s="539">
        <f t="shared" si="1019"/>
        <v>0</v>
      </c>
      <c r="AH527" s="539">
        <f t="shared" si="1019"/>
        <v>0</v>
      </c>
    </row>
    <row r="528" spans="1:34">
      <c r="C528" s="320" t="s">
        <v>436</v>
      </c>
      <c r="E528" s="382">
        <f t="shared" ref="E528:T528" si="1020">SUM(E523:E527)</f>
        <v>33.368999999999993</v>
      </c>
      <c r="F528" s="382">
        <f t="shared" si="1020"/>
        <v>33.321999999999989</v>
      </c>
      <c r="G528" s="382">
        <f t="shared" si="1020"/>
        <v>30.305</v>
      </c>
      <c r="H528" s="382">
        <f t="shared" si="1020"/>
        <v>33.819000000000017</v>
      </c>
      <c r="I528" s="382">
        <f t="shared" si="1020"/>
        <v>35.507000000000005</v>
      </c>
      <c r="J528" s="382">
        <f t="shared" si="1020"/>
        <v>34.523000000000003</v>
      </c>
      <c r="K528" s="382">
        <f t="shared" si="1020"/>
        <v>35.417999999999999</v>
      </c>
      <c r="L528" s="382">
        <f t="shared" si="1020"/>
        <v>36.263000000000012</v>
      </c>
      <c r="M528" s="382">
        <f t="shared" si="1020"/>
        <v>34.012999999999998</v>
      </c>
      <c r="N528" s="382">
        <f t="shared" si="1020"/>
        <v>28.367000000000001</v>
      </c>
      <c r="O528" s="382">
        <f t="shared" si="1020"/>
        <v>37.006</v>
      </c>
      <c r="P528" s="382">
        <f t="shared" si="1020"/>
        <v>38.519999999999989</v>
      </c>
      <c r="Q528" s="382">
        <f t="shared" si="1020"/>
        <v>37.434000000000005</v>
      </c>
      <c r="R528" s="769">
        <f t="shared" si="1020"/>
        <v>37.764999999999993</v>
      </c>
      <c r="S528" s="769">
        <f t="shared" si="1020"/>
        <v>35.091999999999999</v>
      </c>
      <c r="T528" s="769">
        <f t="shared" si="1020"/>
        <v>42.538000000000011</v>
      </c>
      <c r="U528" s="769">
        <f t="shared" ref="U528:X528" si="1021">SUM(U523:U527)</f>
        <v>46.006999999999998</v>
      </c>
      <c r="V528" s="769">
        <f t="shared" si="1021"/>
        <v>35.514226717881506</v>
      </c>
      <c r="W528" s="769">
        <f t="shared" si="1021"/>
        <v>33.875396423874356</v>
      </c>
      <c r="X528" s="769">
        <f t="shared" si="1021"/>
        <v>39.353376858244118</v>
      </c>
      <c r="Y528" s="283"/>
      <c r="Z528" s="382">
        <f t="shared" ref="Z528:AF528" si="1022">SUM(Z523:Z527)</f>
        <v>112.09399999999999</v>
      </c>
      <c r="AA528" s="382">
        <f t="shared" si="1022"/>
        <v>129.00700000000001</v>
      </c>
      <c r="AB528" s="382">
        <f t="shared" si="1022"/>
        <v>130.815</v>
      </c>
      <c r="AC528" s="382">
        <f t="shared" si="1022"/>
        <v>141.71100000000004</v>
      </c>
      <c r="AD528" s="382">
        <f t="shared" si="1022"/>
        <v>137.90600000000001</v>
      </c>
      <c r="AE528" s="382">
        <f t="shared" ref="AE528" si="1023">SUM(AE523:AE527)</f>
        <v>152.82899999999998</v>
      </c>
      <c r="AF528" s="382">
        <f t="shared" si="1022"/>
        <v>154.75</v>
      </c>
      <c r="AG528" s="382">
        <f t="shared" ref="AG528:AH528" si="1024">SUM(AG523:AG527)</f>
        <v>164.75</v>
      </c>
      <c r="AH528" s="382">
        <f t="shared" si="1024"/>
        <v>179.75</v>
      </c>
    </row>
    <row r="529" spans="1:34">
      <c r="Y529" s="283"/>
    </row>
    <row r="530" spans="1:34">
      <c r="C530" s="281" t="s">
        <v>429</v>
      </c>
      <c r="E530" s="305">
        <v>0.14299999999999999</v>
      </c>
      <c r="F530" s="305">
        <v>0.14000000000000001</v>
      </c>
      <c r="G530" s="305">
        <v>0.13800000000000001</v>
      </c>
      <c r="H530" s="305">
        <v>0.13700000000000001</v>
      </c>
      <c r="I530" s="305">
        <v>0.129</v>
      </c>
      <c r="J530" s="305">
        <v>0.127</v>
      </c>
      <c r="K530" s="305">
        <v>0.13</v>
      </c>
      <c r="L530" s="305">
        <v>0.129</v>
      </c>
      <c r="M530" s="305">
        <v>9.6000000000000002E-2</v>
      </c>
      <c r="N530" s="305">
        <v>9.4E-2</v>
      </c>
      <c r="O530" s="305">
        <v>9.7000000000000003E-2</v>
      </c>
      <c r="P530" s="305">
        <v>9.9000000000000005E-2</v>
      </c>
      <c r="Q530" s="305">
        <v>0.20799999999999999</v>
      </c>
      <c r="R530" s="305">
        <v>0.215</v>
      </c>
      <c r="S530" s="305">
        <v>0.20899999999999999</v>
      </c>
      <c r="T530" s="305">
        <v>0.20899999999999999</v>
      </c>
      <c r="U530" s="305">
        <v>0.21</v>
      </c>
      <c r="V530" s="282">
        <f t="shared" ref="V530:V531" si="1025">($AF530-$U530)*R530/SUM($R530:$T530)</f>
        <v>0.23436018957345972</v>
      </c>
      <c r="W530" s="282">
        <f t="shared" ref="W530:W531" si="1026">($AF530-$U530)*S530/SUM($R530:$T530)</f>
        <v>0.22781990521327014</v>
      </c>
      <c r="X530" s="282">
        <f t="shared" ref="X530:X531" si="1027">($AF530-$U530)*T530/SUM($R530:$T530)</f>
        <v>0.22781990521327014</v>
      </c>
      <c r="Y530" s="283"/>
      <c r="Z530" s="305">
        <v>0.45800000000000002</v>
      </c>
      <c r="AA530" s="305">
        <v>0.47499999999999998</v>
      </c>
      <c r="AB530" s="282">
        <f t="shared" ref="AB530:AE532" si="1028">SUMIF($E$5:$T$5,AB$5,$E530:$T530)</f>
        <v>0.55800000000000005</v>
      </c>
      <c r="AC530" s="282">
        <f t="shared" si="1028"/>
        <v>0.51500000000000001</v>
      </c>
      <c r="AD530" s="282">
        <f t="shared" si="1028"/>
        <v>0.38600000000000001</v>
      </c>
      <c r="AE530" s="282">
        <f t="shared" si="1028"/>
        <v>0.84099999999999997</v>
      </c>
      <c r="AF530" s="377">
        <v>0.9</v>
      </c>
      <c r="AG530" s="539">
        <f t="shared" ref="AG530:AH533" si="1029">+AF530</f>
        <v>0.9</v>
      </c>
      <c r="AH530" s="539">
        <f t="shared" si="1029"/>
        <v>0.9</v>
      </c>
    </row>
    <row r="531" spans="1:34">
      <c r="C531" s="281" t="s">
        <v>314</v>
      </c>
      <c r="E531" s="305">
        <v>1.19</v>
      </c>
      <c r="F531" s="305">
        <v>1.33</v>
      </c>
      <c r="G531" s="305">
        <v>0.85399999999999998</v>
      </c>
      <c r="H531" s="305">
        <v>0.90300000000000002</v>
      </c>
      <c r="I531" s="305">
        <v>1.3460000000000001</v>
      </c>
      <c r="J531" s="305">
        <v>0.94099999999999995</v>
      </c>
      <c r="K531" s="305">
        <v>0.60299999999999998</v>
      </c>
      <c r="L531" s="305">
        <v>0.56000000000000005</v>
      </c>
      <c r="M531" s="305">
        <v>0.69099999999999995</v>
      </c>
      <c r="N531" s="305">
        <v>0.46700000000000003</v>
      </c>
      <c r="O531" s="305">
        <v>0.33500000000000002</v>
      </c>
      <c r="P531" s="305">
        <v>0.73799999999999999</v>
      </c>
      <c r="Q531" s="305">
        <v>0.90700000000000003</v>
      </c>
      <c r="R531" s="305">
        <v>1.103</v>
      </c>
      <c r="S531" s="305">
        <v>1.5409999999999999</v>
      </c>
      <c r="T531" s="305">
        <v>1.7749999999999999</v>
      </c>
      <c r="U531" s="305">
        <v>1.3939999999999999</v>
      </c>
      <c r="V531" s="282">
        <f t="shared" si="1025"/>
        <v>0.97495315682281047</v>
      </c>
      <c r="W531" s="282">
        <f t="shared" si="1026"/>
        <v>1.3621059063136454</v>
      </c>
      <c r="X531" s="282">
        <f t="shared" si="1027"/>
        <v>1.5689409368635434</v>
      </c>
      <c r="Y531" s="283"/>
      <c r="Z531" s="305">
        <v>3.331</v>
      </c>
      <c r="AA531" s="305">
        <v>4.351</v>
      </c>
      <c r="AB531" s="282">
        <f t="shared" si="1028"/>
        <v>4.2770000000000001</v>
      </c>
      <c r="AC531" s="282">
        <f t="shared" si="1028"/>
        <v>3.4499999999999997</v>
      </c>
      <c r="AD531" s="282">
        <f t="shared" si="1028"/>
        <v>2.2309999999999999</v>
      </c>
      <c r="AE531" s="282">
        <f t="shared" si="1028"/>
        <v>5.3259999999999996</v>
      </c>
      <c r="AF531" s="377">
        <v>5.3</v>
      </c>
      <c r="AG531" s="539">
        <f t="shared" si="1029"/>
        <v>5.3</v>
      </c>
      <c r="AH531" s="539">
        <f t="shared" si="1029"/>
        <v>5.3</v>
      </c>
    </row>
    <row r="532" spans="1:34">
      <c r="C532" s="281" t="s">
        <v>430</v>
      </c>
      <c r="E532" s="305">
        <v>9.0670000000000002</v>
      </c>
      <c r="F532" s="305">
        <v>9.8089999999999993</v>
      </c>
      <c r="G532" s="305">
        <v>8.2439999999999998</v>
      </c>
      <c r="H532" s="305">
        <v>13.590999999999999</v>
      </c>
      <c r="I532" s="305">
        <v>5.6920000000000002</v>
      </c>
      <c r="J532" s="305">
        <v>9.4309999999999992</v>
      </c>
      <c r="K532" s="305">
        <v>13.237</v>
      </c>
      <c r="L532" s="305">
        <v>7.6989999999999998</v>
      </c>
      <c r="M532" s="305">
        <v>8.5060000000000002</v>
      </c>
      <c r="N532" s="305">
        <v>4.2779999999999996</v>
      </c>
      <c r="O532" s="305">
        <v>11.629</v>
      </c>
      <c r="P532" s="305">
        <v>10.829000000000001</v>
      </c>
      <c r="Q532" s="305">
        <v>7.758</v>
      </c>
      <c r="R532" s="305">
        <v>6.0640000000000001</v>
      </c>
      <c r="S532" s="305">
        <v>7.2080000000000002</v>
      </c>
      <c r="T532" s="305">
        <v>10.459</v>
      </c>
      <c r="U532" s="305">
        <v>7.2809999999999997</v>
      </c>
      <c r="V532" s="314">
        <f>($AF532-$U532)*J532/SUM($J532:$L532)</f>
        <v>7.2731777587512765</v>
      </c>
      <c r="W532" s="314">
        <f t="shared" ref="W532:X532" si="1030">($AF532-$U532)*K532/SUM($J532:$L532)</f>
        <v>10.208361148615273</v>
      </c>
      <c r="X532" s="314">
        <f t="shared" si="1030"/>
        <v>5.9374610926334519</v>
      </c>
      <c r="Y532" s="283"/>
      <c r="Z532" s="305">
        <v>66.325999999999993</v>
      </c>
      <c r="AA532" s="305">
        <v>50.664000000000001</v>
      </c>
      <c r="AB532" s="282">
        <f>SUMIF($E$5:$T$5,AB$5,$E532:$T532)</f>
        <v>40.710999999999999</v>
      </c>
      <c r="AC532" s="305">
        <v>36.825000000000003</v>
      </c>
      <c r="AD532" s="305">
        <v>34.430999999999997</v>
      </c>
      <c r="AE532" s="282">
        <f t="shared" si="1028"/>
        <v>31.489000000000001</v>
      </c>
      <c r="AF532" s="377">
        <v>30.7</v>
      </c>
      <c r="AG532" s="539">
        <f t="shared" si="1029"/>
        <v>30.7</v>
      </c>
      <c r="AH532" s="539">
        <f t="shared" si="1029"/>
        <v>30.7</v>
      </c>
    </row>
    <row r="533" spans="1:34">
      <c r="C533" s="281" t="s">
        <v>313</v>
      </c>
      <c r="E533" s="305">
        <v>0</v>
      </c>
      <c r="F533" s="305">
        <v>0</v>
      </c>
      <c r="G533" s="305">
        <v>0</v>
      </c>
      <c r="H533" s="305">
        <v>0</v>
      </c>
      <c r="I533" s="305">
        <v>0</v>
      </c>
      <c r="J533" s="305">
        <v>0</v>
      </c>
      <c r="K533" s="305">
        <v>0</v>
      </c>
      <c r="L533" s="305">
        <v>0</v>
      </c>
      <c r="M533" s="305">
        <v>0</v>
      </c>
      <c r="N533" s="305">
        <v>0</v>
      </c>
      <c r="O533" s="305">
        <v>0</v>
      </c>
      <c r="P533" s="305">
        <v>0</v>
      </c>
      <c r="Q533" s="305">
        <v>0</v>
      </c>
      <c r="R533" s="305">
        <v>0</v>
      </c>
      <c r="S533" s="305">
        <v>0</v>
      </c>
      <c r="T533" s="305">
        <v>0</v>
      </c>
      <c r="U533" s="305">
        <v>0</v>
      </c>
      <c r="V533" s="305">
        <v>0</v>
      </c>
      <c r="W533" s="305">
        <v>0</v>
      </c>
      <c r="X533" s="305">
        <v>0</v>
      </c>
      <c r="Y533" s="283"/>
      <c r="Z533" s="305">
        <v>0</v>
      </c>
      <c r="AA533" s="305">
        <v>0</v>
      </c>
      <c r="AB533" s="282">
        <f>SUMIF($E$5:$T$5,AB$5,$E533:$T533)</f>
        <v>0</v>
      </c>
      <c r="AC533" s="282">
        <f>SUMIF($E$5:$T$5,AC$5,$E533:$T533)</f>
        <v>0</v>
      </c>
      <c r="AD533" s="282">
        <f>SUMIF($E$5:$T$5,AD$5,$E533:$T533)</f>
        <v>0</v>
      </c>
      <c r="AE533" s="282">
        <f>SUMIF($E$5:$T$5,AE$5,$E533:$T533)</f>
        <v>0</v>
      </c>
      <c r="AF533" s="377">
        <v>0</v>
      </c>
      <c r="AG533" s="539">
        <f t="shared" si="1029"/>
        <v>0</v>
      </c>
      <c r="AH533" s="539">
        <f t="shared" si="1029"/>
        <v>0</v>
      </c>
    </row>
    <row r="534" spans="1:34">
      <c r="C534" s="320" t="s">
        <v>437</v>
      </c>
      <c r="E534" s="382">
        <f t="shared" ref="E534:T534" si="1031">E528+SUM(E530:E533)</f>
        <v>43.768999999999991</v>
      </c>
      <c r="F534" s="382">
        <f t="shared" si="1031"/>
        <v>44.600999999999985</v>
      </c>
      <c r="G534" s="382">
        <f t="shared" si="1031"/>
        <v>39.540999999999997</v>
      </c>
      <c r="H534" s="382">
        <f t="shared" si="1031"/>
        <v>48.450000000000017</v>
      </c>
      <c r="I534" s="382">
        <f t="shared" si="1031"/>
        <v>42.674000000000007</v>
      </c>
      <c r="J534" s="382">
        <f t="shared" si="1031"/>
        <v>45.022000000000006</v>
      </c>
      <c r="K534" s="382">
        <f t="shared" si="1031"/>
        <v>49.387999999999998</v>
      </c>
      <c r="L534" s="382">
        <f t="shared" si="1031"/>
        <v>44.65100000000001</v>
      </c>
      <c r="M534" s="382">
        <f t="shared" si="1031"/>
        <v>43.305999999999997</v>
      </c>
      <c r="N534" s="382">
        <f t="shared" si="1031"/>
        <v>33.206000000000003</v>
      </c>
      <c r="O534" s="382">
        <f t="shared" si="1031"/>
        <v>49.067</v>
      </c>
      <c r="P534" s="382">
        <f t="shared" si="1031"/>
        <v>50.185999999999993</v>
      </c>
      <c r="Q534" s="382">
        <f t="shared" si="1031"/>
        <v>46.307000000000002</v>
      </c>
      <c r="R534" s="769">
        <f t="shared" si="1031"/>
        <v>45.146999999999991</v>
      </c>
      <c r="S534" s="769">
        <f t="shared" si="1031"/>
        <v>44.05</v>
      </c>
      <c r="T534" s="769">
        <f t="shared" si="1031"/>
        <v>54.981000000000009</v>
      </c>
      <c r="U534" s="769">
        <f t="shared" ref="U534:X534" si="1032">U528+SUM(U530:U533)</f>
        <v>54.891999999999996</v>
      </c>
      <c r="V534" s="769">
        <f t="shared" si="1032"/>
        <v>43.996717823029051</v>
      </c>
      <c r="W534" s="769">
        <f t="shared" si="1032"/>
        <v>45.673683384016542</v>
      </c>
      <c r="X534" s="769">
        <f t="shared" si="1032"/>
        <v>47.087598792954381</v>
      </c>
      <c r="Y534" s="283"/>
      <c r="Z534" s="382">
        <f t="shared" ref="Z534:AE534" si="1033">Z528+SUM(Z530:Z533)</f>
        <v>182.209</v>
      </c>
      <c r="AA534" s="382">
        <f t="shared" si="1033"/>
        <v>184.49700000000001</v>
      </c>
      <c r="AB534" s="382">
        <f t="shared" si="1033"/>
        <v>176.36099999999999</v>
      </c>
      <c r="AC534" s="382">
        <f t="shared" si="1033"/>
        <v>182.50100000000003</v>
      </c>
      <c r="AD534" s="382">
        <f t="shared" si="1033"/>
        <v>174.95400000000001</v>
      </c>
      <c r="AE534" s="769">
        <f t="shared" si="1033"/>
        <v>190.48499999999999</v>
      </c>
      <c r="AF534" s="382">
        <f>SUM(AF528:AF533)</f>
        <v>191.65</v>
      </c>
      <c r="AG534" s="382">
        <f>SUM(AG528:AG533)</f>
        <v>201.65</v>
      </c>
      <c r="AH534" s="382">
        <f>SUM(AH528:AH533)</f>
        <v>216.65</v>
      </c>
    </row>
    <row r="535" spans="1:34">
      <c r="B535" s="283"/>
      <c r="C535" s="316"/>
      <c r="D535" s="486"/>
      <c r="E535" s="308">
        <f t="shared" ref="E535:P535" si="1034">+E524+E530+E531-E506</f>
        <v>1.797246781969752</v>
      </c>
      <c r="F535" s="308">
        <f t="shared" si="1034"/>
        <v>1.9335492630625559</v>
      </c>
      <c r="G535" s="308">
        <f t="shared" si="1034"/>
        <v>1.6053850143575721</v>
      </c>
      <c r="H535" s="308">
        <f t="shared" si="1034"/>
        <v>1.5652739240584626</v>
      </c>
      <c r="I535" s="308">
        <f t="shared" si="1034"/>
        <v>1.8170289718514694</v>
      </c>
      <c r="J535" s="308">
        <f t="shared" si="1034"/>
        <v>1.1180649675280092</v>
      </c>
      <c r="K535" s="308">
        <f t="shared" si="1034"/>
        <v>1.285315942245528</v>
      </c>
      <c r="L535" s="308">
        <f t="shared" si="1034"/>
        <v>0.8429851724761166</v>
      </c>
      <c r="M535" s="308">
        <f t="shared" si="1034"/>
        <v>1.2208778038018719</v>
      </c>
      <c r="N535" s="308">
        <f t="shared" si="1034"/>
        <v>1.1336044421603619</v>
      </c>
      <c r="O535" s="308">
        <f t="shared" si="1034"/>
        <v>0.16885834985739501</v>
      </c>
      <c r="P535" s="308">
        <f t="shared" si="1034"/>
        <v>3.8553435799061551</v>
      </c>
      <c r="Q535" s="308">
        <f>+Q524+Q530+Q531-Q506</f>
        <v>2.1698115156101982</v>
      </c>
      <c r="R535" s="308"/>
      <c r="Y535" s="283"/>
    </row>
    <row r="536" spans="1:34">
      <c r="C536" s="414" t="s">
        <v>431</v>
      </c>
      <c r="E536" s="305">
        <v>-1</v>
      </c>
      <c r="Y536" s="283"/>
    </row>
    <row r="537" spans="1:34">
      <c r="C537" s="281" t="s">
        <v>444</v>
      </c>
      <c r="E537" s="305">
        <v>0.14799999999999999</v>
      </c>
      <c r="F537" s="305">
        <v>0.20100000000000001</v>
      </c>
      <c r="G537" s="305">
        <v>0.14199999999999999</v>
      </c>
      <c r="H537" s="305">
        <v>0.106</v>
      </c>
      <c r="I537" s="305">
        <v>0.126</v>
      </c>
      <c r="J537" s="305">
        <v>9.0999999999999998E-2</v>
      </c>
      <c r="K537" s="305">
        <v>0.111</v>
      </c>
      <c r="L537" s="305">
        <v>0.18</v>
      </c>
      <c r="M537" s="305">
        <v>0.1</v>
      </c>
      <c r="N537" s="305">
        <v>9.1999999999999998E-2</v>
      </c>
      <c r="O537" s="305">
        <v>9.2999999999999999E-2</v>
      </c>
      <c r="P537" s="305">
        <v>0.214</v>
      </c>
      <c r="Q537" s="305">
        <v>0.27800000000000002</v>
      </c>
      <c r="R537" s="305">
        <v>0.20899999999999999</v>
      </c>
      <c r="S537" s="305">
        <v>0.16900000000000001</v>
      </c>
      <c r="T537" s="305">
        <v>0.183</v>
      </c>
      <c r="U537" s="305">
        <v>0.16600000000000001</v>
      </c>
      <c r="V537" s="282">
        <f t="shared" ref="V537" si="1035">($AF537-$U537)*R537/SUM($R537:$T537)</f>
        <v>0.21011764705882352</v>
      </c>
      <c r="W537" s="282">
        <f t="shared" ref="W537" si="1036">($AF537-$U537)*S537/SUM($R537:$T537)</f>
        <v>0.16990374331550803</v>
      </c>
      <c r="X537" s="282">
        <f t="shared" ref="X537" si="1037">($AF537-$U537)*T537/SUM($R537:$T537)</f>
        <v>0.18397860962566845</v>
      </c>
      <c r="Y537" s="283"/>
      <c r="Z537" s="305">
        <v>0.57199999999999995</v>
      </c>
      <c r="AA537" s="305">
        <v>0.61399999999999999</v>
      </c>
      <c r="AB537" s="282">
        <f>SUMIF($E$5:$T$5,AB$5,$E537:$T537)</f>
        <v>0.59699999999999998</v>
      </c>
      <c r="AC537" s="282">
        <f>SUMIF($E$5:$T$5,AC$5,$E537:$T537)</f>
        <v>0.50800000000000001</v>
      </c>
      <c r="AD537" s="282">
        <f>SUMIF($E$5:$T$5,AD$5,$E537:$T537)</f>
        <v>0.499</v>
      </c>
      <c r="AE537" s="282">
        <f>SUMIF($E$5:$T$5,AE$5,$E537:$T537)</f>
        <v>0.83899999999999997</v>
      </c>
      <c r="AF537" s="377">
        <v>0.73</v>
      </c>
      <c r="AG537" s="539">
        <f>+AF537</f>
        <v>0.73</v>
      </c>
      <c r="AH537" s="539">
        <f>+AG537</f>
        <v>0.73</v>
      </c>
    </row>
    <row r="538" spans="1:34">
      <c r="C538" s="281" t="s">
        <v>440</v>
      </c>
      <c r="E538" s="305">
        <v>0</v>
      </c>
      <c r="F538" s="305">
        <v>0</v>
      </c>
      <c r="G538" s="305">
        <v>0</v>
      </c>
      <c r="H538" s="305">
        <v>0</v>
      </c>
      <c r="I538" s="305">
        <v>0</v>
      </c>
      <c r="J538" s="305">
        <v>0</v>
      </c>
      <c r="K538" s="305">
        <v>0</v>
      </c>
      <c r="L538" s="305">
        <v>0</v>
      </c>
      <c r="M538" s="305">
        <v>0</v>
      </c>
      <c r="N538" s="305">
        <v>0</v>
      </c>
      <c r="O538" s="305">
        <v>0</v>
      </c>
      <c r="P538" s="305">
        <v>0</v>
      </c>
      <c r="Q538" s="305">
        <v>0</v>
      </c>
      <c r="R538" s="305">
        <v>0</v>
      </c>
      <c r="S538" s="305">
        <v>0</v>
      </c>
      <c r="T538" s="305">
        <v>0</v>
      </c>
      <c r="U538" s="305">
        <v>0</v>
      </c>
      <c r="V538" s="305">
        <v>0</v>
      </c>
      <c r="W538" s="305">
        <v>0</v>
      </c>
      <c r="X538" s="305">
        <v>0</v>
      </c>
      <c r="Y538" s="283"/>
      <c r="Z538" s="282">
        <v>0</v>
      </c>
      <c r="AA538" s="282">
        <v>0</v>
      </c>
      <c r="AB538" s="282">
        <v>0</v>
      </c>
      <c r="AC538" s="282">
        <v>0</v>
      </c>
      <c r="AD538" s="282">
        <v>0</v>
      </c>
      <c r="AE538" s="282">
        <v>0</v>
      </c>
      <c r="AF538" s="282">
        <v>0</v>
      </c>
      <c r="AG538" s="282">
        <v>0</v>
      </c>
      <c r="AH538" s="282">
        <v>0</v>
      </c>
    </row>
    <row r="539" spans="1:34">
      <c r="C539" s="281" t="s">
        <v>439</v>
      </c>
      <c r="E539" s="305">
        <v>0</v>
      </c>
      <c r="F539" s="305">
        <v>0</v>
      </c>
      <c r="G539" s="305">
        <v>0</v>
      </c>
      <c r="H539" s="305">
        <v>0</v>
      </c>
      <c r="I539" s="305">
        <v>0</v>
      </c>
      <c r="J539" s="305">
        <v>0</v>
      </c>
      <c r="K539" s="305">
        <v>0</v>
      </c>
      <c r="L539" s="305">
        <v>0</v>
      </c>
      <c r="M539" s="305">
        <v>0</v>
      </c>
      <c r="N539" s="305">
        <v>0</v>
      </c>
      <c r="O539" s="305">
        <v>0</v>
      </c>
      <c r="P539" s="305">
        <v>0</v>
      </c>
      <c r="Q539" s="305">
        <v>0</v>
      </c>
      <c r="R539" s="305">
        <v>0</v>
      </c>
      <c r="S539" s="305">
        <v>0</v>
      </c>
      <c r="T539" s="305">
        <v>0</v>
      </c>
      <c r="U539" s="305">
        <v>0</v>
      </c>
      <c r="V539" s="305">
        <v>0</v>
      </c>
      <c r="W539" s="305">
        <v>0</v>
      </c>
      <c r="X539" s="305">
        <v>0</v>
      </c>
      <c r="Y539" s="283"/>
      <c r="Z539" s="282">
        <v>0</v>
      </c>
      <c r="AA539" s="282">
        <v>0</v>
      </c>
      <c r="AB539" s="282">
        <v>0</v>
      </c>
      <c r="AC539" s="282">
        <v>0</v>
      </c>
      <c r="AD539" s="282">
        <v>0</v>
      </c>
      <c r="AE539" s="282">
        <v>0</v>
      </c>
      <c r="AF539" s="282">
        <v>0</v>
      </c>
      <c r="AG539" s="282">
        <v>0</v>
      </c>
      <c r="AH539" s="282">
        <v>0</v>
      </c>
    </row>
    <row r="540" spans="1:34">
      <c r="C540" s="281" t="s">
        <v>441</v>
      </c>
      <c r="E540" s="305">
        <v>0</v>
      </c>
      <c r="F540" s="305">
        <v>0</v>
      </c>
      <c r="G540" s="305">
        <v>0</v>
      </c>
      <c r="H540" s="305">
        <v>0</v>
      </c>
      <c r="I540" s="305">
        <v>0</v>
      </c>
      <c r="J540" s="305">
        <v>0</v>
      </c>
      <c r="K540" s="305">
        <v>0</v>
      </c>
      <c r="L540" s="305">
        <v>0</v>
      </c>
      <c r="M540" s="305">
        <v>0</v>
      </c>
      <c r="N540" s="305">
        <v>0</v>
      </c>
      <c r="O540" s="305">
        <v>0</v>
      </c>
      <c r="P540" s="305">
        <v>0</v>
      </c>
      <c r="Q540" s="305">
        <v>0</v>
      </c>
      <c r="R540" s="305">
        <v>0</v>
      </c>
      <c r="S540" s="305">
        <v>0</v>
      </c>
      <c r="T540" s="305">
        <v>0</v>
      </c>
      <c r="U540" s="305">
        <v>0</v>
      </c>
      <c r="V540" s="305">
        <v>0</v>
      </c>
      <c r="W540" s="305">
        <v>0</v>
      </c>
      <c r="X540" s="305">
        <v>0</v>
      </c>
      <c r="Y540" s="283"/>
      <c r="Z540" s="282">
        <v>0</v>
      </c>
      <c r="AA540" s="282">
        <v>0</v>
      </c>
      <c r="AB540" s="282">
        <v>0</v>
      </c>
      <c r="AC540" s="282">
        <v>0</v>
      </c>
      <c r="AD540" s="282">
        <v>0</v>
      </c>
      <c r="AE540" s="282">
        <v>0</v>
      </c>
      <c r="AF540" s="282">
        <v>0</v>
      </c>
      <c r="AG540" s="282">
        <v>0</v>
      </c>
      <c r="AH540" s="282">
        <v>0</v>
      </c>
    </row>
    <row r="541" spans="1:34">
      <c r="C541" s="320" t="s">
        <v>466</v>
      </c>
      <c r="E541" s="382">
        <f t="shared" ref="E541:T541" si="1038">SUM(E537)</f>
        <v>0.14799999999999999</v>
      </c>
      <c r="F541" s="382">
        <f t="shared" si="1038"/>
        <v>0.20100000000000001</v>
      </c>
      <c r="G541" s="382">
        <f t="shared" si="1038"/>
        <v>0.14199999999999999</v>
      </c>
      <c r="H541" s="382">
        <f t="shared" si="1038"/>
        <v>0.106</v>
      </c>
      <c r="I541" s="382">
        <f t="shared" si="1038"/>
        <v>0.126</v>
      </c>
      <c r="J541" s="382">
        <f t="shared" si="1038"/>
        <v>9.0999999999999998E-2</v>
      </c>
      <c r="K541" s="382">
        <f t="shared" si="1038"/>
        <v>0.111</v>
      </c>
      <c r="L541" s="382">
        <f t="shared" si="1038"/>
        <v>0.18</v>
      </c>
      <c r="M541" s="382">
        <f t="shared" si="1038"/>
        <v>0.1</v>
      </c>
      <c r="N541" s="382">
        <f t="shared" si="1038"/>
        <v>9.1999999999999998E-2</v>
      </c>
      <c r="O541" s="382">
        <f t="shared" si="1038"/>
        <v>9.2999999999999999E-2</v>
      </c>
      <c r="P541" s="382">
        <f t="shared" si="1038"/>
        <v>0.214</v>
      </c>
      <c r="Q541" s="382">
        <f t="shared" si="1038"/>
        <v>0.27800000000000002</v>
      </c>
      <c r="R541" s="769">
        <f t="shared" ref="R541" si="1039">SUM(R537)</f>
        <v>0.20899999999999999</v>
      </c>
      <c r="S541" s="382">
        <f t="shared" si="1038"/>
        <v>0.16900000000000001</v>
      </c>
      <c r="T541" s="382">
        <f t="shared" si="1038"/>
        <v>0.183</v>
      </c>
      <c r="U541" s="382">
        <f t="shared" ref="U541:X541" si="1040">SUM(U537)</f>
        <v>0.16600000000000001</v>
      </c>
      <c r="V541" s="382">
        <f t="shared" si="1040"/>
        <v>0.21011764705882352</v>
      </c>
      <c r="W541" s="382">
        <f t="shared" si="1040"/>
        <v>0.16990374331550803</v>
      </c>
      <c r="X541" s="382">
        <f t="shared" si="1040"/>
        <v>0.18397860962566845</v>
      </c>
      <c r="Y541" s="283"/>
      <c r="Z541" s="382">
        <f t="shared" ref="Z541:AD541" si="1041">SUM(Z537)</f>
        <v>0.57199999999999995</v>
      </c>
      <c r="AA541" s="382">
        <f t="shared" si="1041"/>
        <v>0.61399999999999999</v>
      </c>
      <c r="AB541" s="382">
        <f t="shared" si="1041"/>
        <v>0.59699999999999998</v>
      </c>
      <c r="AC541" s="382">
        <f t="shared" si="1041"/>
        <v>0.50800000000000001</v>
      </c>
      <c r="AD541" s="382">
        <f t="shared" si="1041"/>
        <v>0.499</v>
      </c>
      <c r="AE541" s="382">
        <f t="shared" ref="AE541" si="1042">SUM(AE537)</f>
        <v>0.83899999999999997</v>
      </c>
      <c r="AF541" s="382">
        <f>SUM(AF537:AF540)</f>
        <v>0.73</v>
      </c>
      <c r="AG541" s="382">
        <f>SUM(AG537:AG540)</f>
        <v>0.73</v>
      </c>
      <c r="AH541" s="382">
        <f>SUM(AH537:AH540)</f>
        <v>0.73</v>
      </c>
    </row>
    <row r="542" spans="1:34">
      <c r="E542" s="384"/>
      <c r="F542" s="384"/>
      <c r="G542" s="384"/>
      <c r="H542" s="384"/>
      <c r="I542" s="384"/>
      <c r="J542" s="384"/>
      <c r="K542" s="384"/>
      <c r="L542" s="384"/>
      <c r="M542" s="384"/>
      <c r="N542" s="384"/>
      <c r="O542" s="384"/>
      <c r="P542" s="384"/>
      <c r="Q542" s="384"/>
      <c r="Y542" s="283"/>
    </row>
    <row r="543" spans="1:34" s="315" customFormat="1">
      <c r="A543" s="283"/>
      <c r="B543" s="472"/>
      <c r="C543" s="472" t="s">
        <v>433</v>
      </c>
      <c r="D543" s="494"/>
      <c r="E543" s="461">
        <f t="shared" ref="E543:N543" si="1043">E528+E541</f>
        <v>33.516999999999996</v>
      </c>
      <c r="F543" s="461">
        <f t="shared" si="1043"/>
        <v>33.522999999999989</v>
      </c>
      <c r="G543" s="461">
        <f t="shared" si="1043"/>
        <v>30.446999999999999</v>
      </c>
      <c r="H543" s="461">
        <f t="shared" si="1043"/>
        <v>33.925000000000018</v>
      </c>
      <c r="I543" s="461">
        <f t="shared" si="1043"/>
        <v>35.633000000000003</v>
      </c>
      <c r="J543" s="461">
        <f t="shared" si="1043"/>
        <v>34.614000000000004</v>
      </c>
      <c r="K543" s="461">
        <f t="shared" si="1043"/>
        <v>35.528999999999996</v>
      </c>
      <c r="L543" s="461">
        <f t="shared" si="1043"/>
        <v>36.443000000000012</v>
      </c>
      <c r="M543" s="461">
        <f t="shared" si="1043"/>
        <v>34.113</v>
      </c>
      <c r="N543" s="461">
        <f t="shared" si="1043"/>
        <v>28.459</v>
      </c>
      <c r="O543" s="461">
        <f t="shared" ref="O543:T543" si="1044">O528-O541</f>
        <v>36.912999999999997</v>
      </c>
      <c r="P543" s="461">
        <f t="shared" si="1044"/>
        <v>38.30599999999999</v>
      </c>
      <c r="Q543" s="461">
        <f t="shared" si="1044"/>
        <v>37.156000000000006</v>
      </c>
      <c r="R543" s="775">
        <f t="shared" si="1044"/>
        <v>37.55599999999999</v>
      </c>
      <c r="S543" s="461">
        <f t="shared" si="1044"/>
        <v>34.923000000000002</v>
      </c>
      <c r="T543" s="461">
        <f t="shared" si="1044"/>
        <v>42.355000000000011</v>
      </c>
      <c r="U543" s="461">
        <f t="shared" ref="U543:X543" si="1045">U528-U541</f>
        <v>45.841000000000001</v>
      </c>
      <c r="V543" s="461">
        <f t="shared" si="1045"/>
        <v>35.304109070822683</v>
      </c>
      <c r="W543" s="461">
        <f t="shared" si="1045"/>
        <v>33.705492680558848</v>
      </c>
      <c r="X543" s="461">
        <f t="shared" si="1045"/>
        <v>39.16939824861845</v>
      </c>
      <c r="Y543" s="283"/>
      <c r="Z543" s="461">
        <f t="shared" ref="Z543:AE543" si="1046">Z528-Z541</f>
        <v>111.52199999999999</v>
      </c>
      <c r="AA543" s="461">
        <f t="shared" si="1046"/>
        <v>128.393</v>
      </c>
      <c r="AB543" s="461">
        <f t="shared" si="1046"/>
        <v>130.21799999999999</v>
      </c>
      <c r="AC543" s="461">
        <f t="shared" si="1046"/>
        <v>141.20300000000003</v>
      </c>
      <c r="AD543" s="461">
        <f t="shared" si="1046"/>
        <v>137.40700000000001</v>
      </c>
      <c r="AE543" s="461">
        <f t="shared" si="1046"/>
        <v>151.98999999999998</v>
      </c>
      <c r="AF543" s="461">
        <f>+AF528-AF541</f>
        <v>154.02000000000001</v>
      </c>
      <c r="AG543" s="461">
        <f>+AG528-AG541</f>
        <v>164.02</v>
      </c>
      <c r="AH543" s="461">
        <f>+AH528-AH541</f>
        <v>179.02</v>
      </c>
    </row>
    <row r="544" spans="1:34" s="315" customFormat="1">
      <c r="A544" s="283"/>
      <c r="B544" s="473"/>
      <c r="C544" s="473" t="s">
        <v>434</v>
      </c>
      <c r="D544" s="495"/>
      <c r="E544" s="469">
        <f t="shared" ref="E544:N544" si="1047">E534+E541</f>
        <v>43.916999999999994</v>
      </c>
      <c r="F544" s="469">
        <f t="shared" si="1047"/>
        <v>44.801999999999985</v>
      </c>
      <c r="G544" s="469">
        <f t="shared" si="1047"/>
        <v>39.683</v>
      </c>
      <c r="H544" s="469">
        <f t="shared" si="1047"/>
        <v>48.556000000000019</v>
      </c>
      <c r="I544" s="469">
        <f t="shared" si="1047"/>
        <v>42.800000000000004</v>
      </c>
      <c r="J544" s="469">
        <f t="shared" si="1047"/>
        <v>45.113000000000007</v>
      </c>
      <c r="K544" s="469">
        <f t="shared" si="1047"/>
        <v>49.498999999999995</v>
      </c>
      <c r="L544" s="469">
        <f t="shared" si="1047"/>
        <v>44.83100000000001</v>
      </c>
      <c r="M544" s="469">
        <f t="shared" si="1047"/>
        <v>43.405999999999999</v>
      </c>
      <c r="N544" s="469">
        <f t="shared" si="1047"/>
        <v>33.298000000000002</v>
      </c>
      <c r="O544" s="469">
        <f t="shared" ref="O544:T544" si="1048">O534-O541</f>
        <v>48.973999999999997</v>
      </c>
      <c r="P544" s="469">
        <f t="shared" si="1048"/>
        <v>49.971999999999994</v>
      </c>
      <c r="Q544" s="469">
        <f t="shared" si="1048"/>
        <v>46.029000000000003</v>
      </c>
      <c r="R544" s="469">
        <f t="shared" si="1048"/>
        <v>44.937999999999988</v>
      </c>
      <c r="S544" s="469">
        <f t="shared" si="1048"/>
        <v>43.881</v>
      </c>
      <c r="T544" s="469">
        <f t="shared" si="1048"/>
        <v>54.798000000000009</v>
      </c>
      <c r="U544" s="469">
        <f t="shared" ref="U544:X544" si="1049">U534-U541</f>
        <v>54.725999999999999</v>
      </c>
      <c r="V544" s="469">
        <f t="shared" si="1049"/>
        <v>43.786600175970229</v>
      </c>
      <c r="W544" s="469">
        <f t="shared" si="1049"/>
        <v>45.503779640701033</v>
      </c>
      <c r="X544" s="469">
        <f t="shared" si="1049"/>
        <v>46.903620183328712</v>
      </c>
      <c r="Y544" s="283"/>
      <c r="Z544" s="469">
        <f t="shared" ref="Z544:AE544" si="1050">Z534-Z541</f>
        <v>181.637</v>
      </c>
      <c r="AA544" s="469">
        <f t="shared" si="1050"/>
        <v>183.88300000000001</v>
      </c>
      <c r="AB544" s="469">
        <f t="shared" si="1050"/>
        <v>175.76399999999998</v>
      </c>
      <c r="AC544" s="469">
        <f t="shared" si="1050"/>
        <v>181.99300000000002</v>
      </c>
      <c r="AD544" s="469">
        <f t="shared" si="1050"/>
        <v>174.45500000000001</v>
      </c>
      <c r="AE544" s="469">
        <f t="shared" si="1050"/>
        <v>189.64599999999999</v>
      </c>
      <c r="AF544" s="469">
        <f>+AF534-AF541</f>
        <v>190.92000000000002</v>
      </c>
      <c r="AG544" s="469">
        <f>+AG534-AG541</f>
        <v>200.92000000000002</v>
      </c>
      <c r="AH544" s="469">
        <f>+AH534-AH541</f>
        <v>215.92000000000002</v>
      </c>
    </row>
    <row r="545" spans="1:34">
      <c r="E545" s="282"/>
      <c r="F545" s="282"/>
      <c r="G545" s="282"/>
      <c r="H545" s="282"/>
      <c r="I545" s="282"/>
      <c r="J545" s="282"/>
      <c r="K545" s="282"/>
      <c r="L545" s="282"/>
      <c r="M545" s="282"/>
      <c r="N545" s="282"/>
      <c r="O545" s="282"/>
      <c r="P545" s="282"/>
      <c r="Q545" s="282"/>
      <c r="R545" s="282"/>
      <c r="S545" s="282"/>
      <c r="T545" s="282"/>
      <c r="U545" s="282"/>
      <c r="V545" s="282"/>
      <c r="W545" s="282"/>
      <c r="X545" s="282"/>
      <c r="Y545" s="283"/>
      <c r="Z545" s="282"/>
      <c r="AA545" s="282"/>
      <c r="AB545" s="282"/>
      <c r="AC545" s="282"/>
      <c r="AD545" s="282"/>
      <c r="AE545" s="282"/>
      <c r="AF545" s="282"/>
      <c r="AG545" s="282"/>
      <c r="AH545" s="282"/>
    </row>
    <row r="546" spans="1:34">
      <c r="B546" s="451"/>
      <c r="C546" s="470" t="s">
        <v>601</v>
      </c>
      <c r="D546" s="490"/>
      <c r="E546" s="449"/>
      <c r="F546" s="449"/>
      <c r="G546" s="449"/>
      <c r="H546" s="449"/>
      <c r="I546" s="449"/>
      <c r="J546" s="449"/>
      <c r="K546" s="449"/>
      <c r="L546" s="449"/>
      <c r="M546" s="449"/>
      <c r="N546" s="449"/>
      <c r="O546" s="449"/>
      <c r="P546" s="449"/>
      <c r="Q546" s="449"/>
      <c r="R546" s="449"/>
      <c r="S546" s="449"/>
      <c r="T546" s="449"/>
      <c r="U546" s="449"/>
      <c r="V546" s="449"/>
      <c r="W546" s="449"/>
      <c r="X546" s="449"/>
      <c r="Y546" s="283"/>
      <c r="Z546" s="449"/>
      <c r="AA546" s="449"/>
      <c r="AB546" s="449"/>
      <c r="AC546" s="449"/>
      <c r="AD546" s="449"/>
      <c r="AE546" s="449"/>
      <c r="AF546" s="449"/>
      <c r="AG546" s="449"/>
      <c r="AH546" s="449"/>
    </row>
    <row r="547" spans="1:34">
      <c r="B547" s="451"/>
      <c r="C547" s="514" t="s">
        <v>565</v>
      </c>
      <c r="D547" s="515" t="s">
        <v>588</v>
      </c>
      <c r="E547" s="449">
        <f t="shared" ref="E547:T547" si="1051">E528/(E487/10^3)</f>
        <v>830.5498170595115</v>
      </c>
      <c r="F547" s="449">
        <f t="shared" si="1051"/>
        <v>779.97284771312172</v>
      </c>
      <c r="G547" s="449">
        <f t="shared" si="1051"/>
        <v>689.04754325731574</v>
      </c>
      <c r="H547" s="449">
        <f t="shared" si="1051"/>
        <v>942.97903189828264</v>
      </c>
      <c r="I547" s="449">
        <f t="shared" si="1051"/>
        <v>1116.6074404855499</v>
      </c>
      <c r="J547" s="449">
        <f t="shared" si="1051"/>
        <v>1104.0294211704511</v>
      </c>
      <c r="K547" s="449">
        <f t="shared" si="1051"/>
        <v>969.10827154075582</v>
      </c>
      <c r="L547" s="449">
        <f t="shared" si="1051"/>
        <v>1042.249877848993</v>
      </c>
      <c r="M547" s="449">
        <f t="shared" si="1051"/>
        <v>1271.4189593301435</v>
      </c>
      <c r="N547" s="449">
        <f t="shared" si="1051"/>
        <v>922.32409936272609</v>
      </c>
      <c r="O547" s="449">
        <f t="shared" si="1051"/>
        <v>1401.4769929937511</v>
      </c>
      <c r="P547" s="449">
        <f t="shared" si="1051"/>
        <v>1025.0133049494411</v>
      </c>
      <c r="Q547" s="449">
        <f t="shared" si="1051"/>
        <v>1034.3741365017961</v>
      </c>
      <c r="R547" s="449">
        <f t="shared" si="1051"/>
        <v>1205.2787795614845</v>
      </c>
      <c r="S547" s="449">
        <f t="shared" si="1051"/>
        <v>1180.674248031761</v>
      </c>
      <c r="T547" s="449">
        <f t="shared" si="1051"/>
        <v>1141.4694359469761</v>
      </c>
      <c r="U547" s="449">
        <f t="shared" ref="U547:X547" si="1052">U528/(U487/10^3)</f>
        <v>1521.3955026455026</v>
      </c>
      <c r="V547" s="449">
        <f t="shared" si="1052"/>
        <v>1134.1484702780695</v>
      </c>
      <c r="W547" s="449">
        <f t="shared" si="1052"/>
        <v>1140.4490389666512</v>
      </c>
      <c r="X547" s="449">
        <f t="shared" si="1052"/>
        <v>1056.668478277631</v>
      </c>
      <c r="Y547" s="283"/>
      <c r="Z547" s="449">
        <f t="shared" ref="Z547:AG547" si="1053">Z528/(Z487/10^3)</f>
        <v>767.89861277616035</v>
      </c>
      <c r="AA547" s="449">
        <f t="shared" si="1053"/>
        <v>823.52077521656156</v>
      </c>
      <c r="AB547" s="449">
        <f t="shared" si="1053"/>
        <v>803.80843533402151</v>
      </c>
      <c r="AC547" s="449">
        <f t="shared" si="1053"/>
        <v>1054.3267191929115</v>
      </c>
      <c r="AD547" s="449">
        <f t="shared" si="1053"/>
        <v>1135.0942029581952</v>
      </c>
      <c r="AE547" s="449">
        <f>AE528/(AE487/10^3)</f>
        <v>1136.1821709748644</v>
      </c>
      <c r="AF547" s="449">
        <f t="shared" si="1053"/>
        <v>1204.2801556420234</v>
      </c>
      <c r="AG547" s="449">
        <f t="shared" si="1053"/>
        <v>1209.4855214007782</v>
      </c>
      <c r="AH547" s="449">
        <f t="shared" ref="AH547" si="1054">AH528/(AH487/10^3)</f>
        <v>1248.2755668314228</v>
      </c>
    </row>
    <row r="548" spans="1:34">
      <c r="B548" s="451"/>
      <c r="C548" s="514" t="s">
        <v>596</v>
      </c>
      <c r="D548" s="515" t="s">
        <v>588</v>
      </c>
      <c r="E548" s="449">
        <f t="shared" ref="E548:T548" si="1055">E541/(E487/10^3)</f>
        <v>3.6836996291410511</v>
      </c>
      <c r="F548" s="449">
        <f t="shared" si="1055"/>
        <v>4.7048359159215396</v>
      </c>
      <c r="G548" s="449">
        <f t="shared" si="1055"/>
        <v>3.2286669243536985</v>
      </c>
      <c r="H548" s="449">
        <f t="shared" si="1055"/>
        <v>2.9556100825340166</v>
      </c>
      <c r="I548" s="449">
        <f t="shared" si="1055"/>
        <v>3.9623887543633445</v>
      </c>
      <c r="J548" s="449">
        <f t="shared" si="1055"/>
        <v>2.9101375119923247</v>
      </c>
      <c r="K548" s="449">
        <f t="shared" si="1055"/>
        <v>3.0371849946644049</v>
      </c>
      <c r="L548" s="449">
        <f t="shared" si="1055"/>
        <v>5.1734544304888912</v>
      </c>
      <c r="M548" s="449">
        <f t="shared" si="1055"/>
        <v>3.7380382775119623</v>
      </c>
      <c r="N548" s="449">
        <f t="shared" si="1055"/>
        <v>2.9912862530888282</v>
      </c>
      <c r="O548" s="449">
        <f t="shared" si="1055"/>
        <v>3.5220602158682066</v>
      </c>
      <c r="P548" s="449">
        <f t="shared" si="1055"/>
        <v>5.6945183608302292</v>
      </c>
      <c r="Q548" s="449">
        <f t="shared" si="1055"/>
        <v>7.6816800221055548</v>
      </c>
      <c r="R548" s="449">
        <f t="shared" si="1055"/>
        <v>6.6702837264226211</v>
      </c>
      <c r="S548" s="449">
        <f t="shared" si="1055"/>
        <v>5.6860238207388463</v>
      </c>
      <c r="T548" s="449">
        <f t="shared" si="1055"/>
        <v>4.9106424086298501</v>
      </c>
      <c r="U548" s="449">
        <f t="shared" ref="U548:X548" si="1056">U541/(U487/10^3)</f>
        <v>5.4894179894179898</v>
      </c>
      <c r="V548" s="449">
        <f t="shared" si="1056"/>
        <v>6.7101167620300455</v>
      </c>
      <c r="W548" s="449">
        <f t="shared" si="1056"/>
        <v>5.7199791363754171</v>
      </c>
      <c r="X548" s="449">
        <f t="shared" si="1056"/>
        <v>4.9399673671984701</v>
      </c>
      <c r="Y548" s="283"/>
      <c r="Z548" s="449">
        <f t="shared" ref="Z548:AG548" si="1057">Z541/(Z487/10^3)</f>
        <v>3.9184791916424042</v>
      </c>
      <c r="AA548" s="449">
        <f t="shared" si="1057"/>
        <v>3.9194908492017393</v>
      </c>
      <c r="AB548" s="449">
        <f t="shared" si="1057"/>
        <v>3.6683380032443589</v>
      </c>
      <c r="AC548" s="449">
        <f t="shared" si="1057"/>
        <v>3.7795088126539147</v>
      </c>
      <c r="AD548" s="449">
        <f t="shared" si="1057"/>
        <v>4.1072325154535658</v>
      </c>
      <c r="AE548" s="449">
        <f t="shared" si="1057"/>
        <v>6.2374080930184146</v>
      </c>
      <c r="AF548" s="449">
        <f t="shared" si="1057"/>
        <v>5.6809338521400772</v>
      </c>
      <c r="AG548" s="449">
        <f t="shared" si="1057"/>
        <v>5.3591771206225687</v>
      </c>
      <c r="AH548" s="449">
        <f t="shared" ref="AH548" si="1058">AH541/(AH487/10^3)</f>
        <v>5.0694918708591858</v>
      </c>
    </row>
    <row r="549" spans="1:34">
      <c r="B549" s="451"/>
      <c r="C549" s="532" t="s">
        <v>433</v>
      </c>
      <c r="D549" s="515" t="s">
        <v>588</v>
      </c>
      <c r="E549" s="461">
        <f>E547-E548</f>
        <v>826.86611743037042</v>
      </c>
      <c r="F549" s="461">
        <f t="shared" ref="F549:T549" si="1059">F547-F548</f>
        <v>775.26801179720019</v>
      </c>
      <c r="G549" s="461">
        <f t="shared" si="1059"/>
        <v>685.81887633296208</v>
      </c>
      <c r="H549" s="461">
        <f t="shared" si="1059"/>
        <v>940.02342181574863</v>
      </c>
      <c r="I549" s="461">
        <f t="shared" si="1059"/>
        <v>1112.6450517311866</v>
      </c>
      <c r="J549" s="461">
        <f t="shared" si="1059"/>
        <v>1101.1192836584587</v>
      </c>
      <c r="K549" s="461">
        <f t="shared" si="1059"/>
        <v>966.07108654609146</v>
      </c>
      <c r="L549" s="461">
        <f t="shared" si="1059"/>
        <v>1037.0764234185042</v>
      </c>
      <c r="M549" s="461">
        <f t="shared" si="1059"/>
        <v>1267.6809210526314</v>
      </c>
      <c r="N549" s="461">
        <f t="shared" si="1059"/>
        <v>919.3328131096373</v>
      </c>
      <c r="O549" s="461">
        <f t="shared" si="1059"/>
        <v>1397.954932777883</v>
      </c>
      <c r="P549" s="461">
        <f t="shared" si="1059"/>
        <v>1019.3187865886109</v>
      </c>
      <c r="Q549" s="461">
        <f t="shared" si="1059"/>
        <v>1026.6924564796905</v>
      </c>
      <c r="R549" s="775">
        <f t="shared" si="1059"/>
        <v>1198.6084958350618</v>
      </c>
      <c r="S549" s="461">
        <f t="shared" si="1059"/>
        <v>1174.988224211022</v>
      </c>
      <c r="T549" s="461">
        <f t="shared" si="1059"/>
        <v>1136.5587935383462</v>
      </c>
      <c r="U549" s="461">
        <f t="shared" ref="U549:X549" si="1060">U547-U548</f>
        <v>1515.9060846560847</v>
      </c>
      <c r="V549" s="461">
        <f t="shared" si="1060"/>
        <v>1127.4383535160393</v>
      </c>
      <c r="W549" s="461">
        <f t="shared" si="1060"/>
        <v>1134.7290598302757</v>
      </c>
      <c r="X549" s="461">
        <f t="shared" si="1060"/>
        <v>1051.7285109104325</v>
      </c>
      <c r="Y549" s="283"/>
      <c r="Z549" s="461">
        <f t="shared" ref="Z549:AG549" si="1061">Z547-Z548</f>
        <v>763.98013358451794</v>
      </c>
      <c r="AA549" s="461">
        <f t="shared" si="1061"/>
        <v>819.60128436735977</v>
      </c>
      <c r="AB549" s="461">
        <f t="shared" si="1061"/>
        <v>800.14009733077717</v>
      </c>
      <c r="AC549" s="461">
        <f t="shared" si="1061"/>
        <v>1050.5472103802576</v>
      </c>
      <c r="AD549" s="461">
        <f t="shared" si="1061"/>
        <v>1130.9869704427417</v>
      </c>
      <c r="AE549" s="461">
        <f t="shared" si="1061"/>
        <v>1129.9447628818461</v>
      </c>
      <c r="AF549" s="461">
        <f t="shared" si="1061"/>
        <v>1198.5992217898834</v>
      </c>
      <c r="AG549" s="461">
        <f t="shared" si="1061"/>
        <v>1204.1263442801558</v>
      </c>
      <c r="AH549" s="461">
        <f t="shared" ref="AH549" si="1062">AH547-AH548</f>
        <v>1243.2060749605637</v>
      </c>
    </row>
    <row r="550" spans="1:34">
      <c r="B550" s="462"/>
      <c r="C550" s="533"/>
      <c r="D550" s="515"/>
      <c r="E550" s="450"/>
      <c r="F550" s="450"/>
      <c r="G550" s="450"/>
      <c r="H550" s="450"/>
      <c r="I550" s="450"/>
      <c r="J550" s="450"/>
      <c r="K550" s="450"/>
      <c r="L550" s="450"/>
      <c r="M550" s="450"/>
      <c r="N550" s="450"/>
      <c r="O550" s="450"/>
      <c r="P550" s="450"/>
      <c r="Q550" s="450"/>
      <c r="R550" s="450"/>
      <c r="S550" s="450"/>
      <c r="T550" s="450"/>
      <c r="U550" s="450"/>
      <c r="V550" s="450"/>
      <c r="W550" s="450"/>
      <c r="X550" s="450"/>
      <c r="Y550" s="283"/>
      <c r="Z550" s="450"/>
      <c r="AA550" s="450"/>
      <c r="AB550" s="450"/>
      <c r="AC550" s="450"/>
      <c r="AD550" s="450"/>
      <c r="AE550" s="450"/>
      <c r="AF550" s="450"/>
      <c r="AG550" s="450"/>
      <c r="AH550" s="450"/>
    </row>
    <row r="551" spans="1:34">
      <c r="B551" s="451"/>
      <c r="C551" s="514" t="s">
        <v>566</v>
      </c>
      <c r="D551" s="515" t="s">
        <v>588</v>
      </c>
      <c r="E551" s="449">
        <f t="shared" ref="E551:T551" si="1063">E534/(E487/10^3)</f>
        <v>1089.4043855937475</v>
      </c>
      <c r="F551" s="449">
        <f t="shared" si="1063"/>
        <v>1043.9820233135149</v>
      </c>
      <c r="G551" s="449">
        <f t="shared" si="1063"/>
        <v>899.04731588640561</v>
      </c>
      <c r="H551" s="449">
        <f t="shared" si="1063"/>
        <v>1350.9368726299356</v>
      </c>
      <c r="I551" s="449">
        <f t="shared" si="1063"/>
        <v>1341.9918865373127</v>
      </c>
      <c r="J551" s="449">
        <f t="shared" si="1063"/>
        <v>1439.7825391749282</v>
      </c>
      <c r="K551" s="449">
        <f t="shared" si="1063"/>
        <v>1351.3557884368074</v>
      </c>
      <c r="L551" s="449">
        <f t="shared" si="1063"/>
        <v>1283.3328543097753</v>
      </c>
      <c r="M551" s="449">
        <f t="shared" si="1063"/>
        <v>1618.7948564593303</v>
      </c>
      <c r="N551" s="449">
        <f t="shared" si="1063"/>
        <v>1079.6592534789961</v>
      </c>
      <c r="O551" s="449">
        <f t="shared" si="1063"/>
        <v>1858.2465442151106</v>
      </c>
      <c r="P551" s="449">
        <f t="shared" si="1063"/>
        <v>1335.4443853113357</v>
      </c>
      <c r="Q551" s="449">
        <f t="shared" si="1063"/>
        <v>1279.5523625310859</v>
      </c>
      <c r="R551" s="449">
        <f t="shared" si="1063"/>
        <v>1440.8770306067083</v>
      </c>
      <c r="S551" s="449">
        <f t="shared" si="1063"/>
        <v>1482.0671556422849</v>
      </c>
      <c r="T551" s="449">
        <f t="shared" si="1063"/>
        <v>1475.3662856222832</v>
      </c>
      <c r="U551" s="449">
        <f t="shared" ref="U551:X551" si="1064">U534/(U487/10^3)</f>
        <v>1815.2116402116401</v>
      </c>
      <c r="V551" s="449">
        <f t="shared" si="1064"/>
        <v>1405.0372154413287</v>
      </c>
      <c r="W551" s="449">
        <f t="shared" si="1064"/>
        <v>1537.6501479008039</v>
      </c>
      <c r="X551" s="449">
        <f t="shared" si="1064"/>
        <v>1264.3382940560887</v>
      </c>
      <c r="Y551" s="283"/>
      <c r="Z551" s="449">
        <f t="shared" ref="Z551:AG551" si="1065">Z534/(Z487/10^3)</f>
        <v>1248.2205857167323</v>
      </c>
      <c r="AA551" s="449">
        <f t="shared" si="1065"/>
        <v>1177.7431648292725</v>
      </c>
      <c r="AB551" s="449">
        <f t="shared" si="1065"/>
        <v>1083.6712874207344</v>
      </c>
      <c r="AC551" s="449">
        <f t="shared" si="1065"/>
        <v>1357.8034209018745</v>
      </c>
      <c r="AD551" s="449">
        <f t="shared" si="1065"/>
        <v>1440.0335821816896</v>
      </c>
      <c r="AE551" s="449">
        <f t="shared" si="1065"/>
        <v>1416.1295358743894</v>
      </c>
      <c r="AF551" s="449">
        <f t="shared" si="1065"/>
        <v>1491.4396887159533</v>
      </c>
      <c r="AG551" s="449">
        <f t="shared" si="1065"/>
        <v>1480.3809128404671</v>
      </c>
      <c r="AH551" s="449">
        <f t="shared" ref="AH551" si="1066">AH534/(AH487/10^3)</f>
        <v>1504.5279641392365</v>
      </c>
    </row>
    <row r="552" spans="1:34">
      <c r="B552" s="451"/>
      <c r="C552" s="514" t="s">
        <v>596</v>
      </c>
      <c r="D552" s="515" t="s">
        <v>588</v>
      </c>
      <c r="E552" s="449">
        <f t="shared" ref="E552:T552" si="1067">E541/(E487/10^3)</f>
        <v>3.6836996291410511</v>
      </c>
      <c r="F552" s="449">
        <f t="shared" si="1067"/>
        <v>4.7048359159215396</v>
      </c>
      <c r="G552" s="449">
        <f t="shared" si="1067"/>
        <v>3.2286669243536985</v>
      </c>
      <c r="H552" s="449">
        <f t="shared" si="1067"/>
        <v>2.9556100825340166</v>
      </c>
      <c r="I552" s="449">
        <f t="shared" si="1067"/>
        <v>3.9623887543633445</v>
      </c>
      <c r="J552" s="449">
        <f t="shared" si="1067"/>
        <v>2.9101375119923247</v>
      </c>
      <c r="K552" s="449">
        <f t="shared" si="1067"/>
        <v>3.0371849946644049</v>
      </c>
      <c r="L552" s="449">
        <f t="shared" si="1067"/>
        <v>5.1734544304888912</v>
      </c>
      <c r="M552" s="449">
        <f t="shared" si="1067"/>
        <v>3.7380382775119623</v>
      </c>
      <c r="N552" s="449">
        <f t="shared" si="1067"/>
        <v>2.9912862530888282</v>
      </c>
      <c r="O552" s="449">
        <f t="shared" si="1067"/>
        <v>3.5220602158682066</v>
      </c>
      <c r="P552" s="449">
        <f t="shared" si="1067"/>
        <v>5.6945183608302292</v>
      </c>
      <c r="Q552" s="449">
        <f t="shared" si="1067"/>
        <v>7.6816800221055548</v>
      </c>
      <c r="R552" s="449">
        <f t="shared" si="1067"/>
        <v>6.6702837264226211</v>
      </c>
      <c r="S552" s="449">
        <f t="shared" si="1067"/>
        <v>5.6860238207388463</v>
      </c>
      <c r="T552" s="449">
        <f t="shared" si="1067"/>
        <v>4.9106424086298501</v>
      </c>
      <c r="U552" s="449">
        <f t="shared" ref="U552:X552" si="1068">U541/(U487/10^3)</f>
        <v>5.4894179894179898</v>
      </c>
      <c r="V552" s="449">
        <f t="shared" si="1068"/>
        <v>6.7101167620300455</v>
      </c>
      <c r="W552" s="449">
        <f t="shared" si="1068"/>
        <v>5.7199791363754171</v>
      </c>
      <c r="X552" s="449">
        <f t="shared" si="1068"/>
        <v>4.9399673671984701</v>
      </c>
      <c r="Y552" s="283"/>
      <c r="Z552" s="449">
        <f t="shared" ref="Z552:AG552" si="1069">Z541/(Z487/10^3)</f>
        <v>3.9184791916424042</v>
      </c>
      <c r="AA552" s="449">
        <f t="shared" si="1069"/>
        <v>3.9194908492017393</v>
      </c>
      <c r="AB552" s="449">
        <f t="shared" si="1069"/>
        <v>3.6683380032443589</v>
      </c>
      <c r="AC552" s="449">
        <f t="shared" si="1069"/>
        <v>3.7795088126539147</v>
      </c>
      <c r="AD552" s="449">
        <f t="shared" si="1069"/>
        <v>4.1072325154535658</v>
      </c>
      <c r="AE552" s="449">
        <f t="shared" si="1069"/>
        <v>6.2374080930184146</v>
      </c>
      <c r="AF552" s="449">
        <f t="shared" si="1069"/>
        <v>5.6809338521400772</v>
      </c>
      <c r="AG552" s="449">
        <f t="shared" si="1069"/>
        <v>5.3591771206225687</v>
      </c>
      <c r="AH552" s="449">
        <f t="shared" ref="AH552" si="1070">AH541/(AH487/10^3)</f>
        <v>5.0694918708591858</v>
      </c>
    </row>
    <row r="553" spans="1:34">
      <c r="B553" s="451"/>
      <c r="C553" s="532" t="s">
        <v>434</v>
      </c>
      <c r="D553" s="515" t="s">
        <v>588</v>
      </c>
      <c r="E553" s="461">
        <f>E551-E552</f>
        <v>1085.7206859646064</v>
      </c>
      <c r="F553" s="461">
        <f t="shared" ref="F553:T553" si="1071">F551-F552</f>
        <v>1039.2771873975933</v>
      </c>
      <c r="G553" s="461">
        <f t="shared" si="1071"/>
        <v>895.81864896205195</v>
      </c>
      <c r="H553" s="461">
        <f t="shared" si="1071"/>
        <v>1347.9812625474015</v>
      </c>
      <c r="I553" s="461">
        <f t="shared" si="1071"/>
        <v>1338.0294977829494</v>
      </c>
      <c r="J553" s="461">
        <f t="shared" si="1071"/>
        <v>1436.8724016629358</v>
      </c>
      <c r="K553" s="461">
        <f t="shared" si="1071"/>
        <v>1348.3186034421431</v>
      </c>
      <c r="L553" s="461">
        <f t="shared" si="1071"/>
        <v>1278.1593998792864</v>
      </c>
      <c r="M553" s="461">
        <f t="shared" si="1071"/>
        <v>1615.0568181818182</v>
      </c>
      <c r="N553" s="461">
        <f t="shared" si="1071"/>
        <v>1076.6679672259072</v>
      </c>
      <c r="O553" s="461">
        <f t="shared" si="1071"/>
        <v>1854.7244839992425</v>
      </c>
      <c r="P553" s="461">
        <f t="shared" si="1071"/>
        <v>1329.7498669505055</v>
      </c>
      <c r="Q553" s="461">
        <f t="shared" si="1071"/>
        <v>1271.8706825089803</v>
      </c>
      <c r="R553" s="775">
        <f t="shared" si="1071"/>
        <v>1434.2067468802857</v>
      </c>
      <c r="S553" s="461">
        <f t="shared" si="1071"/>
        <v>1476.381131821546</v>
      </c>
      <c r="T553" s="461">
        <f t="shared" si="1071"/>
        <v>1470.4556432136533</v>
      </c>
      <c r="U553" s="461">
        <f t="shared" ref="U553:X553" si="1072">U551-U552</f>
        <v>1809.7222222222222</v>
      </c>
      <c r="V553" s="461">
        <f t="shared" si="1072"/>
        <v>1398.3270986792986</v>
      </c>
      <c r="W553" s="461">
        <f t="shared" si="1072"/>
        <v>1531.9301687644283</v>
      </c>
      <c r="X553" s="461">
        <f t="shared" si="1072"/>
        <v>1259.3983266888902</v>
      </c>
      <c r="Y553" s="283"/>
      <c r="Z553" s="461">
        <f t="shared" ref="Z553:AG553" si="1073">Z551-Z552</f>
        <v>1244.30210652509</v>
      </c>
      <c r="AA553" s="461">
        <f t="shared" si="1073"/>
        <v>1173.8236739800707</v>
      </c>
      <c r="AB553" s="461">
        <f t="shared" si="1073"/>
        <v>1080.0029494174901</v>
      </c>
      <c r="AC553" s="461">
        <f t="shared" si="1073"/>
        <v>1354.0239120892206</v>
      </c>
      <c r="AD553" s="461">
        <f t="shared" si="1073"/>
        <v>1435.9263496662361</v>
      </c>
      <c r="AE553" s="461">
        <f t="shared" si="1073"/>
        <v>1409.8921277813711</v>
      </c>
      <c r="AF553" s="461">
        <f t="shared" si="1073"/>
        <v>1485.7587548638132</v>
      </c>
      <c r="AG553" s="461">
        <f t="shared" si="1073"/>
        <v>1475.0217357198446</v>
      </c>
      <c r="AH553" s="461">
        <f t="shared" ref="AH553" si="1074">AH551-AH552</f>
        <v>1499.4584722683774</v>
      </c>
    </row>
    <row r="554" spans="1:34">
      <c r="C554" s="320"/>
      <c r="E554" s="308"/>
      <c r="F554" s="308"/>
      <c r="G554" s="308"/>
      <c r="H554" s="308"/>
      <c r="I554" s="308"/>
      <c r="J554" s="308"/>
      <c r="K554" s="308"/>
      <c r="L554" s="308"/>
      <c r="M554" s="308"/>
      <c r="N554" s="308"/>
      <c r="O554" s="308"/>
      <c r="P554" s="308"/>
      <c r="Q554" s="308"/>
      <c r="R554" s="308"/>
      <c r="S554" s="308"/>
      <c r="T554" s="308"/>
      <c r="U554" s="308"/>
      <c r="V554" s="308"/>
      <c r="W554" s="308"/>
      <c r="X554" s="308"/>
      <c r="Y554" s="283"/>
      <c r="Z554" s="308"/>
      <c r="AA554" s="308"/>
      <c r="AB554" s="308"/>
      <c r="AC554" s="308"/>
      <c r="AD554" s="308"/>
      <c r="AE554" s="308"/>
      <c r="AF554" s="810"/>
      <c r="AG554" s="308"/>
      <c r="AH554" s="308"/>
    </row>
    <row r="555" spans="1:34" s="307" customFormat="1">
      <c r="A555" s="283"/>
      <c r="B555" s="507"/>
      <c r="C555" s="507" t="s">
        <v>705</v>
      </c>
      <c r="D555" s="508"/>
      <c r="E555" s="596">
        <f>+E$2-E553</f>
        <v>246.25108594954213</v>
      </c>
      <c r="F555" s="596">
        <f t="shared" ref="F555:AG555" si="1075">+F$2-F553</f>
        <v>262.38436550886695</v>
      </c>
      <c r="G555" s="596">
        <f t="shared" si="1075"/>
        <v>309.23327030057783</v>
      </c>
      <c r="H555" s="596">
        <f t="shared" si="1075"/>
        <v>-110.83060650968287</v>
      </c>
      <c r="I555" s="596">
        <f t="shared" si="1075"/>
        <v>-30.444490562258807</v>
      </c>
      <c r="J555" s="596">
        <f t="shared" si="1075"/>
        <v>-114.87060891173905</v>
      </c>
      <c r="K555" s="596">
        <f t="shared" si="1075"/>
        <v>140.91591490648102</v>
      </c>
      <c r="L555" s="596">
        <f t="shared" si="1075"/>
        <v>210.27271800517542</v>
      </c>
      <c r="M555" s="596">
        <f t="shared" si="1075"/>
        <v>-26.804011849401377</v>
      </c>
      <c r="N555" s="596">
        <f t="shared" si="1075"/>
        <v>659.07536409693284</v>
      </c>
      <c r="O555" s="596">
        <f t="shared" si="1075"/>
        <v>73.914105618779104</v>
      </c>
      <c r="P555" s="596">
        <f t="shared" si="1075"/>
        <v>473.58315734024131</v>
      </c>
      <c r="Q555" s="596">
        <f t="shared" si="1075"/>
        <v>498.33495237563397</v>
      </c>
      <c r="R555" s="596">
        <f t="shared" si="1075"/>
        <v>390.75562087683261</v>
      </c>
      <c r="S555" s="596">
        <f t="shared" si="1075"/>
        <v>315.73599804392802</v>
      </c>
      <c r="T555" s="596">
        <f t="shared" si="1075"/>
        <v>331.53733606389119</v>
      </c>
      <c r="U555" s="596">
        <f t="shared" ref="U555:X555" si="1076">+U$2-U553</f>
        <v>69.994241860792727</v>
      </c>
      <c r="V555" s="596">
        <f t="shared" si="1076"/>
        <v>427.17290132070138</v>
      </c>
      <c r="W555" s="596">
        <f t="shared" si="1076"/>
        <v>301.46983123557152</v>
      </c>
      <c r="X555" s="596">
        <f t="shared" si="1076"/>
        <v>585.25167331110993</v>
      </c>
      <c r="Y555" s="283"/>
      <c r="Z555" s="596">
        <f t="shared" si="1075"/>
        <v>1.1898905033424398</v>
      </c>
      <c r="AA555" s="596">
        <f t="shared" si="1075"/>
        <v>87.587963411996725</v>
      </c>
      <c r="AB555" s="596">
        <f t="shared" si="1075"/>
        <v>184.80749626946249</v>
      </c>
      <c r="AC555" s="596">
        <f t="shared" si="1075"/>
        <v>58.771160967832884</v>
      </c>
      <c r="AD555" s="596">
        <f t="shared" si="1075"/>
        <v>321.23469111444797</v>
      </c>
      <c r="AE555" s="596">
        <f t="shared" si="1075"/>
        <v>385.84615771183621</v>
      </c>
      <c r="AF555" s="596">
        <f t="shared" si="1075"/>
        <v>359.95098669696449</v>
      </c>
      <c r="AG555" s="596">
        <f t="shared" si="1075"/>
        <v>398.82826428015551</v>
      </c>
      <c r="AH555" s="596">
        <f t="shared" ref="AH555" si="1077">+AH$2-AH553</f>
        <v>420.74152773162268</v>
      </c>
    </row>
    <row r="556" spans="1:34">
      <c r="M556" s="283"/>
      <c r="N556" s="283"/>
      <c r="O556" s="283"/>
      <c r="P556" s="283"/>
      <c r="Q556" s="283"/>
      <c r="Y556" s="283"/>
    </row>
    <row r="557" spans="1:34">
      <c r="C557" s="281" t="s">
        <v>426</v>
      </c>
      <c r="E557" s="305">
        <v>9.0670000000000002</v>
      </c>
      <c r="F557" s="305">
        <v>9.8089999999999993</v>
      </c>
      <c r="G557" s="305">
        <v>8.2439999999999998</v>
      </c>
      <c r="H557" s="305">
        <v>13.59</v>
      </c>
      <c r="I557" s="305">
        <v>5.6790000000000003</v>
      </c>
      <c r="J557" s="305">
        <v>9.4420000000000002</v>
      </c>
      <c r="K557" s="305">
        <v>13.239000000000001</v>
      </c>
      <c r="L557" s="305">
        <v>7.6989999999999998</v>
      </c>
      <c r="M557" s="305">
        <v>8.5060000000000002</v>
      </c>
      <c r="N557" s="305">
        <v>4.2779999999999996</v>
      </c>
      <c r="O557" s="305">
        <v>11.629</v>
      </c>
      <c r="P557" s="305">
        <v>16.440000000000001</v>
      </c>
      <c r="Q557" s="305">
        <v>13.847</v>
      </c>
      <c r="R557" s="305">
        <v>12.153</v>
      </c>
      <c r="S557" s="305">
        <v>12.377000000000001</v>
      </c>
      <c r="T557" s="305">
        <v>11.239999999999995</v>
      </c>
      <c r="U557" s="305">
        <v>7.8079999999999998</v>
      </c>
      <c r="V557" s="388"/>
      <c r="W557" s="388"/>
      <c r="X557" s="388"/>
      <c r="Y557" s="283"/>
      <c r="Z557" s="305">
        <v>67.852000000000004</v>
      </c>
      <c r="AA557" s="305">
        <v>50.667999999999999</v>
      </c>
      <c r="AB557" s="282">
        <f>SUMIF($E$5:$T$5,AB$5,$E557:$T557)</f>
        <v>40.709999999999994</v>
      </c>
      <c r="AC557" s="282">
        <f>SUMIF($E$5:$T$5,AC$5,$E557:$T557)</f>
        <v>36.058999999999997</v>
      </c>
      <c r="AD557" s="282">
        <f>SUMIF($E$5:$T$5,AD$5,$E557:$T557)</f>
        <v>40.852999999999994</v>
      </c>
      <c r="AE557" s="282">
        <f>SUMIF($E$5:$T$5,AE$5,$E557:$T557)</f>
        <v>49.616999999999997</v>
      </c>
      <c r="AF557" s="388"/>
      <c r="AG557" s="388"/>
      <c r="AH557" s="388"/>
    </row>
    <row r="558" spans="1:34">
      <c r="M558" s="283"/>
      <c r="N558" s="283"/>
      <c r="O558" s="283"/>
      <c r="P558" s="283"/>
      <c r="Q558" s="283"/>
      <c r="Y558" s="283"/>
    </row>
    <row r="559" spans="1:34" s="283" customFormat="1">
      <c r="B559" s="286" t="s">
        <v>137</v>
      </c>
      <c r="C559" s="287" t="s">
        <v>574</v>
      </c>
      <c r="D559" s="485"/>
      <c r="E559" s="286"/>
      <c r="F559" s="286"/>
      <c r="G559" s="286"/>
      <c r="H559" s="286"/>
      <c r="I559" s="286"/>
      <c r="J559" s="286"/>
      <c r="K559" s="286"/>
      <c r="L559" s="286"/>
      <c r="M559" s="286"/>
      <c r="N559" s="286"/>
      <c r="O559" s="286"/>
      <c r="P559" s="286"/>
      <c r="Q559" s="286"/>
      <c r="R559" s="286"/>
      <c r="S559" s="286"/>
      <c r="T559" s="286"/>
      <c r="U559" s="286"/>
      <c r="V559" s="286"/>
      <c r="W559" s="286"/>
      <c r="X559" s="286"/>
      <c r="Z559" s="286"/>
      <c r="AA559" s="286"/>
      <c r="AB559" s="286"/>
      <c r="AC559" s="286"/>
      <c r="AD559" s="286"/>
      <c r="AE559" s="286"/>
      <c r="AF559" s="286"/>
      <c r="AG559" s="286"/>
      <c r="AH559" s="286"/>
    </row>
    <row r="560" spans="1:34">
      <c r="C560" s="305"/>
      <c r="M560" s="283"/>
      <c r="N560" s="283"/>
      <c r="O560" s="283"/>
      <c r="P560" s="283"/>
      <c r="Q560" s="283"/>
      <c r="R560" s="282"/>
      <c r="S560" s="282"/>
      <c r="T560" s="282"/>
      <c r="U560" s="282"/>
      <c r="V560" s="282"/>
      <c r="W560" s="282"/>
      <c r="X560" s="282"/>
      <c r="Y560" s="283"/>
      <c r="AB560" s="282"/>
      <c r="AC560" s="282"/>
      <c r="AD560" s="282"/>
      <c r="AE560" s="282"/>
    </row>
    <row r="561" spans="1:34">
      <c r="C561" s="414" t="s">
        <v>419</v>
      </c>
      <c r="E561" s="305">
        <v>0</v>
      </c>
      <c r="F561" s="305">
        <v>0</v>
      </c>
      <c r="G561" s="305">
        <v>55.899000000000001</v>
      </c>
      <c r="H561" s="305">
        <v>60.484000000000002</v>
      </c>
      <c r="I561" s="305">
        <v>41.365000000000002</v>
      </c>
      <c r="J561" s="305">
        <v>58.417000000000002</v>
      </c>
      <c r="K561" s="305">
        <v>63.954000000000001</v>
      </c>
      <c r="L561" s="305">
        <v>46.661000000000001</v>
      </c>
      <c r="M561" s="305">
        <v>17.297999999999998</v>
      </c>
      <c r="N561" s="305">
        <v>10.686</v>
      </c>
      <c r="O561" s="305">
        <v>0</v>
      </c>
      <c r="P561" s="305">
        <v>0</v>
      </c>
      <c r="Q561" s="305">
        <v>16.459</v>
      </c>
      <c r="R561" s="305">
        <v>38.947000000000003</v>
      </c>
      <c r="S561" s="305">
        <v>11.952999999999999</v>
      </c>
      <c r="T561" s="771">
        <v>2.1850000000000001</v>
      </c>
      <c r="U561" s="305">
        <v>0</v>
      </c>
      <c r="V561" s="808"/>
      <c r="W561" s="808"/>
      <c r="X561" s="808"/>
      <c r="Y561" s="283"/>
      <c r="Z561" s="305">
        <v>0</v>
      </c>
      <c r="AA561" s="305">
        <v>0</v>
      </c>
      <c r="AB561" s="282">
        <f>SUMIF($E$5:$X$5,AB$5,$E561:$X561)</f>
        <v>116.38300000000001</v>
      </c>
      <c r="AC561" s="282">
        <f t="shared" ref="AC561:AE561" si="1078">SUMIF($E$5:$X$5,AC$5,$E561:$X561)</f>
        <v>210.39700000000002</v>
      </c>
      <c r="AD561" s="282">
        <f t="shared" si="1078"/>
        <v>27.983999999999998</v>
      </c>
      <c r="AE561" s="282">
        <f t="shared" si="1078"/>
        <v>69.544000000000011</v>
      </c>
      <c r="AF561" s="808"/>
      <c r="AG561" s="808"/>
      <c r="AH561" s="808"/>
    </row>
    <row r="562" spans="1:34">
      <c r="C562" s="306" t="s">
        <v>564</v>
      </c>
      <c r="E562" s="305">
        <v>0</v>
      </c>
      <c r="F562" s="305">
        <v>0</v>
      </c>
      <c r="G562" s="305">
        <v>0</v>
      </c>
      <c r="H562" s="305">
        <v>0</v>
      </c>
      <c r="I562" s="305">
        <v>2.4900000000000002</v>
      </c>
      <c r="J562" s="305">
        <v>1.63</v>
      </c>
      <c r="K562" s="305">
        <v>0.38900000000000001</v>
      </c>
      <c r="L562" s="305">
        <v>0</v>
      </c>
      <c r="M562" s="305">
        <v>1.47</v>
      </c>
      <c r="N562" s="305">
        <v>2.0699999999999998</v>
      </c>
      <c r="O562" s="305">
        <v>0</v>
      </c>
      <c r="P562" s="305">
        <v>0</v>
      </c>
      <c r="Q562" s="305">
        <v>0</v>
      </c>
      <c r="R562" s="305">
        <v>1.24</v>
      </c>
      <c r="S562" s="305">
        <v>2.7509999999999999</v>
      </c>
      <c r="T562" s="305">
        <v>0.76</v>
      </c>
      <c r="U562" s="305">
        <v>0</v>
      </c>
      <c r="V562" s="808"/>
      <c r="W562" s="808"/>
      <c r="X562" s="808"/>
      <c r="Y562" s="283"/>
      <c r="Z562" s="305">
        <v>0</v>
      </c>
      <c r="AA562" s="305">
        <v>0</v>
      </c>
      <c r="AB562" s="305">
        <v>2.06</v>
      </c>
      <c r="AC562" s="305">
        <v>1.64</v>
      </c>
      <c r="AD562" s="305">
        <v>1.7</v>
      </c>
      <c r="AE562" s="305">
        <v>0.76</v>
      </c>
      <c r="AF562" s="808"/>
      <c r="AG562" s="808"/>
      <c r="AH562" s="808"/>
    </row>
    <row r="563" spans="1:34">
      <c r="C563" s="306" t="s">
        <v>563</v>
      </c>
      <c r="E563" s="305">
        <v>0</v>
      </c>
      <c r="F563" s="305">
        <v>0</v>
      </c>
      <c r="G563" s="305">
        <v>0.28799999999999998</v>
      </c>
      <c r="H563" s="305">
        <v>0.36499999999999999</v>
      </c>
      <c r="I563" s="305">
        <v>0.3</v>
      </c>
      <c r="J563" s="305">
        <v>0.25900000000000001</v>
      </c>
      <c r="K563" s="305">
        <v>67.66</v>
      </c>
      <c r="L563" s="305">
        <v>0.502</v>
      </c>
      <c r="M563" s="305">
        <v>1.0549999999999999</v>
      </c>
      <c r="N563" s="305">
        <v>1.5189999999999999</v>
      </c>
      <c r="O563" s="305">
        <v>0</v>
      </c>
      <c r="P563" s="305">
        <v>0</v>
      </c>
      <c r="Q563" s="305">
        <v>0.185</v>
      </c>
      <c r="R563" s="305">
        <v>0.41</v>
      </c>
      <c r="S563" s="305">
        <v>0.23400000000000001</v>
      </c>
      <c r="T563" s="305">
        <v>0.22600000000000001</v>
      </c>
      <c r="U563" s="305">
        <v>0</v>
      </c>
      <c r="V563" s="808"/>
      <c r="W563" s="808"/>
      <c r="X563" s="808"/>
      <c r="Y563" s="283"/>
      <c r="Z563" s="305">
        <v>0</v>
      </c>
      <c r="AA563" s="305">
        <v>0</v>
      </c>
      <c r="AB563" s="305">
        <v>0.32800000000000001</v>
      </c>
      <c r="AC563" s="305">
        <v>0.36099999999999999</v>
      </c>
      <c r="AD563" s="305">
        <v>1.232</v>
      </c>
      <c r="AE563" s="305">
        <v>0.32100000000000001</v>
      </c>
      <c r="AF563" s="808"/>
      <c r="AG563" s="808"/>
      <c r="AH563" s="808"/>
    </row>
    <row r="564" spans="1:34">
      <c r="C564" s="306" t="s">
        <v>562</v>
      </c>
      <c r="E564" s="305">
        <v>0</v>
      </c>
      <c r="F564" s="305">
        <v>0</v>
      </c>
      <c r="G564" s="305">
        <v>0</v>
      </c>
      <c r="H564" s="305">
        <v>0</v>
      </c>
      <c r="I564" s="305">
        <v>0</v>
      </c>
      <c r="J564" s="305">
        <v>0</v>
      </c>
      <c r="K564" s="305">
        <v>0</v>
      </c>
      <c r="L564" s="305">
        <v>0</v>
      </c>
      <c r="M564" s="305">
        <v>0</v>
      </c>
      <c r="N564" s="305">
        <v>0</v>
      </c>
      <c r="O564" s="305">
        <v>0</v>
      </c>
      <c r="P564" s="305">
        <v>0</v>
      </c>
      <c r="Q564" s="305">
        <v>0</v>
      </c>
      <c r="R564" s="305">
        <v>0</v>
      </c>
      <c r="S564" s="305">
        <v>0</v>
      </c>
      <c r="T564" s="305">
        <v>0</v>
      </c>
      <c r="U564" s="305">
        <v>0</v>
      </c>
      <c r="V564" s="808"/>
      <c r="W564" s="808"/>
      <c r="X564" s="808"/>
      <c r="Y564" s="283"/>
      <c r="Z564" s="305">
        <v>0</v>
      </c>
      <c r="AA564" s="305">
        <v>0</v>
      </c>
      <c r="AB564" s="305">
        <v>0</v>
      </c>
      <c r="AC564" s="305">
        <v>0</v>
      </c>
      <c r="AD564" s="305">
        <v>0</v>
      </c>
      <c r="AE564" s="305">
        <v>0</v>
      </c>
      <c r="AF564" s="808"/>
      <c r="AG564" s="808"/>
      <c r="AH564" s="808"/>
    </row>
    <row r="565" spans="1:34">
      <c r="C565" s="306" t="s">
        <v>561</v>
      </c>
      <c r="E565" s="305">
        <v>0</v>
      </c>
      <c r="F565" s="305">
        <v>0</v>
      </c>
      <c r="G565" s="305">
        <v>0</v>
      </c>
      <c r="H565" s="305">
        <v>0</v>
      </c>
      <c r="I565" s="305">
        <v>0</v>
      </c>
      <c r="J565" s="305">
        <v>0</v>
      </c>
      <c r="K565" s="305">
        <v>0</v>
      </c>
      <c r="L565" s="305">
        <v>0</v>
      </c>
      <c r="M565" s="305">
        <v>0</v>
      </c>
      <c r="N565" s="305">
        <v>0</v>
      </c>
      <c r="O565" s="305">
        <v>0</v>
      </c>
      <c r="P565" s="305">
        <v>0</v>
      </c>
      <c r="Q565" s="305">
        <v>0</v>
      </c>
      <c r="R565" s="305">
        <v>0</v>
      </c>
      <c r="S565" s="305">
        <v>0</v>
      </c>
      <c r="T565" s="305">
        <v>0</v>
      </c>
      <c r="U565" s="305">
        <v>0</v>
      </c>
      <c r="V565" s="808"/>
      <c r="W565" s="808"/>
      <c r="X565" s="808"/>
      <c r="Y565" s="283"/>
      <c r="Z565" s="305">
        <v>0</v>
      </c>
      <c r="AA565" s="305">
        <v>0</v>
      </c>
      <c r="AB565" s="305">
        <v>0</v>
      </c>
      <c r="AC565" s="305">
        <v>0</v>
      </c>
      <c r="AD565" s="305">
        <v>0</v>
      </c>
      <c r="AE565" s="305">
        <v>0</v>
      </c>
      <c r="AF565" s="808"/>
      <c r="AG565" s="808"/>
      <c r="AH565" s="808"/>
    </row>
    <row r="566" spans="1:34">
      <c r="Y566" s="283"/>
      <c r="AE566" s="282"/>
    </row>
    <row r="567" spans="1:34" s="439" customFormat="1">
      <c r="A567" s="283"/>
      <c r="B567" s="306"/>
      <c r="C567" s="458" t="s">
        <v>501</v>
      </c>
      <c r="D567" s="492"/>
      <c r="R567" s="457"/>
      <c r="Y567" s="283"/>
      <c r="AE567" s="456"/>
    </row>
    <row r="568" spans="1:34" s="439" customFormat="1">
      <c r="A568" s="283"/>
      <c r="B568" s="306"/>
      <c r="C568" s="455" t="s">
        <v>444</v>
      </c>
      <c r="D568" s="492"/>
      <c r="E568" s="541">
        <v>0</v>
      </c>
      <c r="F568" s="541">
        <v>0</v>
      </c>
      <c r="G568" s="541">
        <v>0</v>
      </c>
      <c r="H568" s="541">
        <v>0</v>
      </c>
      <c r="I568" s="454">
        <f t="shared" ref="I568:K569" si="1079">I574/(I562*I$561)</f>
        <v>0.654745174339325</v>
      </c>
      <c r="J568" s="454">
        <f t="shared" si="1079"/>
        <v>0.51931475111612924</v>
      </c>
      <c r="K568" s="454">
        <f t="shared" si="1079"/>
        <v>1.7435812838806941</v>
      </c>
      <c r="L568" s="454">
        <v>0</v>
      </c>
      <c r="M568" s="454">
        <f>M574/(M562*M$561)</f>
        <v>0.8437529249183775</v>
      </c>
      <c r="N568" s="454">
        <f>N574/(N562*N$561)</f>
        <v>0.72278415661468665</v>
      </c>
      <c r="O568" s="541">
        <v>0</v>
      </c>
      <c r="P568" s="541">
        <v>0</v>
      </c>
      <c r="Q568" s="541">
        <v>0</v>
      </c>
      <c r="R568" s="454">
        <f>R574/(R562*R$561)</f>
        <v>0.93437566519264803</v>
      </c>
      <c r="S568" s="541">
        <v>0</v>
      </c>
      <c r="T568" s="541">
        <v>0</v>
      </c>
      <c r="U568" s="541">
        <v>0</v>
      </c>
      <c r="V568" s="538">
        <f t="shared" ref="V568:V571" si="1080">+U568</f>
        <v>0</v>
      </c>
      <c r="W568" s="538">
        <f t="shared" ref="W568:W571" si="1081">+V568</f>
        <v>0</v>
      </c>
      <c r="X568" s="538">
        <f t="shared" ref="X568:X571" si="1082">+W568</f>
        <v>0</v>
      </c>
      <c r="Y568" s="283"/>
      <c r="Z568" s="541">
        <v>0</v>
      </c>
      <c r="AA568" s="541">
        <v>0</v>
      </c>
      <c r="AB568" s="454">
        <f t="shared" ref="AB568:AD569" si="1083">AB574/(AB562*AB$561)</f>
        <v>0.71867250488406653</v>
      </c>
      <c r="AC568" s="454">
        <f t="shared" si="1083"/>
        <v>0.52670752399905552</v>
      </c>
      <c r="AD568" s="454">
        <f t="shared" si="1083"/>
        <v>0.78706739985874286</v>
      </c>
      <c r="AE568" s="454">
        <f t="shared" ref="AE568" si="1084">AE574/(AE562*AE$561)</f>
        <v>0.87636679845247534</v>
      </c>
      <c r="AF568" s="466">
        <v>0</v>
      </c>
      <c r="AG568" s="466">
        <v>0</v>
      </c>
      <c r="AH568" s="466">
        <v>0</v>
      </c>
    </row>
    <row r="569" spans="1:34" s="439" customFormat="1">
      <c r="A569" s="283"/>
      <c r="B569" s="306"/>
      <c r="C569" s="455" t="s">
        <v>440</v>
      </c>
      <c r="D569" s="492"/>
      <c r="E569" s="454">
        <v>0</v>
      </c>
      <c r="F569" s="454">
        <v>0</v>
      </c>
      <c r="G569" s="454">
        <f>G575/(G563*G$561)</f>
        <v>0.85651750876084054</v>
      </c>
      <c r="H569" s="454">
        <f>H575/(H563*H$561)</f>
        <v>0.86507651066782743</v>
      </c>
      <c r="I569" s="454">
        <f t="shared" si="1079"/>
        <v>0.83516660622909877</v>
      </c>
      <c r="J569" s="454">
        <f t="shared" si="1079"/>
        <v>0.83899520707299269</v>
      </c>
      <c r="K569" s="454">
        <f t="shared" si="1079"/>
        <v>5.1722532501953192E-3</v>
      </c>
      <c r="L569" s="454">
        <f>L575/(L563*L$561)</f>
        <v>0.88486840448155724</v>
      </c>
      <c r="M569" s="454">
        <f>M575/(M563*M$561)</f>
        <v>0.92962011332981553</v>
      </c>
      <c r="N569" s="454">
        <f>N575/(N563*N$561)</f>
        <v>0.9112228325790841</v>
      </c>
      <c r="O569" s="541">
        <v>0</v>
      </c>
      <c r="P569" s="541">
        <v>0</v>
      </c>
      <c r="Q569" s="454">
        <f>Q575/(Q563*Q$561)</f>
        <v>0.83680496828318685</v>
      </c>
      <c r="R569" s="454">
        <f>R575/(R563*R$561)</f>
        <v>0.9356054225035022</v>
      </c>
      <c r="S569" s="454">
        <f>S575/(S563*S$561)</f>
        <v>0.98355310435959642</v>
      </c>
      <c r="T569" s="454">
        <f>T575/(T563*T$561)</f>
        <v>0.97608391891618229</v>
      </c>
      <c r="U569" s="541">
        <v>0</v>
      </c>
      <c r="V569" s="538">
        <v>0</v>
      </c>
      <c r="W569" s="538">
        <v>0</v>
      </c>
      <c r="X569" s="538">
        <v>0</v>
      </c>
      <c r="Y569" s="283"/>
      <c r="Z569" s="541">
        <v>0</v>
      </c>
      <c r="AA569" s="541">
        <v>0</v>
      </c>
      <c r="AB569" s="454">
        <f t="shared" si="1083"/>
        <v>0.86151107895860235</v>
      </c>
      <c r="AC569" s="454">
        <f t="shared" si="1083"/>
        <v>0.8711403611247156</v>
      </c>
      <c r="AD569" s="454">
        <f t="shared" si="1083"/>
        <v>0.92109684198020403</v>
      </c>
      <c r="AE569" s="454">
        <f t="shared" ref="AE569" si="1085">AE575/(AE563*AE$561)</f>
        <v>0.9282095057684181</v>
      </c>
      <c r="AF569" s="466">
        <v>0</v>
      </c>
      <c r="AG569" s="466">
        <v>0</v>
      </c>
      <c r="AH569" s="466">
        <v>0</v>
      </c>
    </row>
    <row r="570" spans="1:34" s="439" customFormat="1">
      <c r="A570" s="283"/>
      <c r="B570" s="306"/>
      <c r="C570" s="455" t="s">
        <v>439</v>
      </c>
      <c r="D570" s="492"/>
      <c r="E570" s="541">
        <v>0</v>
      </c>
      <c r="F570" s="541">
        <v>0</v>
      </c>
      <c r="G570" s="541">
        <v>0</v>
      </c>
      <c r="H570" s="541">
        <v>0</v>
      </c>
      <c r="I570" s="541">
        <v>0</v>
      </c>
      <c r="J570" s="541">
        <v>0</v>
      </c>
      <c r="K570" s="541">
        <v>0</v>
      </c>
      <c r="L570" s="541">
        <v>0</v>
      </c>
      <c r="M570" s="541">
        <v>0</v>
      </c>
      <c r="N570" s="541">
        <v>0</v>
      </c>
      <c r="O570" s="541">
        <v>0</v>
      </c>
      <c r="P570" s="541">
        <v>0</v>
      </c>
      <c r="Q570" s="541">
        <v>0</v>
      </c>
      <c r="R570" s="541">
        <v>0</v>
      </c>
      <c r="S570" s="541">
        <v>0</v>
      </c>
      <c r="T570" s="541">
        <v>0</v>
      </c>
      <c r="U570" s="541">
        <v>0</v>
      </c>
      <c r="V570" s="538">
        <f t="shared" si="1080"/>
        <v>0</v>
      </c>
      <c r="W570" s="538">
        <f t="shared" si="1081"/>
        <v>0</v>
      </c>
      <c r="X570" s="538">
        <f t="shared" si="1082"/>
        <v>0</v>
      </c>
      <c r="Y570" s="283"/>
      <c r="Z570" s="541">
        <v>0</v>
      </c>
      <c r="AA570" s="541">
        <v>0</v>
      </c>
      <c r="AB570" s="541">
        <v>0</v>
      </c>
      <c r="AC570" s="541">
        <v>0</v>
      </c>
      <c r="AD570" s="541">
        <v>0</v>
      </c>
      <c r="AE570" s="541">
        <v>0</v>
      </c>
      <c r="AF570" s="466">
        <v>0</v>
      </c>
      <c r="AG570" s="466">
        <v>0</v>
      </c>
      <c r="AH570" s="466">
        <v>0</v>
      </c>
    </row>
    <row r="571" spans="1:34" s="439" customFormat="1">
      <c r="A571" s="283"/>
      <c r="B571" s="306"/>
      <c r="C571" s="455" t="s">
        <v>441</v>
      </c>
      <c r="D571" s="492"/>
      <c r="E571" s="541">
        <v>0</v>
      </c>
      <c r="F571" s="541">
        <v>0</v>
      </c>
      <c r="G571" s="541">
        <v>0</v>
      </c>
      <c r="H571" s="541">
        <v>0</v>
      </c>
      <c r="I571" s="541">
        <v>0</v>
      </c>
      <c r="J571" s="541">
        <v>0</v>
      </c>
      <c r="K571" s="541">
        <v>0</v>
      </c>
      <c r="L571" s="541">
        <v>0</v>
      </c>
      <c r="M571" s="541">
        <v>0</v>
      </c>
      <c r="N571" s="541">
        <v>0</v>
      </c>
      <c r="O571" s="541">
        <v>0</v>
      </c>
      <c r="P571" s="541">
        <v>0</v>
      </c>
      <c r="Q571" s="541">
        <v>0</v>
      </c>
      <c r="R571" s="541">
        <v>0</v>
      </c>
      <c r="S571" s="541">
        <v>0</v>
      </c>
      <c r="T571" s="541">
        <v>0</v>
      </c>
      <c r="U571" s="541">
        <v>0</v>
      </c>
      <c r="V571" s="538">
        <f t="shared" si="1080"/>
        <v>0</v>
      </c>
      <c r="W571" s="538">
        <f t="shared" si="1081"/>
        <v>0</v>
      </c>
      <c r="X571" s="538">
        <f t="shared" si="1082"/>
        <v>0</v>
      </c>
      <c r="Y571" s="283"/>
      <c r="Z571" s="541">
        <v>0</v>
      </c>
      <c r="AA571" s="541">
        <v>0</v>
      </c>
      <c r="AB571" s="541">
        <v>0</v>
      </c>
      <c r="AC571" s="541">
        <v>0</v>
      </c>
      <c r="AD571" s="541">
        <v>0</v>
      </c>
      <c r="AE571" s="541">
        <v>0</v>
      </c>
      <c r="AF571" s="466">
        <v>0</v>
      </c>
      <c r="AG571" s="466">
        <v>0</v>
      </c>
      <c r="AH571" s="466">
        <v>0</v>
      </c>
    </row>
    <row r="572" spans="1:34">
      <c r="Q572" s="453"/>
      <c r="R572" s="453"/>
      <c r="Y572" s="283"/>
      <c r="AE572" s="282"/>
    </row>
    <row r="573" spans="1:34">
      <c r="C573" s="414" t="s">
        <v>499</v>
      </c>
      <c r="Y573" s="283"/>
      <c r="AB573" s="282"/>
      <c r="AC573" s="282"/>
      <c r="AD573" s="282"/>
      <c r="AE573" s="282"/>
    </row>
    <row r="574" spans="1:34">
      <c r="C574" s="402" t="s">
        <v>460</v>
      </c>
      <c r="E574" s="305">
        <v>0</v>
      </c>
      <c r="F574" s="305">
        <v>0</v>
      </c>
      <c r="G574" s="305">
        <v>84.144999999999996</v>
      </c>
      <c r="H574" s="305">
        <v>88.156000000000006</v>
      </c>
      <c r="I574" s="305">
        <v>67.438000000000002</v>
      </c>
      <c r="J574" s="305">
        <v>49.448999999999998</v>
      </c>
      <c r="K574" s="305">
        <v>43.377000000000002</v>
      </c>
      <c r="L574" s="305">
        <v>21.477</v>
      </c>
      <c r="M574" s="305">
        <v>21.454999999999998</v>
      </c>
      <c r="N574" s="305">
        <v>15.988</v>
      </c>
      <c r="O574" s="305">
        <v>0</v>
      </c>
      <c r="P574" s="305">
        <v>0</v>
      </c>
      <c r="Q574" s="305">
        <v>0</v>
      </c>
      <c r="R574" s="305">
        <v>45.125</v>
      </c>
      <c r="S574" s="422">
        <v>0</v>
      </c>
      <c r="T574" s="305">
        <v>1.1940000000000026</v>
      </c>
      <c r="U574" s="282">
        <v>0</v>
      </c>
      <c r="V574" s="282">
        <v>0</v>
      </c>
      <c r="W574" s="282">
        <v>0</v>
      </c>
      <c r="X574" s="282">
        <v>0</v>
      </c>
      <c r="Y574" s="283"/>
      <c r="Z574" s="305">
        <v>0</v>
      </c>
      <c r="AA574" s="305">
        <v>0</v>
      </c>
      <c r="AB574" s="282">
        <f t="shared" ref="AB574:AE577" si="1086">SUMIF($E$5:$X$5,AB$5,$E574:$X574)</f>
        <v>172.30099999999999</v>
      </c>
      <c r="AC574" s="282">
        <f t="shared" si="1086"/>
        <v>181.74100000000001</v>
      </c>
      <c r="AD574" s="282">
        <f t="shared" si="1086"/>
        <v>37.442999999999998</v>
      </c>
      <c r="AE574" s="282">
        <f t="shared" si="1086"/>
        <v>46.319000000000003</v>
      </c>
      <c r="AF574" s="282">
        <v>0</v>
      </c>
      <c r="AG574" s="282">
        <v>0</v>
      </c>
      <c r="AH574" s="282">
        <v>0</v>
      </c>
    </row>
    <row r="575" spans="1:34">
      <c r="C575" s="402" t="s">
        <v>461</v>
      </c>
      <c r="E575" s="305">
        <v>0</v>
      </c>
      <c r="F575" s="305">
        <v>0</v>
      </c>
      <c r="G575" s="305">
        <v>13.789</v>
      </c>
      <c r="H575" s="305">
        <v>19.097999999999999</v>
      </c>
      <c r="I575" s="305">
        <v>10.364000000000001</v>
      </c>
      <c r="J575" s="305">
        <v>12.694000000000001</v>
      </c>
      <c r="K575" s="305">
        <v>22.381</v>
      </c>
      <c r="L575" s="305">
        <v>20.727</v>
      </c>
      <c r="M575" s="305">
        <v>16.965</v>
      </c>
      <c r="N575" s="305">
        <v>14.791</v>
      </c>
      <c r="O575" s="305">
        <v>0</v>
      </c>
      <c r="P575" s="305">
        <v>0</v>
      </c>
      <c r="Q575" s="305">
        <v>2.548</v>
      </c>
      <c r="R575" s="305">
        <v>14.94</v>
      </c>
      <c r="S575" s="305">
        <v>2.7509999999999999</v>
      </c>
      <c r="T575" s="305">
        <v>0.48199999999999998</v>
      </c>
      <c r="U575" s="282">
        <v>0</v>
      </c>
      <c r="V575" s="282">
        <v>0</v>
      </c>
      <c r="W575" s="282">
        <v>0</v>
      </c>
      <c r="X575" s="282">
        <v>0</v>
      </c>
      <c r="Y575" s="283"/>
      <c r="Z575" s="305">
        <v>0</v>
      </c>
      <c r="AA575" s="305">
        <v>0</v>
      </c>
      <c r="AB575" s="282">
        <f t="shared" si="1086"/>
        <v>32.887</v>
      </c>
      <c r="AC575" s="282">
        <f t="shared" si="1086"/>
        <v>66.165999999999997</v>
      </c>
      <c r="AD575" s="282">
        <f t="shared" si="1086"/>
        <v>31.756</v>
      </c>
      <c r="AE575" s="282">
        <f t="shared" si="1086"/>
        <v>20.721</v>
      </c>
      <c r="AF575" s="282">
        <v>0</v>
      </c>
      <c r="AG575" s="282">
        <v>0</v>
      </c>
      <c r="AH575" s="282">
        <v>0</v>
      </c>
    </row>
    <row r="576" spans="1:34">
      <c r="C576" s="402" t="s">
        <v>462</v>
      </c>
      <c r="E576" s="305">
        <v>0</v>
      </c>
      <c r="F576" s="305">
        <v>0</v>
      </c>
      <c r="G576" s="305">
        <v>0</v>
      </c>
      <c r="H576" s="305">
        <v>0</v>
      </c>
      <c r="I576" s="305">
        <v>0</v>
      </c>
      <c r="J576" s="305">
        <v>0</v>
      </c>
      <c r="K576" s="305">
        <v>0</v>
      </c>
      <c r="L576" s="305">
        <v>0</v>
      </c>
      <c r="M576" s="305">
        <v>0</v>
      </c>
      <c r="N576" s="305">
        <v>0</v>
      </c>
      <c r="O576" s="305">
        <v>0</v>
      </c>
      <c r="P576" s="305">
        <v>0</v>
      </c>
      <c r="Q576" s="305">
        <v>0</v>
      </c>
      <c r="R576" s="305">
        <v>0</v>
      </c>
      <c r="S576" s="305">
        <v>0</v>
      </c>
      <c r="T576" s="305">
        <v>0</v>
      </c>
      <c r="U576" s="305">
        <v>0</v>
      </c>
      <c r="V576" s="305">
        <v>0</v>
      </c>
      <c r="W576" s="305">
        <v>0</v>
      </c>
      <c r="X576" s="305">
        <v>0</v>
      </c>
      <c r="Y576" s="283"/>
      <c r="Z576" s="305">
        <v>0</v>
      </c>
      <c r="AA576" s="305">
        <v>0</v>
      </c>
      <c r="AB576" s="282">
        <f t="shared" si="1086"/>
        <v>0</v>
      </c>
      <c r="AC576" s="282">
        <f t="shared" si="1086"/>
        <v>0</v>
      </c>
      <c r="AD576" s="282">
        <f t="shared" si="1086"/>
        <v>0</v>
      </c>
      <c r="AE576" s="282">
        <f t="shared" si="1086"/>
        <v>0</v>
      </c>
      <c r="AF576" s="305">
        <v>0</v>
      </c>
      <c r="AG576" s="305">
        <v>0</v>
      </c>
      <c r="AH576" s="305">
        <v>0</v>
      </c>
    </row>
    <row r="577" spans="3:34">
      <c r="C577" s="402" t="s">
        <v>463</v>
      </c>
      <c r="E577" s="305">
        <v>0</v>
      </c>
      <c r="F577" s="305">
        <v>0</v>
      </c>
      <c r="G577" s="305">
        <v>0</v>
      </c>
      <c r="H577" s="305">
        <v>0</v>
      </c>
      <c r="I577" s="305">
        <v>0</v>
      </c>
      <c r="J577" s="305">
        <v>0</v>
      </c>
      <c r="K577" s="305">
        <v>0</v>
      </c>
      <c r="L577" s="305">
        <v>0</v>
      </c>
      <c r="M577" s="305">
        <v>0</v>
      </c>
      <c r="N577" s="305">
        <v>0</v>
      </c>
      <c r="O577" s="305">
        <v>0</v>
      </c>
      <c r="P577" s="305">
        <v>0</v>
      </c>
      <c r="Q577" s="305">
        <v>0</v>
      </c>
      <c r="R577" s="305">
        <v>0</v>
      </c>
      <c r="S577" s="305">
        <v>0</v>
      </c>
      <c r="T577" s="305">
        <v>0</v>
      </c>
      <c r="U577" s="305">
        <v>0</v>
      </c>
      <c r="V577" s="305">
        <v>0</v>
      </c>
      <c r="W577" s="305">
        <v>0</v>
      </c>
      <c r="X577" s="305">
        <v>0</v>
      </c>
      <c r="Y577" s="283"/>
      <c r="Z577" s="305">
        <v>0</v>
      </c>
      <c r="AA577" s="305">
        <v>0</v>
      </c>
      <c r="AB577" s="282">
        <f t="shared" si="1086"/>
        <v>0</v>
      </c>
      <c r="AC577" s="282">
        <f t="shared" si="1086"/>
        <v>0</v>
      </c>
      <c r="AD577" s="282">
        <f t="shared" si="1086"/>
        <v>0</v>
      </c>
      <c r="AE577" s="282">
        <f t="shared" si="1086"/>
        <v>0</v>
      </c>
      <c r="AF577" s="305">
        <v>0</v>
      </c>
      <c r="AG577" s="305">
        <v>0</v>
      </c>
      <c r="AH577" s="305">
        <v>0</v>
      </c>
    </row>
    <row r="578" spans="3:34">
      <c r="C578" s="416" t="s">
        <v>467</v>
      </c>
      <c r="E578" s="382">
        <f>SUM(E574:E577)</f>
        <v>0</v>
      </c>
      <c r="F578" s="382">
        <f t="shared" ref="F578:X578" si="1087">SUM(F574:F577)</f>
        <v>0</v>
      </c>
      <c r="G578" s="382">
        <f t="shared" si="1087"/>
        <v>97.933999999999997</v>
      </c>
      <c r="H578" s="382">
        <f t="shared" si="1087"/>
        <v>107.254</v>
      </c>
      <c r="I578" s="382">
        <f t="shared" si="1087"/>
        <v>77.802000000000007</v>
      </c>
      <c r="J578" s="382">
        <f t="shared" si="1087"/>
        <v>62.143000000000001</v>
      </c>
      <c r="K578" s="382">
        <f t="shared" si="1087"/>
        <v>65.75800000000001</v>
      </c>
      <c r="L578" s="382">
        <f t="shared" si="1087"/>
        <v>42.204000000000001</v>
      </c>
      <c r="M578" s="382">
        <f t="shared" si="1087"/>
        <v>38.42</v>
      </c>
      <c r="N578" s="382">
        <f t="shared" si="1087"/>
        <v>30.779</v>
      </c>
      <c r="O578" s="382">
        <f t="shared" si="1087"/>
        <v>0</v>
      </c>
      <c r="P578" s="382">
        <f t="shared" si="1087"/>
        <v>0</v>
      </c>
      <c r="Q578" s="382">
        <f t="shared" si="1087"/>
        <v>2.548</v>
      </c>
      <c r="R578" s="769">
        <f t="shared" si="1087"/>
        <v>60.064999999999998</v>
      </c>
      <c r="S578" s="382">
        <f t="shared" si="1087"/>
        <v>2.7509999999999999</v>
      </c>
      <c r="T578" s="382">
        <f t="shared" si="1087"/>
        <v>1.6760000000000026</v>
      </c>
      <c r="U578" s="382">
        <f t="shared" si="1087"/>
        <v>0</v>
      </c>
      <c r="V578" s="382">
        <f t="shared" si="1087"/>
        <v>0</v>
      </c>
      <c r="W578" s="382">
        <f t="shared" si="1087"/>
        <v>0</v>
      </c>
      <c r="X578" s="382">
        <f t="shared" si="1087"/>
        <v>0</v>
      </c>
      <c r="Y578" s="283"/>
      <c r="Z578" s="382">
        <f t="shared" ref="Z578:AF578" si="1088">SUM(Z574:Z577)</f>
        <v>0</v>
      </c>
      <c r="AA578" s="382">
        <f t="shared" si="1088"/>
        <v>0</v>
      </c>
      <c r="AB578" s="382">
        <f t="shared" si="1088"/>
        <v>205.18799999999999</v>
      </c>
      <c r="AC578" s="382">
        <f t="shared" si="1088"/>
        <v>247.90700000000001</v>
      </c>
      <c r="AD578" s="382">
        <f t="shared" si="1088"/>
        <v>69.198999999999998</v>
      </c>
      <c r="AE578" s="382">
        <f t="shared" si="1088"/>
        <v>67.040000000000006</v>
      </c>
      <c r="AF578" s="382">
        <f t="shared" si="1088"/>
        <v>0</v>
      </c>
      <c r="AG578" s="382">
        <f t="shared" ref="AG578:AH578" si="1089">SUM(AG574:AG577)</f>
        <v>0</v>
      </c>
      <c r="AH578" s="382">
        <f t="shared" si="1089"/>
        <v>0</v>
      </c>
    </row>
    <row r="579" spans="3:34">
      <c r="C579" s="414"/>
      <c r="P579" s="282"/>
      <c r="Y579" s="283"/>
      <c r="AB579" s="282"/>
      <c r="AC579" s="282"/>
      <c r="AD579" s="282"/>
      <c r="AE579" s="282"/>
    </row>
    <row r="580" spans="3:34">
      <c r="C580" s="414" t="s">
        <v>500</v>
      </c>
      <c r="Y580" s="283"/>
      <c r="AB580" s="282"/>
      <c r="AC580" s="282"/>
      <c r="AD580" s="282"/>
      <c r="AE580" s="282"/>
    </row>
    <row r="581" spans="3:34">
      <c r="C581" s="402" t="s">
        <v>460</v>
      </c>
      <c r="D581" s="375">
        <v>1</v>
      </c>
      <c r="E581" s="305">
        <v>0</v>
      </c>
      <c r="F581" s="305">
        <v>0</v>
      </c>
      <c r="G581" s="305">
        <v>44.043999999999997</v>
      </c>
      <c r="H581" s="282">
        <f>SUMIF($Z$6:$AG$6,H$6,$Z581:$AG581)-SUM(E581:G581)</f>
        <v>80.555999999999997</v>
      </c>
      <c r="I581" s="305">
        <v>65.054000000000002</v>
      </c>
      <c r="J581" s="305">
        <v>56.332999999999998</v>
      </c>
      <c r="K581" s="305">
        <v>36.735999999999997</v>
      </c>
      <c r="L581" s="282">
        <f>SUMIF($Z$6:$AG$6,L$6,$Z581:$AG581)-SUM(I581:K581)</f>
        <v>55.40300000000002</v>
      </c>
      <c r="M581" s="305">
        <v>25.338999999999999</v>
      </c>
      <c r="N581" s="305">
        <v>3.3919999999999999</v>
      </c>
      <c r="O581" s="305">
        <v>16.433</v>
      </c>
      <c r="P581" s="282">
        <f>SUMIF($Z$6:$AG$6,P$6,$Z581:$AG581)-SUM(M581:O581)</f>
        <v>0</v>
      </c>
      <c r="Q581" s="305">
        <v>6.8209999999999997</v>
      </c>
      <c r="R581" s="305">
        <v>1.214</v>
      </c>
      <c r="S581" s="305">
        <v>15.833</v>
      </c>
      <c r="T581" s="305">
        <v>3.607999999999997</v>
      </c>
      <c r="U581" s="305">
        <v>6.3630000000000004</v>
      </c>
      <c r="V581" s="282">
        <f t="shared" ref="V581:X581" si="1090">$D581*V574</f>
        <v>0</v>
      </c>
      <c r="W581" s="282">
        <f t="shared" si="1090"/>
        <v>0</v>
      </c>
      <c r="X581" s="282">
        <f t="shared" si="1090"/>
        <v>0</v>
      </c>
      <c r="Y581" s="283"/>
      <c r="Z581" s="305">
        <v>0</v>
      </c>
      <c r="AA581" s="305">
        <v>0</v>
      </c>
      <c r="AB581" s="305">
        <v>124.6</v>
      </c>
      <c r="AC581" s="305">
        <v>213.52600000000001</v>
      </c>
      <c r="AD581" s="305">
        <v>45.164000000000001</v>
      </c>
      <c r="AE581" s="305">
        <v>27.475999999999999</v>
      </c>
      <c r="AF581" s="282">
        <f t="shared" ref="AF581:AG584" si="1091">$D581*AF574</f>
        <v>0</v>
      </c>
      <c r="AG581" s="282">
        <f t="shared" si="1091"/>
        <v>0</v>
      </c>
      <c r="AH581" s="282">
        <f t="shared" ref="AH581" si="1092">$D581*AH574</f>
        <v>0</v>
      </c>
    </row>
    <row r="582" spans="3:34">
      <c r="C582" s="402" t="s">
        <v>461</v>
      </c>
      <c r="D582" s="375">
        <v>1</v>
      </c>
      <c r="E582" s="305">
        <v>0</v>
      </c>
      <c r="F582" s="305">
        <v>0</v>
      </c>
      <c r="G582" s="305">
        <v>9.0329999999999995</v>
      </c>
      <c r="H582" s="282">
        <f>SUMIF($Z$6:$AG$6,H$6,$Z582:$AG582)-SUM(E582:G582)</f>
        <v>15.052999999999999</v>
      </c>
      <c r="I582" s="305">
        <v>12.728999999999999</v>
      </c>
      <c r="J582" s="305">
        <v>12.331</v>
      </c>
      <c r="K582" s="305">
        <v>19.643999999999998</v>
      </c>
      <c r="L582" s="282">
        <f>SUMIF($Z$6:$AG$6,L$6,$Z582:$AG582)-SUM(I582:K582)</f>
        <v>28.220000000000013</v>
      </c>
      <c r="M582" s="305">
        <v>14.875999999999999</v>
      </c>
      <c r="N582" s="305">
        <v>9.0679999999999996</v>
      </c>
      <c r="O582" s="305">
        <v>11.28</v>
      </c>
      <c r="P582" s="282">
        <f>SUMIF($Z$6:$AG$6,P$6,$Z582:$AG582)-SUM(M582:O582)</f>
        <v>0</v>
      </c>
      <c r="Q582" s="305">
        <v>5.8230000000000004</v>
      </c>
      <c r="R582" s="305">
        <v>4.7320000000000002</v>
      </c>
      <c r="S582" s="305">
        <v>12.542</v>
      </c>
      <c r="T582" s="305">
        <v>2.3289999999999971</v>
      </c>
      <c r="U582" s="305">
        <v>6.5000000000000002E-2</v>
      </c>
      <c r="V582" s="282">
        <f t="shared" ref="V582:X582" si="1093">$D582*V575</f>
        <v>0</v>
      </c>
      <c r="W582" s="282">
        <f t="shared" si="1093"/>
        <v>0</v>
      </c>
      <c r="X582" s="282">
        <f t="shared" si="1093"/>
        <v>0</v>
      </c>
      <c r="Y582" s="283"/>
      <c r="Z582" s="305">
        <v>0</v>
      </c>
      <c r="AA582" s="305">
        <v>0</v>
      </c>
      <c r="AB582" s="305">
        <v>24.085999999999999</v>
      </c>
      <c r="AC582" s="305">
        <v>72.924000000000007</v>
      </c>
      <c r="AD582" s="305">
        <v>35.223999999999997</v>
      </c>
      <c r="AE582" s="305">
        <v>25.425999999999998</v>
      </c>
      <c r="AF582" s="282">
        <f t="shared" si="1091"/>
        <v>0</v>
      </c>
      <c r="AG582" s="282">
        <f t="shared" si="1091"/>
        <v>0</v>
      </c>
      <c r="AH582" s="282">
        <f t="shared" ref="AH582" si="1094">$D582*AH575</f>
        <v>0</v>
      </c>
    </row>
    <row r="583" spans="3:34">
      <c r="C583" s="402" t="s">
        <v>462</v>
      </c>
      <c r="D583" s="375">
        <v>1</v>
      </c>
      <c r="E583" s="305">
        <v>0</v>
      </c>
      <c r="F583" s="305">
        <v>0</v>
      </c>
      <c r="G583" s="305">
        <v>0</v>
      </c>
      <c r="H583" s="305">
        <v>0</v>
      </c>
      <c r="I583" s="305">
        <v>0</v>
      </c>
      <c r="J583" s="305">
        <v>0</v>
      </c>
      <c r="K583" s="305">
        <v>0</v>
      </c>
      <c r="L583" s="305">
        <v>0</v>
      </c>
      <c r="M583" s="305">
        <v>0</v>
      </c>
      <c r="N583" s="305">
        <v>0</v>
      </c>
      <c r="O583" s="305">
        <v>0</v>
      </c>
      <c r="P583" s="305">
        <v>0</v>
      </c>
      <c r="Q583" s="305">
        <v>0</v>
      </c>
      <c r="R583" s="305">
        <v>0</v>
      </c>
      <c r="S583" s="305">
        <v>0</v>
      </c>
      <c r="T583" s="305">
        <v>0</v>
      </c>
      <c r="U583" s="282">
        <f t="shared" ref="U583:X583" si="1095">$D583*U576</f>
        <v>0</v>
      </c>
      <c r="V583" s="282">
        <f t="shared" si="1095"/>
        <v>0</v>
      </c>
      <c r="W583" s="282">
        <f t="shared" si="1095"/>
        <v>0</v>
      </c>
      <c r="X583" s="282">
        <f t="shared" si="1095"/>
        <v>0</v>
      </c>
      <c r="Y583" s="283"/>
      <c r="Z583" s="305">
        <v>0</v>
      </c>
      <c r="AA583" s="305">
        <v>0</v>
      </c>
      <c r="AB583" s="305">
        <v>0</v>
      </c>
      <c r="AC583" s="305">
        <v>0</v>
      </c>
      <c r="AD583" s="305">
        <v>0</v>
      </c>
      <c r="AE583" s="305">
        <v>0</v>
      </c>
      <c r="AF583" s="282">
        <f t="shared" si="1091"/>
        <v>0</v>
      </c>
      <c r="AG583" s="282">
        <f t="shared" si="1091"/>
        <v>0</v>
      </c>
      <c r="AH583" s="282">
        <f t="shared" ref="AH583" si="1096">$D583*AH576</f>
        <v>0</v>
      </c>
    </row>
    <row r="584" spans="3:34">
      <c r="C584" s="402" t="s">
        <v>463</v>
      </c>
      <c r="D584" s="375">
        <v>1</v>
      </c>
      <c r="E584" s="305">
        <v>0</v>
      </c>
      <c r="F584" s="305">
        <v>0</v>
      </c>
      <c r="G584" s="305">
        <v>0</v>
      </c>
      <c r="H584" s="305">
        <v>0</v>
      </c>
      <c r="I584" s="305">
        <v>0</v>
      </c>
      <c r="J584" s="305">
        <v>0</v>
      </c>
      <c r="K584" s="305">
        <v>0</v>
      </c>
      <c r="L584" s="305">
        <v>0</v>
      </c>
      <c r="M584" s="305">
        <v>0</v>
      </c>
      <c r="N584" s="305">
        <v>0</v>
      </c>
      <c r="O584" s="305">
        <v>0</v>
      </c>
      <c r="P584" s="305">
        <v>0</v>
      </c>
      <c r="Q584" s="305">
        <v>0</v>
      </c>
      <c r="R584" s="305">
        <v>0</v>
      </c>
      <c r="S584" s="305">
        <v>0</v>
      </c>
      <c r="T584" s="305">
        <v>0</v>
      </c>
      <c r="U584" s="282">
        <f t="shared" ref="U584:X584" si="1097">$D584*U577</f>
        <v>0</v>
      </c>
      <c r="V584" s="282">
        <f t="shared" si="1097"/>
        <v>0</v>
      </c>
      <c r="W584" s="282">
        <f t="shared" si="1097"/>
        <v>0</v>
      </c>
      <c r="X584" s="282">
        <f t="shared" si="1097"/>
        <v>0</v>
      </c>
      <c r="Y584" s="283"/>
      <c r="Z584" s="305">
        <v>0</v>
      </c>
      <c r="AA584" s="305">
        <v>0</v>
      </c>
      <c r="AB584" s="305">
        <v>0</v>
      </c>
      <c r="AC584" s="305">
        <v>0</v>
      </c>
      <c r="AD584" s="305">
        <v>0</v>
      </c>
      <c r="AE584" s="305">
        <v>0</v>
      </c>
      <c r="AF584" s="282">
        <f t="shared" si="1091"/>
        <v>0</v>
      </c>
      <c r="AG584" s="282">
        <f t="shared" si="1091"/>
        <v>0</v>
      </c>
      <c r="AH584" s="282">
        <f t="shared" ref="AH584" si="1098">$D584*AH577</f>
        <v>0</v>
      </c>
    </row>
    <row r="585" spans="3:34">
      <c r="C585" s="416" t="s">
        <v>465</v>
      </c>
      <c r="E585" s="382">
        <f t="shared" ref="E585:X585" si="1099">SUM(E582:E582)</f>
        <v>0</v>
      </c>
      <c r="F585" s="382">
        <f t="shared" si="1099"/>
        <v>0</v>
      </c>
      <c r="G585" s="382">
        <f t="shared" si="1099"/>
        <v>9.0329999999999995</v>
      </c>
      <c r="H585" s="382">
        <f t="shared" si="1099"/>
        <v>15.052999999999999</v>
      </c>
      <c r="I585" s="382">
        <f t="shared" si="1099"/>
        <v>12.728999999999999</v>
      </c>
      <c r="J585" s="382">
        <f t="shared" si="1099"/>
        <v>12.331</v>
      </c>
      <c r="K585" s="382">
        <f t="shared" si="1099"/>
        <v>19.643999999999998</v>
      </c>
      <c r="L585" s="382">
        <f t="shared" si="1099"/>
        <v>28.220000000000013</v>
      </c>
      <c r="M585" s="382">
        <f t="shared" si="1099"/>
        <v>14.875999999999999</v>
      </c>
      <c r="N585" s="382">
        <f t="shared" si="1099"/>
        <v>9.0679999999999996</v>
      </c>
      <c r="O585" s="382">
        <f t="shared" si="1099"/>
        <v>11.28</v>
      </c>
      <c r="P585" s="382">
        <f t="shared" si="1099"/>
        <v>0</v>
      </c>
      <c r="Q585" s="382">
        <f t="shared" si="1099"/>
        <v>5.8230000000000004</v>
      </c>
      <c r="R585" s="769">
        <f t="shared" si="1099"/>
        <v>4.7320000000000002</v>
      </c>
      <c r="S585" s="382">
        <f>SUM(S582:S582)</f>
        <v>12.542</v>
      </c>
      <c r="T585" s="382">
        <f t="shared" si="1099"/>
        <v>2.3289999999999971</v>
      </c>
      <c r="U585" s="382">
        <f t="shared" si="1099"/>
        <v>6.5000000000000002E-2</v>
      </c>
      <c r="V585" s="382">
        <f t="shared" si="1099"/>
        <v>0</v>
      </c>
      <c r="W585" s="382">
        <f t="shared" si="1099"/>
        <v>0</v>
      </c>
      <c r="X585" s="382">
        <f t="shared" si="1099"/>
        <v>0</v>
      </c>
      <c r="Y585" s="283"/>
      <c r="Z585" s="382">
        <f t="shared" ref="Z585:AG585" si="1100">SUM(Z582:Z582)</f>
        <v>0</v>
      </c>
      <c r="AA585" s="382">
        <f t="shared" si="1100"/>
        <v>0</v>
      </c>
      <c r="AB585" s="382">
        <f t="shared" si="1100"/>
        <v>24.085999999999999</v>
      </c>
      <c r="AC585" s="382">
        <f t="shared" si="1100"/>
        <v>72.924000000000007</v>
      </c>
      <c r="AD585" s="382">
        <f t="shared" si="1100"/>
        <v>35.223999999999997</v>
      </c>
      <c r="AE585" s="382">
        <f t="shared" si="1100"/>
        <v>25.425999999999998</v>
      </c>
      <c r="AF585" s="382">
        <f t="shared" si="1100"/>
        <v>0</v>
      </c>
      <c r="AG585" s="382">
        <f t="shared" si="1100"/>
        <v>0</v>
      </c>
      <c r="AH585" s="382">
        <f t="shared" ref="AH585" si="1101">SUM(AH582:AH582)</f>
        <v>0</v>
      </c>
    </row>
    <row r="586" spans="3:34">
      <c r="C586" s="416"/>
      <c r="E586" s="308"/>
      <c r="F586" s="308"/>
      <c r="G586" s="308"/>
      <c r="H586" s="308"/>
      <c r="I586" s="308"/>
      <c r="J586" s="308"/>
      <c r="K586" s="308"/>
      <c r="L586" s="308"/>
      <c r="M586" s="308"/>
      <c r="N586" s="308"/>
      <c r="O586" s="308"/>
      <c r="P586" s="308"/>
      <c r="Q586" s="308"/>
      <c r="R586" s="308"/>
      <c r="S586" s="308"/>
      <c r="T586" s="308"/>
      <c r="Y586" s="283"/>
      <c r="Z586" s="308"/>
      <c r="AA586" s="308"/>
      <c r="AB586" s="308"/>
      <c r="AC586" s="308"/>
      <c r="AD586" s="308"/>
      <c r="AE586" s="308"/>
    </row>
    <row r="587" spans="3:34">
      <c r="C587" s="414" t="s">
        <v>453</v>
      </c>
      <c r="E587" s="428"/>
      <c r="F587" s="428"/>
      <c r="G587" s="428"/>
      <c r="H587" s="428"/>
      <c r="I587" s="428"/>
      <c r="J587" s="428"/>
      <c r="K587" s="428"/>
      <c r="L587" s="428"/>
      <c r="M587" s="428"/>
      <c r="N587" s="428"/>
      <c r="O587" s="428"/>
      <c r="P587" s="428"/>
      <c r="Y587" s="283"/>
      <c r="AE587" s="282"/>
    </row>
    <row r="588" spans="3:34">
      <c r="C588" s="402" t="s">
        <v>444</v>
      </c>
      <c r="E588" s="282">
        <f>E$1*E581/1000</f>
        <v>0</v>
      </c>
      <c r="F588" s="282">
        <f>F$1*F581/1000</f>
        <v>0</v>
      </c>
      <c r="G588" s="282">
        <f>G$1*G581/1000</f>
        <v>0.64673850656640708</v>
      </c>
      <c r="H588" s="282">
        <f>H$1*H581/1000</f>
        <v>1.1742269140071904</v>
      </c>
      <c r="I588" s="282">
        <f t="shared" ref="I588:S588" si="1102">I$1*I581/1000</f>
        <v>1.0214846586519433</v>
      </c>
      <c r="J588" s="282">
        <f t="shared" si="1102"/>
        <v>0.84544243371953687</v>
      </c>
      <c r="K588" s="282">
        <f t="shared" si="1102"/>
        <v>0.66782226828522162</v>
      </c>
      <c r="L588" s="282">
        <f t="shared" si="1102"/>
        <v>0.96761669166866993</v>
      </c>
      <c r="M588" s="282">
        <f t="shared" si="1102"/>
        <v>0.36868074259956324</v>
      </c>
      <c r="N588" s="282">
        <f t="shared" si="1102"/>
        <v>6.2555668735865544E-2</v>
      </c>
      <c r="O588" s="282">
        <f t="shared" si="1102"/>
        <v>0.41608744830075678</v>
      </c>
      <c r="P588" s="282">
        <f t="shared" si="1102"/>
        <v>0</v>
      </c>
      <c r="Q588" s="282">
        <f t="shared" si="1102"/>
        <v>0.17504837748863464</v>
      </c>
      <c r="R588" s="282">
        <f t="shared" si="1102"/>
        <v>3.2972594645998311E-2</v>
      </c>
      <c r="S588" s="282">
        <f t="shared" si="1102"/>
        <v>0.37955926931583578</v>
      </c>
      <c r="T588" s="282">
        <f t="shared" ref="T588:X588" si="1103">T$1*T581/1000</f>
        <v>8.4753893447575612E-2</v>
      </c>
      <c r="U588" s="282">
        <f t="shared" si="1103"/>
        <v>0.15706340356839044</v>
      </c>
      <c r="V588" s="282">
        <f t="shared" si="1103"/>
        <v>0</v>
      </c>
      <c r="W588" s="282">
        <f t="shared" si="1103"/>
        <v>0</v>
      </c>
      <c r="X588" s="282">
        <f t="shared" si="1103"/>
        <v>0</v>
      </c>
      <c r="Y588" s="283"/>
      <c r="Z588" s="282">
        <f>Z$1*Z581/1000</f>
        <v>0</v>
      </c>
      <c r="AA588" s="282">
        <f>AA$1*AA581/1000</f>
        <v>0</v>
      </c>
      <c r="AB588" s="282">
        <f t="shared" ref="AB588:AE591" si="1104">SUMIF($E$5:$T$5,AB$5,$E588:$T588)</f>
        <v>1.8209654205735974</v>
      </c>
      <c r="AC588" s="282">
        <f t="shared" si="1104"/>
        <v>3.5023660523253719</v>
      </c>
      <c r="AD588" s="282">
        <f t="shared" si="1104"/>
        <v>0.84732385963618562</v>
      </c>
      <c r="AE588" s="282">
        <f t="shared" si="1104"/>
        <v>0.67233413489804428</v>
      </c>
      <c r="AF588" s="282">
        <f>AF$1*AF581/1000</f>
        <v>0</v>
      </c>
      <c r="AG588" s="282">
        <f>AG$1*AG581/1000</f>
        <v>0</v>
      </c>
      <c r="AH588" s="282">
        <f>AH$1*AH581/1000</f>
        <v>0</v>
      </c>
    </row>
    <row r="589" spans="3:34">
      <c r="C589" s="402" t="s">
        <v>440</v>
      </c>
      <c r="E589" s="282">
        <f>E$2*E582/1000</f>
        <v>0</v>
      </c>
      <c r="F589" s="282">
        <f>F$2*F582/1000</f>
        <v>0</v>
      </c>
      <c r="G589" s="282">
        <f>G$2*G582/1000</f>
        <v>10.885233986699333</v>
      </c>
      <c r="H589" s="282">
        <f>H$2*H582/1000</f>
        <v>18.622828825335777</v>
      </c>
      <c r="I589" s="282">
        <f t="shared" ref="I589:S589" si="1105">I$2*I582/1000</f>
        <v>16.644249556912172</v>
      </c>
      <c r="J589" s="282">
        <f t="shared" si="1105"/>
        <v>16.301604106415006</v>
      </c>
      <c r="K589" s="282">
        <f t="shared" si="1105"/>
        <v>29.254522878440369</v>
      </c>
      <c r="L589" s="282">
        <f t="shared" si="1105"/>
        <v>42.003554366699532</v>
      </c>
      <c r="M589" s="282">
        <f t="shared" si="1105"/>
        <v>23.626848747001034</v>
      </c>
      <c r="N589" s="282">
        <f t="shared" si="1105"/>
        <v>15.739720528435512</v>
      </c>
      <c r="O589" s="282">
        <f t="shared" si="1105"/>
        <v>21.75504329089128</v>
      </c>
      <c r="P589" s="282">
        <f t="shared" si="1105"/>
        <v>0</v>
      </c>
      <c r="Q589" s="282">
        <f t="shared" si="1105"/>
        <v>10.307907411933108</v>
      </c>
      <c r="R589" s="282">
        <f t="shared" si="1105"/>
        <v>8.6357219242266829</v>
      </c>
      <c r="S589" s="282">
        <f t="shared" si="1105"/>
        <v>22.476733042772775</v>
      </c>
      <c r="T589" s="282">
        <f t="shared" ref="T589:X589" si="1106">T$2*T582/1000</f>
        <v>4.1968416487373963</v>
      </c>
      <c r="U589" s="282">
        <f t="shared" si="1106"/>
        <v>0.12218157016539596</v>
      </c>
      <c r="V589" s="282">
        <f t="shared" si="1106"/>
        <v>0</v>
      </c>
      <c r="W589" s="282">
        <f t="shared" si="1106"/>
        <v>0</v>
      </c>
      <c r="X589" s="282">
        <f t="shared" si="1106"/>
        <v>0</v>
      </c>
      <c r="Y589" s="283"/>
      <c r="Z589" s="282">
        <f>Z$2*Z582/1000</f>
        <v>0</v>
      </c>
      <c r="AA589" s="282">
        <f>AA$2*AA582/1000</f>
        <v>0</v>
      </c>
      <c r="AB589" s="282">
        <f t="shared" si="1104"/>
        <v>29.50806281203511</v>
      </c>
      <c r="AC589" s="282">
        <f t="shared" si="1104"/>
        <v>104.20393090846707</v>
      </c>
      <c r="AD589" s="282">
        <f t="shared" si="1104"/>
        <v>61.121612566327826</v>
      </c>
      <c r="AE589" s="282">
        <f t="shared" si="1104"/>
        <v>45.617204027669963</v>
      </c>
      <c r="AF589" s="282">
        <f>AF$2*AF582/1000</f>
        <v>0</v>
      </c>
      <c r="AG589" s="282">
        <f>AG$2*AG582/1000</f>
        <v>0</v>
      </c>
      <c r="AH589" s="282">
        <f>AH$2*AH582/1000</f>
        <v>0</v>
      </c>
    </row>
    <row r="590" spans="3:34">
      <c r="C590" s="402" t="s">
        <v>439</v>
      </c>
      <c r="E590" s="282">
        <f>E$3*E583*2</f>
        <v>0</v>
      </c>
      <c r="F590" s="282">
        <f>F$3*F583*2</f>
        <v>0</v>
      </c>
      <c r="G590" s="282">
        <f>G$3*G583*2</f>
        <v>0</v>
      </c>
      <c r="H590" s="282">
        <f>H$3*H583*2</f>
        <v>0</v>
      </c>
      <c r="I590" s="282">
        <f t="shared" ref="I590:S590" si="1107">I$3*I583*2</f>
        <v>0</v>
      </c>
      <c r="J590" s="282">
        <f t="shared" si="1107"/>
        <v>0</v>
      </c>
      <c r="K590" s="282">
        <f t="shared" si="1107"/>
        <v>0</v>
      </c>
      <c r="L590" s="282">
        <f t="shared" si="1107"/>
        <v>0</v>
      </c>
      <c r="M590" s="282">
        <f t="shared" si="1107"/>
        <v>0</v>
      </c>
      <c r="N590" s="282">
        <f t="shared" si="1107"/>
        <v>0</v>
      </c>
      <c r="O590" s="282">
        <f t="shared" si="1107"/>
        <v>0</v>
      </c>
      <c r="P590" s="282">
        <f t="shared" si="1107"/>
        <v>0</v>
      </c>
      <c r="Q590" s="282">
        <f t="shared" si="1107"/>
        <v>0</v>
      </c>
      <c r="R590" s="282">
        <f t="shared" si="1107"/>
        <v>0</v>
      </c>
      <c r="S590" s="282">
        <f t="shared" si="1107"/>
        <v>0</v>
      </c>
      <c r="T590" s="282">
        <f t="shared" ref="T590:X590" si="1108">T$3*T583*2</f>
        <v>0</v>
      </c>
      <c r="U590" s="282">
        <f t="shared" si="1108"/>
        <v>0</v>
      </c>
      <c r="V590" s="282">
        <f t="shared" si="1108"/>
        <v>0</v>
      </c>
      <c r="W590" s="282">
        <f t="shared" si="1108"/>
        <v>0</v>
      </c>
      <c r="X590" s="282">
        <f t="shared" si="1108"/>
        <v>0</v>
      </c>
      <c r="Y590" s="283"/>
      <c r="Z590" s="282">
        <f>Z$3*Z583*2</f>
        <v>0</v>
      </c>
      <c r="AA590" s="282">
        <f>AA$3*AA583*2</f>
        <v>0</v>
      </c>
      <c r="AB590" s="282">
        <f t="shared" si="1104"/>
        <v>0</v>
      </c>
      <c r="AC590" s="282">
        <f t="shared" si="1104"/>
        <v>0</v>
      </c>
      <c r="AD590" s="282">
        <f t="shared" si="1104"/>
        <v>0</v>
      </c>
      <c r="AE590" s="282">
        <f t="shared" si="1104"/>
        <v>0</v>
      </c>
      <c r="AF590" s="282">
        <f ca="1">AF$3*AF583*2</f>
        <v>0</v>
      </c>
      <c r="AG590" s="282">
        <f ca="1">AG$3*AG583*2</f>
        <v>0</v>
      </c>
      <c r="AH590" s="282">
        <f ca="1">AH$3*AH583*2</f>
        <v>0</v>
      </c>
    </row>
    <row r="591" spans="3:34">
      <c r="C591" s="402" t="s">
        <v>441</v>
      </c>
      <c r="E591" s="282">
        <f>E$4*E584*2</f>
        <v>0</v>
      </c>
      <c r="F591" s="282">
        <f>F$4*F584*2</f>
        <v>0</v>
      </c>
      <c r="G591" s="282">
        <f>G$4*G584*2</f>
        <v>0</v>
      </c>
      <c r="H591" s="282">
        <f>H$4*H584*2</f>
        <v>0</v>
      </c>
      <c r="I591" s="282">
        <f t="shared" ref="I591:S591" si="1109">I$4*I584*2</f>
        <v>0</v>
      </c>
      <c r="J591" s="282">
        <f t="shared" si="1109"/>
        <v>0</v>
      </c>
      <c r="K591" s="282">
        <f t="shared" si="1109"/>
        <v>0</v>
      </c>
      <c r="L591" s="282">
        <f t="shared" si="1109"/>
        <v>0</v>
      </c>
      <c r="M591" s="282">
        <f t="shared" si="1109"/>
        <v>0</v>
      </c>
      <c r="N591" s="282">
        <f t="shared" si="1109"/>
        <v>0</v>
      </c>
      <c r="O591" s="282">
        <f t="shared" si="1109"/>
        <v>0</v>
      </c>
      <c r="P591" s="282">
        <f t="shared" si="1109"/>
        <v>0</v>
      </c>
      <c r="Q591" s="282">
        <f t="shared" si="1109"/>
        <v>0</v>
      </c>
      <c r="R591" s="282">
        <f t="shared" si="1109"/>
        <v>0</v>
      </c>
      <c r="S591" s="282">
        <f t="shared" si="1109"/>
        <v>0</v>
      </c>
      <c r="T591" s="282">
        <f t="shared" ref="T591:X591" si="1110">T$4*T584*2</f>
        <v>0</v>
      </c>
      <c r="U591" s="282">
        <f t="shared" si="1110"/>
        <v>0</v>
      </c>
      <c r="V591" s="282">
        <f t="shared" si="1110"/>
        <v>0</v>
      </c>
      <c r="W591" s="282">
        <f t="shared" si="1110"/>
        <v>0</v>
      </c>
      <c r="X591" s="282">
        <f t="shared" si="1110"/>
        <v>0</v>
      </c>
      <c r="Y591" s="283"/>
      <c r="Z591" s="305">
        <v>27.475999999999999</v>
      </c>
      <c r="AA591" s="282">
        <f>AA$4*AA584*2</f>
        <v>0</v>
      </c>
      <c r="AB591" s="282">
        <f t="shared" si="1104"/>
        <v>0</v>
      </c>
      <c r="AC591" s="282">
        <f t="shared" si="1104"/>
        <v>0</v>
      </c>
      <c r="AD591" s="282">
        <f t="shared" si="1104"/>
        <v>0</v>
      </c>
      <c r="AE591" s="282">
        <f t="shared" si="1104"/>
        <v>0</v>
      </c>
      <c r="AF591" s="282">
        <f ca="1">AF$4*AF584*2</f>
        <v>0</v>
      </c>
      <c r="AG591" s="282">
        <f ca="1">AG$4*AG584*2</f>
        <v>0</v>
      </c>
      <c r="AH591" s="282">
        <f ca="1">AH$4*AH584*2</f>
        <v>0</v>
      </c>
    </row>
    <row r="592" spans="3:34">
      <c r="C592" s="416" t="s">
        <v>560</v>
      </c>
      <c r="E592" s="382">
        <f t="shared" ref="E592:Q592" si="1111">SUM(E588:E591)</f>
        <v>0</v>
      </c>
      <c r="F592" s="382">
        <f t="shared" si="1111"/>
        <v>0</v>
      </c>
      <c r="G592" s="382">
        <f t="shared" si="1111"/>
        <v>11.531972493265741</v>
      </c>
      <c r="H592" s="382">
        <f t="shared" si="1111"/>
        <v>19.797055739342966</v>
      </c>
      <c r="I592" s="382">
        <f t="shared" si="1111"/>
        <v>17.665734215564115</v>
      </c>
      <c r="J592" s="382">
        <f t="shared" si="1111"/>
        <v>17.147046540134543</v>
      </c>
      <c r="K592" s="382">
        <f t="shared" si="1111"/>
        <v>29.92234514672559</v>
      </c>
      <c r="L592" s="382">
        <f t="shared" si="1111"/>
        <v>42.971171058368199</v>
      </c>
      <c r="M592" s="382">
        <f t="shared" si="1111"/>
        <v>23.995529489600596</v>
      </c>
      <c r="N592" s="382">
        <f t="shared" si="1111"/>
        <v>15.802276197171379</v>
      </c>
      <c r="O592" s="382">
        <f t="shared" si="1111"/>
        <v>22.171130739192037</v>
      </c>
      <c r="P592" s="382">
        <f t="shared" si="1111"/>
        <v>0</v>
      </c>
      <c r="Q592" s="382">
        <f t="shared" si="1111"/>
        <v>10.482955789421743</v>
      </c>
      <c r="R592" s="769">
        <f t="shared" ref="R592:S592" si="1112">SUM(R588:R591)</f>
        <v>8.6686945188726821</v>
      </c>
      <c r="S592" s="769">
        <f t="shared" si="1112"/>
        <v>22.856292312088609</v>
      </c>
      <c r="T592" s="769">
        <f t="shared" ref="T592:X592" si="1113">SUM(T588:T591)</f>
        <v>4.2815955421849718</v>
      </c>
      <c r="U592" s="382">
        <f t="shared" si="1113"/>
        <v>0.27924497373378643</v>
      </c>
      <c r="V592" s="382">
        <f t="shared" si="1113"/>
        <v>0</v>
      </c>
      <c r="W592" s="382">
        <f t="shared" si="1113"/>
        <v>0</v>
      </c>
      <c r="X592" s="382">
        <f t="shared" si="1113"/>
        <v>0</v>
      </c>
      <c r="Y592" s="283"/>
      <c r="Z592" s="429">
        <v>25.425999999999998</v>
      </c>
      <c r="AA592" s="382">
        <f t="shared" ref="AA592:AG592" si="1114">SUM(AA588:AA591)</f>
        <v>0</v>
      </c>
      <c r="AB592" s="382">
        <f t="shared" si="1114"/>
        <v>31.329028232608707</v>
      </c>
      <c r="AC592" s="382">
        <f t="shared" si="1114"/>
        <v>107.70629696079244</v>
      </c>
      <c r="AD592" s="382">
        <f t="shared" si="1114"/>
        <v>61.96893642596401</v>
      </c>
      <c r="AE592" s="382">
        <f t="shared" si="1114"/>
        <v>46.289538162568007</v>
      </c>
      <c r="AF592" s="382">
        <f t="shared" ca="1" si="1114"/>
        <v>0</v>
      </c>
      <c r="AG592" s="382">
        <f t="shared" ca="1" si="1114"/>
        <v>0</v>
      </c>
      <c r="AH592" s="382">
        <f t="shared" ref="AH592" ca="1" si="1115">SUM(AH588:AH591)</f>
        <v>0</v>
      </c>
    </row>
    <row r="593" spans="1:34" ht="3" customHeight="1">
      <c r="C593" s="416"/>
      <c r="E593" s="308"/>
      <c r="F593" s="308"/>
      <c r="G593" s="308"/>
      <c r="H593" s="308"/>
      <c r="I593" s="308"/>
      <c r="J593" s="308"/>
      <c r="K593" s="308"/>
      <c r="L593" s="308"/>
      <c r="M593" s="308"/>
      <c r="N593" s="308"/>
      <c r="O593" s="308"/>
      <c r="P593" s="308"/>
      <c r="Q593" s="308"/>
      <c r="R593" s="308"/>
      <c r="S593" s="308"/>
      <c r="T593" s="308"/>
      <c r="U593" s="308"/>
      <c r="V593" s="308"/>
      <c r="W593" s="308"/>
      <c r="X593" s="308"/>
      <c r="Y593" s="283"/>
      <c r="Z593" s="308"/>
      <c r="AA593" s="308"/>
      <c r="AB593" s="308"/>
      <c r="AC593" s="308"/>
      <c r="AD593" s="308"/>
      <c r="AE593" s="308"/>
      <c r="AF593" s="308"/>
      <c r="AG593" s="308"/>
      <c r="AH593" s="308"/>
    </row>
    <row r="594" spans="1:34" s="282" customFormat="1">
      <c r="A594" s="283"/>
      <c r="B594" s="474"/>
      <c r="C594" s="480" t="s">
        <v>575</v>
      </c>
      <c r="D594" s="493"/>
      <c r="E594" s="282">
        <f t="shared" ref="E594:R594" si="1116">+E592-E597</f>
        <v>0</v>
      </c>
      <c r="F594" s="282">
        <f t="shared" si="1116"/>
        <v>0</v>
      </c>
      <c r="G594" s="282">
        <f t="shared" si="1116"/>
        <v>3.7972493265741036E-2</v>
      </c>
      <c r="H594" s="282">
        <f t="shared" si="1116"/>
        <v>0.11705573934296609</v>
      </c>
      <c r="I594" s="282">
        <f t="shared" si="1116"/>
        <v>2.1734215564116255E-2</v>
      </c>
      <c r="J594" s="282">
        <f t="shared" si="1116"/>
        <v>-0.18295345986545541</v>
      </c>
      <c r="K594" s="282">
        <f t="shared" si="1116"/>
        <v>0.31034514672559155</v>
      </c>
      <c r="L594" s="282">
        <f t="shared" si="1116"/>
        <v>-0.21182894163180777</v>
      </c>
      <c r="M594" s="282">
        <f t="shared" si="1116"/>
        <v>-0.1674705103994043</v>
      </c>
      <c r="N594" s="282">
        <f t="shared" si="1116"/>
        <v>0.73127619717137904</v>
      </c>
      <c r="O594" s="282">
        <f t="shared" si="1116"/>
        <v>-0.53386926080796115</v>
      </c>
      <c r="P594" s="282">
        <f t="shared" si="1116"/>
        <v>3.0409999999999968</v>
      </c>
      <c r="Q594" s="282">
        <f t="shared" si="1116"/>
        <v>0.24595578942174257</v>
      </c>
      <c r="R594" s="282">
        <f t="shared" si="1116"/>
        <v>0.21869451887268276</v>
      </c>
      <c r="S594" s="282">
        <f t="shared" ref="S594:T594" si="1117">+S592-S597</f>
        <v>-4.9707687911389797E-2</v>
      </c>
      <c r="T594" s="282">
        <f t="shared" si="1117"/>
        <v>6.059554218496821E-2</v>
      </c>
      <c r="U594" s="282">
        <f t="shared" ref="U594" si="1118">+U592-U597</f>
        <v>1.1244973733786412E-2</v>
      </c>
      <c r="V594" s="282">
        <f t="shared" ref="V594:X594" si="1119">V595*V592</f>
        <v>0</v>
      </c>
      <c r="W594" s="282">
        <f t="shared" si="1119"/>
        <v>0</v>
      </c>
      <c r="X594" s="282">
        <f t="shared" si="1119"/>
        <v>0</v>
      </c>
      <c r="Y594" s="283"/>
      <c r="Z594" s="282">
        <f t="shared" ref="Z594:AE594" si="1120">+Z592-Z597</f>
        <v>25.425999999999998</v>
      </c>
      <c r="AA594" s="282">
        <f t="shared" si="1120"/>
        <v>0</v>
      </c>
      <c r="AB594" s="282">
        <f t="shared" si="1120"/>
        <v>0.15502823260870713</v>
      </c>
      <c r="AC594" s="282">
        <f t="shared" si="1120"/>
        <v>-6.2703039207562483E-2</v>
      </c>
      <c r="AD594" s="282">
        <f t="shared" si="1120"/>
        <v>3.0709364259640068</v>
      </c>
      <c r="AE594" s="282">
        <f t="shared" si="1120"/>
        <v>0.47553816256800729</v>
      </c>
      <c r="AF594" s="282">
        <f t="shared" ref="AF594" ca="1" si="1121">+AF592-AF597</f>
        <v>-0.26800000000000002</v>
      </c>
      <c r="AG594" s="282">
        <f ca="1">AG595*AG592</f>
        <v>0</v>
      </c>
      <c r="AH594" s="282">
        <f ca="1">AH595*AH592</f>
        <v>0</v>
      </c>
    </row>
    <row r="595" spans="1:34" s="439" customFormat="1">
      <c r="A595" s="283"/>
      <c r="B595" s="306"/>
      <c r="C595" s="335" t="s">
        <v>579</v>
      </c>
      <c r="D595" s="492"/>
      <c r="E595" s="541">
        <v>0</v>
      </c>
      <c r="F595" s="541">
        <v>0</v>
      </c>
      <c r="G595" s="454">
        <f t="shared" ref="G595:R595" si="1122">G594/G592</f>
        <v>3.2928012348204623E-3</v>
      </c>
      <c r="H595" s="454">
        <f t="shared" si="1122"/>
        <v>5.9127852587867189E-3</v>
      </c>
      <c r="I595" s="454">
        <f t="shared" si="1122"/>
        <v>1.2303035525671878E-3</v>
      </c>
      <c r="J595" s="454">
        <f t="shared" si="1122"/>
        <v>-1.0669677686896853E-2</v>
      </c>
      <c r="K595" s="454">
        <f t="shared" si="1122"/>
        <v>1.0371685280809373E-2</v>
      </c>
      <c r="L595" s="454">
        <f t="shared" si="1122"/>
        <v>-4.9295594328597247E-3</v>
      </c>
      <c r="M595" s="454">
        <f t="shared" si="1122"/>
        <v>-6.9792379648044118E-3</v>
      </c>
      <c r="N595" s="454">
        <f t="shared" si="1122"/>
        <v>4.6276636862117249E-2</v>
      </c>
      <c r="O595" s="454">
        <f t="shared" si="1122"/>
        <v>-2.4079478267846635E-2</v>
      </c>
      <c r="P595" s="541">
        <v>0</v>
      </c>
      <c r="Q595" s="454">
        <f t="shared" si="1122"/>
        <v>2.346244650482399E-2</v>
      </c>
      <c r="R595" s="454">
        <f t="shared" si="1122"/>
        <v>2.522808000634481E-2</v>
      </c>
      <c r="S595" s="454">
        <f t="shared" ref="S595:T595" si="1123">S594/S592</f>
        <v>-2.1747922730713234E-3</v>
      </c>
      <c r="T595" s="454">
        <f t="shared" si="1123"/>
        <v>1.4152561022624117E-2</v>
      </c>
      <c r="U595" s="454">
        <f t="shared" ref="U595" si="1124">U594/U592</f>
        <v>4.0269207296481625E-2</v>
      </c>
      <c r="V595" s="821">
        <v>0</v>
      </c>
      <c r="W595" s="821">
        <v>0</v>
      </c>
      <c r="X595" s="821">
        <v>0</v>
      </c>
      <c r="Y595" s="283"/>
      <c r="Z595" s="541">
        <v>0</v>
      </c>
      <c r="AA595" s="541">
        <v>0</v>
      </c>
      <c r="AB595" s="454">
        <f>AB594/AB592</f>
        <v>4.9483894443730801E-3</v>
      </c>
      <c r="AC595" s="454">
        <f>AC594/AC592</f>
        <v>-5.8216688324534845E-4</v>
      </c>
      <c r="AD595" s="454">
        <f>AD594/AD592</f>
        <v>4.9556061521774525E-2</v>
      </c>
      <c r="AE595" s="454">
        <f>AE594/AE592</f>
        <v>1.0273123937809143E-2</v>
      </c>
      <c r="AF595" s="454"/>
      <c r="AG595" s="807">
        <v>0</v>
      </c>
      <c r="AH595" s="807">
        <v>0</v>
      </c>
    </row>
    <row r="596" spans="1:34">
      <c r="Y596" s="283"/>
      <c r="AB596" s="282"/>
      <c r="AC596" s="282"/>
      <c r="AD596" s="282"/>
      <c r="AE596" s="282"/>
    </row>
    <row r="597" spans="1:34" s="307" customFormat="1">
      <c r="A597" s="283"/>
      <c r="B597" s="507"/>
      <c r="C597" s="507" t="s">
        <v>453</v>
      </c>
      <c r="D597" s="508"/>
      <c r="E597" s="509">
        <v>0</v>
      </c>
      <c r="F597" s="509">
        <v>0</v>
      </c>
      <c r="G597" s="509">
        <v>11.494</v>
      </c>
      <c r="H597" s="510">
        <f>SUMIF($Z$6:$AG$6,H$6,$Z597:$AG597)-SUM(E597:G597)</f>
        <v>19.68</v>
      </c>
      <c r="I597" s="509">
        <v>17.643999999999998</v>
      </c>
      <c r="J597" s="509">
        <v>17.329999999999998</v>
      </c>
      <c r="K597" s="509">
        <v>29.611999999999998</v>
      </c>
      <c r="L597" s="510">
        <f>SUMIF($Z$6:$AG$6,L$6,$Z597:$AG597)-SUM(I597:K597)</f>
        <v>43.183000000000007</v>
      </c>
      <c r="M597" s="509">
        <v>24.163</v>
      </c>
      <c r="N597" s="509">
        <v>15.071</v>
      </c>
      <c r="O597" s="509">
        <v>22.704999999999998</v>
      </c>
      <c r="P597" s="510">
        <f>SUMIF($Z$6:$AG$6,P$6,$Z597:$AG597)-SUM(M597:O597)</f>
        <v>-3.0409999999999968</v>
      </c>
      <c r="Q597" s="509">
        <v>10.237</v>
      </c>
      <c r="R597" s="772">
        <v>8.4499999999999993</v>
      </c>
      <c r="S597" s="772">
        <v>22.905999999999999</v>
      </c>
      <c r="T597" s="510">
        <f>SUMIF($Z$6:$AG$6,T$6,$Z597:$AG597)-SUM(Q597:S597)</f>
        <v>4.2210000000000036</v>
      </c>
      <c r="U597" s="509">
        <v>0.26800000000000002</v>
      </c>
      <c r="V597" s="594">
        <f t="shared" ref="V597:X597" si="1125">+V592-V594</f>
        <v>0</v>
      </c>
      <c r="W597" s="594">
        <f t="shared" si="1125"/>
        <v>0</v>
      </c>
      <c r="X597" s="594">
        <f t="shared" si="1125"/>
        <v>0</v>
      </c>
      <c r="Y597" s="283"/>
      <c r="Z597" s="509">
        <v>0</v>
      </c>
      <c r="AA597" s="509">
        <v>0</v>
      </c>
      <c r="AB597" s="509">
        <v>31.173999999999999</v>
      </c>
      <c r="AC597" s="509">
        <v>107.76900000000001</v>
      </c>
      <c r="AD597" s="509">
        <v>58.898000000000003</v>
      </c>
      <c r="AE597" s="509">
        <v>45.814</v>
      </c>
      <c r="AF597" s="594">
        <f t="shared" ref="AF597" si="1126">SUMIF($E$5:$X$5,AF$5,$E597:$X597)</f>
        <v>0.26800000000000002</v>
      </c>
      <c r="AG597" s="594">
        <f ca="1">+AG592-AG594</f>
        <v>0</v>
      </c>
      <c r="AH597" s="594">
        <f ca="1">+AH592-AH594</f>
        <v>0</v>
      </c>
    </row>
    <row r="598" spans="1:34" s="307" customFormat="1">
      <c r="A598" s="283"/>
      <c r="D598" s="498"/>
      <c r="E598" s="315"/>
      <c r="F598" s="315"/>
      <c r="G598" s="315"/>
      <c r="H598" s="308"/>
      <c r="I598" s="315"/>
      <c r="J598" s="315"/>
      <c r="K598" s="315"/>
      <c r="L598" s="308"/>
      <c r="M598" s="315"/>
      <c r="N598" s="315"/>
      <c r="O598" s="315"/>
      <c r="P598" s="308"/>
      <c r="Q598" s="315"/>
      <c r="R598" s="512"/>
      <c r="S598" s="512"/>
      <c r="T598" s="512"/>
      <c r="U598" s="512"/>
      <c r="V598" s="512"/>
      <c r="W598" s="512"/>
      <c r="X598" s="512"/>
      <c r="Y598" s="283"/>
      <c r="Z598" s="315"/>
      <c r="AA598" s="315"/>
      <c r="AB598" s="315"/>
      <c r="AC598" s="315"/>
      <c r="AD598" s="315"/>
      <c r="AE598" s="308"/>
      <c r="AF598" s="512"/>
      <c r="AG598" s="512"/>
      <c r="AH598" s="512"/>
    </row>
    <row r="599" spans="1:34" s="281" customFormat="1">
      <c r="A599" s="283"/>
      <c r="B599" s="518"/>
      <c r="C599" s="518" t="s">
        <v>311</v>
      </c>
      <c r="D599" s="519"/>
      <c r="E599" s="520">
        <v>0</v>
      </c>
      <c r="F599" s="520">
        <v>0</v>
      </c>
      <c r="G599" s="520">
        <v>10.132</v>
      </c>
      <c r="H599" s="521">
        <v>21.372</v>
      </c>
      <c r="I599" s="520">
        <v>23.114000000000001</v>
      </c>
      <c r="J599" s="520">
        <v>19.722999999999999</v>
      </c>
      <c r="K599" s="520">
        <v>17.260999999999999</v>
      </c>
      <c r="L599" s="521">
        <f>SUMIF($Z$6:$AG$6,L$6,$Z599:$AG599)-SUM(I599:K599)</f>
        <v>26.213999999999999</v>
      </c>
      <c r="M599" s="520">
        <v>7.8490000000000002</v>
      </c>
      <c r="N599" s="520">
        <v>7.1920000000000002</v>
      </c>
      <c r="O599" s="520">
        <v>6.5819999999999999</v>
      </c>
      <c r="P599" s="521">
        <f>SUMIF($Z$6:$AG$6,P$6,$Z599:$AG599)-SUM(M599:O599)</f>
        <v>0.33299999999999841</v>
      </c>
      <c r="Q599" s="520">
        <v>4.8220000000000001</v>
      </c>
      <c r="R599" s="520">
        <v>12.394</v>
      </c>
      <c r="S599" s="520">
        <v>15.249000000000001</v>
      </c>
      <c r="T599" s="521">
        <f>SUMIF($Z$6:$AG$6,T$6,$Z599:$AG599)-SUM(Q599:S599)</f>
        <v>1.7929999999999993</v>
      </c>
      <c r="U599" s="521">
        <f>$AF599*Q599/SUM($Q599:$T599)</f>
        <v>0</v>
      </c>
      <c r="V599" s="521">
        <f t="shared" ref="V599" si="1127">$AF599*R599/SUM($Q599:$T599)</f>
        <v>0</v>
      </c>
      <c r="W599" s="521">
        <f t="shared" ref="W599" si="1128">$AF599*S599/SUM($Q599:$T599)</f>
        <v>0</v>
      </c>
      <c r="X599" s="521">
        <f t="shared" ref="X599" si="1129">$AF599*T599/SUM($Q599:$T599)</f>
        <v>0</v>
      </c>
      <c r="Y599" s="283"/>
      <c r="Z599" s="520">
        <v>0</v>
      </c>
      <c r="AA599" s="520">
        <v>0</v>
      </c>
      <c r="AB599" s="520">
        <f>SUMIF($E$5:$T$5,AB$5,$E599:$T599)</f>
        <v>31.503999999999998</v>
      </c>
      <c r="AC599" s="520">
        <v>86.311999999999998</v>
      </c>
      <c r="AD599" s="520">
        <v>21.956</v>
      </c>
      <c r="AE599" s="520">
        <v>34.258000000000003</v>
      </c>
      <c r="AF599" s="377">
        <v>0</v>
      </c>
      <c r="AG599" s="539">
        <f>+AF599</f>
        <v>0</v>
      </c>
      <c r="AH599" s="539">
        <f>+AG599</f>
        <v>0</v>
      </c>
    </row>
    <row r="600" spans="1:34" s="281" customFormat="1">
      <c r="A600" s="283"/>
      <c r="B600" s="518"/>
      <c r="C600" s="518" t="s">
        <v>312</v>
      </c>
      <c r="D600" s="519"/>
      <c r="E600" s="520">
        <v>0</v>
      </c>
      <c r="F600" s="520">
        <v>0</v>
      </c>
      <c r="G600" s="520">
        <v>9.1869999999999994</v>
      </c>
      <c r="H600" s="521">
        <v>6.3140000000000001</v>
      </c>
      <c r="I600" s="520">
        <v>8.3330000000000002</v>
      </c>
      <c r="J600" s="520">
        <v>17.795999999999999</v>
      </c>
      <c r="K600" s="520">
        <v>19.05</v>
      </c>
      <c r="L600" s="521">
        <f>SUMIF($Z$6:$AG$6,L$6,$Z600:$AG600)-SUM(I600:K600)</f>
        <v>21.844999999999999</v>
      </c>
      <c r="M600" s="520">
        <v>9.0649999999999995</v>
      </c>
      <c r="N600" s="520">
        <v>6.3650000000000002</v>
      </c>
      <c r="O600" s="520">
        <v>7.2949999999999999</v>
      </c>
      <c r="P600" s="521">
        <f>SUMIF($Z$6:$AG$6,P$6,$Z600:$AG600)-SUM(M600:O600)</f>
        <v>0.11999999999999744</v>
      </c>
      <c r="Q600" s="520">
        <v>2.633</v>
      </c>
      <c r="R600" s="520">
        <v>2.9280000000000008</v>
      </c>
      <c r="S600" s="520">
        <v>6.1349999999999998</v>
      </c>
      <c r="T600" s="521">
        <f>SUMIF($Z$6:$AG$6,T$6,$Z600:$AG600)-SUM(Q600:S600)</f>
        <v>2.9909999999999979</v>
      </c>
      <c r="U600" s="521">
        <f>$AF600*Q600/SUM($Q600:$T600)</f>
        <v>0</v>
      </c>
      <c r="V600" s="521">
        <f t="shared" ref="V600" si="1130">$AF600*R600/SUM($Q600:$T600)</f>
        <v>0</v>
      </c>
      <c r="W600" s="521">
        <f t="shared" ref="W600" si="1131">$AF600*S600/SUM($Q600:$T600)</f>
        <v>0</v>
      </c>
      <c r="X600" s="521">
        <f t="shared" ref="X600" si="1132">$AF600*T600/SUM($Q600:$T600)</f>
        <v>0</v>
      </c>
      <c r="Y600" s="283"/>
      <c r="Z600" s="520">
        <v>0</v>
      </c>
      <c r="AA600" s="520">
        <v>0</v>
      </c>
      <c r="AB600" s="520">
        <f>SUMIF($E$5:$T$5,AB$5,$E600:$T600)</f>
        <v>15.500999999999999</v>
      </c>
      <c r="AC600" s="520">
        <v>67.024000000000001</v>
      </c>
      <c r="AD600" s="520">
        <v>22.844999999999999</v>
      </c>
      <c r="AE600" s="520">
        <v>14.686999999999999</v>
      </c>
      <c r="AF600" s="377">
        <v>0</v>
      </c>
      <c r="AG600" s="539">
        <f>+AF600</f>
        <v>0</v>
      </c>
      <c r="AH600" s="539">
        <f>+AG600</f>
        <v>0</v>
      </c>
    </row>
    <row r="601" spans="1:34" s="281" customFormat="1">
      <c r="A601" s="283"/>
      <c r="B601" s="518"/>
      <c r="C601" s="522" t="s">
        <v>161</v>
      </c>
      <c r="D601" s="519"/>
      <c r="E601" s="523">
        <f>SUM(E597:E600)</f>
        <v>0</v>
      </c>
      <c r="F601" s="523">
        <f>SUM(F597:F600)</f>
        <v>0</v>
      </c>
      <c r="G601" s="523">
        <f t="shared" ref="G601:S601" si="1133">G597-SUM(G599:G600)</f>
        <v>-7.8249999999999993</v>
      </c>
      <c r="H601" s="523">
        <f t="shared" si="1133"/>
        <v>-8.0060000000000002</v>
      </c>
      <c r="I601" s="523">
        <f t="shared" si="1133"/>
        <v>-13.803000000000004</v>
      </c>
      <c r="J601" s="523">
        <f t="shared" si="1133"/>
        <v>-20.189</v>
      </c>
      <c r="K601" s="523">
        <f t="shared" si="1133"/>
        <v>-6.6990000000000016</v>
      </c>
      <c r="L601" s="523">
        <f t="shared" si="1133"/>
        <v>-4.8759999999999906</v>
      </c>
      <c r="M601" s="523">
        <f t="shared" si="1133"/>
        <v>7.2489999999999988</v>
      </c>
      <c r="N601" s="523">
        <f t="shared" si="1133"/>
        <v>1.5139999999999993</v>
      </c>
      <c r="O601" s="523">
        <f t="shared" si="1133"/>
        <v>8.8279999999999994</v>
      </c>
      <c r="P601" s="523">
        <f t="shared" si="1133"/>
        <v>-3.4939999999999927</v>
      </c>
      <c r="Q601" s="523">
        <f t="shared" si="1133"/>
        <v>2.782</v>
      </c>
      <c r="R601" s="773">
        <f t="shared" ref="R601" si="1134">R597-SUM(R599:R600)</f>
        <v>-6.8720000000000017</v>
      </c>
      <c r="S601" s="523">
        <f t="shared" si="1133"/>
        <v>1.5219999999999985</v>
      </c>
      <c r="T601" s="523">
        <f t="shared" ref="T601" si="1135">T597-SUM(T599:T600)</f>
        <v>-0.56299999999999351</v>
      </c>
      <c r="U601" s="523">
        <f t="shared" ref="U601:X601" si="1136">U597-SUM(U599:U600)</f>
        <v>0.26800000000000002</v>
      </c>
      <c r="V601" s="523">
        <f t="shared" si="1136"/>
        <v>0</v>
      </c>
      <c r="W601" s="523">
        <f t="shared" si="1136"/>
        <v>0</v>
      </c>
      <c r="X601" s="523">
        <f t="shared" si="1136"/>
        <v>0</v>
      </c>
      <c r="Y601" s="283"/>
      <c r="Z601" s="523">
        <f t="shared" ref="Z601:AG601" si="1137">Z597-SUM(Z599:Z600)</f>
        <v>0</v>
      </c>
      <c r="AA601" s="523">
        <f t="shared" si="1137"/>
        <v>0</v>
      </c>
      <c r="AB601" s="523">
        <f t="shared" si="1137"/>
        <v>-15.830999999999996</v>
      </c>
      <c r="AC601" s="523">
        <f t="shared" si="1137"/>
        <v>-45.567000000000007</v>
      </c>
      <c r="AD601" s="523">
        <f t="shared" si="1137"/>
        <v>14.097000000000001</v>
      </c>
      <c r="AE601" s="523">
        <f t="shared" ref="AE601" si="1138">AE597-SUM(AE599:AE600)</f>
        <v>-3.1310000000000002</v>
      </c>
      <c r="AF601" s="523">
        <f t="shared" si="1137"/>
        <v>0.26800000000000002</v>
      </c>
      <c r="AG601" s="523">
        <f t="shared" ca="1" si="1137"/>
        <v>0</v>
      </c>
      <c r="AH601" s="523">
        <f t="shared" ref="AH601" ca="1" si="1139">AH597-SUM(AH599:AH600)</f>
        <v>0</v>
      </c>
    </row>
    <row r="602" spans="1:34" s="281" customFormat="1" ht="2.2000000000000002" customHeight="1">
      <c r="A602" s="283"/>
      <c r="B602" s="518"/>
      <c r="C602" s="522"/>
      <c r="D602" s="519"/>
      <c r="E602" s="506"/>
      <c r="F602" s="506"/>
      <c r="G602" s="506"/>
      <c r="H602" s="506"/>
      <c r="I602" s="506"/>
      <c r="J602" s="506"/>
      <c r="K602" s="506"/>
      <c r="L602" s="506"/>
      <c r="M602" s="506"/>
      <c r="N602" s="506"/>
      <c r="O602" s="506"/>
      <c r="P602" s="506"/>
      <c r="Q602" s="506"/>
      <c r="R602" s="506"/>
      <c r="S602" s="506"/>
      <c r="T602" s="506"/>
      <c r="U602" s="506"/>
      <c r="V602" s="506"/>
      <c r="W602" s="506"/>
      <c r="X602" s="506"/>
      <c r="Y602" s="283"/>
      <c r="Z602" s="506"/>
      <c r="AA602" s="506"/>
      <c r="AB602" s="506"/>
      <c r="AC602" s="506"/>
      <c r="AD602" s="506"/>
      <c r="AE602" s="506"/>
      <c r="AF602" s="506"/>
      <c r="AG602" s="506"/>
      <c r="AH602" s="506"/>
    </row>
    <row r="603" spans="1:34" s="306" customFormat="1">
      <c r="A603" s="283"/>
      <c r="B603" s="524"/>
      <c r="C603" s="525" t="s">
        <v>598</v>
      </c>
      <c r="D603" s="526"/>
      <c r="E603" s="527">
        <v>0</v>
      </c>
      <c r="F603" s="527">
        <v>0</v>
      </c>
      <c r="G603" s="527">
        <f t="shared" ref="G603:L603" si="1140">+G601/G597</f>
        <v>-0.68078997737950231</v>
      </c>
      <c r="H603" s="527">
        <f t="shared" si="1140"/>
        <v>-0.40680894308943089</v>
      </c>
      <c r="I603" s="527">
        <f t="shared" si="1140"/>
        <v>-0.78230559963727075</v>
      </c>
      <c r="J603" s="527">
        <f t="shared" si="1140"/>
        <v>-1.1649740334679748</v>
      </c>
      <c r="K603" s="527">
        <f t="shared" si="1140"/>
        <v>-0.22622585438335815</v>
      </c>
      <c r="L603" s="527">
        <f t="shared" si="1140"/>
        <v>-0.11291480443693096</v>
      </c>
      <c r="M603" s="527">
        <f t="shared" ref="M603:AE603" si="1141">+M601/M597</f>
        <v>0.30000413855895369</v>
      </c>
      <c r="N603" s="527">
        <f t="shared" si="1141"/>
        <v>0.10045783292415894</v>
      </c>
      <c r="O603" s="527">
        <f t="shared" si="1141"/>
        <v>0.38881303677604051</v>
      </c>
      <c r="P603" s="527">
        <f t="shared" si="1141"/>
        <v>1.1489641565274569</v>
      </c>
      <c r="Q603" s="527">
        <f t="shared" si="1141"/>
        <v>0.27175930448373548</v>
      </c>
      <c r="R603" s="527">
        <f t="shared" si="1141"/>
        <v>-0.81325443786982277</v>
      </c>
      <c r="S603" s="527">
        <f t="shared" si="1141"/>
        <v>6.644547280188591E-2</v>
      </c>
      <c r="T603" s="527">
        <f t="shared" ref="T603" si="1142">+T601/T597</f>
        <v>-0.13338071547026606</v>
      </c>
      <c r="U603" s="527"/>
      <c r="V603" s="527"/>
      <c r="W603" s="527"/>
      <c r="X603" s="527"/>
      <c r="Y603" s="283"/>
      <c r="Z603" s="527">
        <v>0</v>
      </c>
      <c r="AA603" s="527">
        <v>0</v>
      </c>
      <c r="AB603" s="527">
        <f t="shared" si="1141"/>
        <v>-0.50782703534997098</v>
      </c>
      <c r="AC603" s="527">
        <f t="shared" si="1141"/>
        <v>-0.42282103387801689</v>
      </c>
      <c r="AD603" s="527">
        <f t="shared" si="1141"/>
        <v>0.23934598797921833</v>
      </c>
      <c r="AE603" s="527">
        <f t="shared" si="1141"/>
        <v>-6.8341554983192915E-2</v>
      </c>
      <c r="AF603" s="809"/>
      <c r="AG603" s="809"/>
      <c r="AH603" s="809"/>
    </row>
    <row r="604" spans="1:34" s="281" customFormat="1">
      <c r="A604" s="283"/>
      <c r="B604" s="518"/>
      <c r="C604" s="522"/>
      <c r="D604" s="519"/>
      <c r="E604" s="506"/>
      <c r="F604" s="506"/>
      <c r="G604" s="506"/>
      <c r="H604" s="506"/>
      <c r="I604" s="506"/>
      <c r="J604" s="506"/>
      <c r="K604" s="506"/>
      <c r="L604" s="506"/>
      <c r="M604" s="506"/>
      <c r="N604" s="506"/>
      <c r="O604" s="506"/>
      <c r="P604" s="506"/>
      <c r="Q604" s="506"/>
      <c r="R604" s="506"/>
      <c r="S604" s="518"/>
      <c r="T604" s="506"/>
      <c r="U604" s="518"/>
      <c r="V604" s="518"/>
      <c r="W604" s="518"/>
      <c r="X604" s="518"/>
      <c r="Y604" s="283"/>
      <c r="Z604" s="506"/>
      <c r="AA604" s="506"/>
      <c r="AB604" s="506"/>
      <c r="AC604" s="506"/>
      <c r="AD604" s="506"/>
      <c r="AE604" s="518"/>
      <c r="AF604" s="518"/>
      <c r="AG604" s="518"/>
      <c r="AH604" s="518"/>
    </row>
    <row r="605" spans="1:34" s="281" customFormat="1">
      <c r="A605" s="283"/>
      <c r="B605" s="518"/>
      <c r="C605" s="528" t="s">
        <v>314</v>
      </c>
      <c r="D605" s="519"/>
      <c r="E605" s="529">
        <f>+E619</f>
        <v>0</v>
      </c>
      <c r="F605" s="529">
        <f t="shared" ref="F605:S605" si="1143">+F619</f>
        <v>0</v>
      </c>
      <c r="G605" s="529">
        <f t="shared" si="1143"/>
        <v>3.3220000000000001</v>
      </c>
      <c r="H605" s="529">
        <f t="shared" si="1143"/>
        <v>4.101</v>
      </c>
      <c r="I605" s="529">
        <f t="shared" si="1143"/>
        <v>0.11799999999999999</v>
      </c>
      <c r="J605" s="529">
        <f t="shared" si="1143"/>
        <v>0.69799999999999995</v>
      </c>
      <c r="K605" s="529">
        <f t="shared" si="1143"/>
        <v>1.232</v>
      </c>
      <c r="L605" s="529">
        <f t="shared" si="1143"/>
        <v>0.28499999999999998</v>
      </c>
      <c r="M605" s="529">
        <f t="shared" si="1143"/>
        <v>8.5000000000000006E-2</v>
      </c>
      <c r="N605" s="529">
        <f t="shared" si="1143"/>
        <v>0</v>
      </c>
      <c r="O605" s="529">
        <f t="shared" si="1143"/>
        <v>0</v>
      </c>
      <c r="P605" s="529">
        <f t="shared" si="1143"/>
        <v>0</v>
      </c>
      <c r="Q605" s="529">
        <f t="shared" si="1143"/>
        <v>0</v>
      </c>
      <c r="R605" s="529">
        <f t="shared" si="1143"/>
        <v>0</v>
      </c>
      <c r="S605" s="529">
        <f t="shared" si="1143"/>
        <v>0</v>
      </c>
      <c r="T605" s="529">
        <f t="shared" ref="T605:X605" si="1144">+T619</f>
        <v>0</v>
      </c>
      <c r="U605" s="529">
        <f t="shared" ref="U605" si="1145">+U619</f>
        <v>0</v>
      </c>
      <c r="V605" s="529">
        <f t="shared" si="1144"/>
        <v>0</v>
      </c>
      <c r="W605" s="529">
        <f t="shared" si="1144"/>
        <v>0</v>
      </c>
      <c r="X605" s="529">
        <f t="shared" si="1144"/>
        <v>0</v>
      </c>
      <c r="Y605" s="283"/>
      <c r="Z605" s="529">
        <f t="shared" ref="Z605:AE605" si="1146">+Z619</f>
        <v>0</v>
      </c>
      <c r="AA605" s="529">
        <f t="shared" si="1146"/>
        <v>0</v>
      </c>
      <c r="AB605" s="529">
        <f t="shared" si="1146"/>
        <v>7.423</v>
      </c>
      <c r="AC605" s="529">
        <f t="shared" si="1146"/>
        <v>2.3330000000000002</v>
      </c>
      <c r="AD605" s="529">
        <f t="shared" si="1146"/>
        <v>0</v>
      </c>
      <c r="AE605" s="529">
        <f t="shared" si="1146"/>
        <v>0</v>
      </c>
      <c r="AF605" s="529">
        <v>0</v>
      </c>
      <c r="AG605" s="529">
        <v>0</v>
      </c>
      <c r="AH605" s="529">
        <v>0</v>
      </c>
    </row>
    <row r="606" spans="1:34" s="281" customFormat="1">
      <c r="A606" s="283"/>
      <c r="B606" s="518"/>
      <c r="C606" s="528" t="s">
        <v>637</v>
      </c>
      <c r="D606" s="519"/>
      <c r="E606" s="529">
        <f>+E601-E607-E605</f>
        <v>0</v>
      </c>
      <c r="F606" s="529">
        <f t="shared" ref="F606:S606" si="1147">+F601-F607-F605</f>
        <v>0</v>
      </c>
      <c r="G606" s="529">
        <f t="shared" si="1147"/>
        <v>2.5940000000000003</v>
      </c>
      <c r="H606" s="529">
        <f t="shared" si="1147"/>
        <v>0.86699999999999999</v>
      </c>
      <c r="I606" s="529">
        <f t="shared" si="1147"/>
        <v>6.9999999999995288E-2</v>
      </c>
      <c r="J606" s="529">
        <f t="shared" si="1147"/>
        <v>0.58800000000000141</v>
      </c>
      <c r="K606" s="529">
        <f t="shared" si="1147"/>
        <v>0.41499999999999848</v>
      </c>
      <c r="L606" s="529">
        <f t="shared" si="1147"/>
        <v>0.25100000000000849</v>
      </c>
      <c r="M606" s="529">
        <f t="shared" si="1147"/>
        <v>4.2749999999999995</v>
      </c>
      <c r="N606" s="529">
        <f t="shared" si="1147"/>
        <v>3.7799999999999994</v>
      </c>
      <c r="O606" s="529">
        <f t="shared" si="1147"/>
        <v>3.3389999999999995</v>
      </c>
      <c r="P606" s="529">
        <f t="shared" si="1147"/>
        <v>9.2920000000000087</v>
      </c>
      <c r="Q606" s="529">
        <f t="shared" si="1147"/>
        <v>5.9220000000000006</v>
      </c>
      <c r="R606" s="529">
        <f t="shared" si="1147"/>
        <v>13.468999999999999</v>
      </c>
      <c r="S606" s="529">
        <f t="shared" si="1147"/>
        <v>13.598999999999998</v>
      </c>
      <c r="T606" s="529">
        <f t="shared" ref="T606:U606" si="1148">+T601-T607-T605</f>
        <v>9.9940000000000087</v>
      </c>
      <c r="U606" s="529">
        <f t="shared" si="1148"/>
        <v>12.499000000000001</v>
      </c>
      <c r="V606" s="529">
        <v>0</v>
      </c>
      <c r="W606" s="529">
        <v>0</v>
      </c>
      <c r="X606" s="529">
        <v>0</v>
      </c>
      <c r="Y606" s="283"/>
      <c r="Z606" s="529">
        <f t="shared" ref="Z606:AE606" si="1149">+Z601-Z607-Z605</f>
        <v>0</v>
      </c>
      <c r="AA606" s="529">
        <f t="shared" si="1149"/>
        <v>0</v>
      </c>
      <c r="AB606" s="529">
        <f t="shared" si="1149"/>
        <v>3.4610000000000039</v>
      </c>
      <c r="AC606" s="529">
        <f t="shared" si="1149"/>
        <v>1.3239999999999892</v>
      </c>
      <c r="AD606" s="529">
        <f t="shared" si="1149"/>
        <v>20.771000000000001</v>
      </c>
      <c r="AE606" s="529">
        <f t="shared" si="1149"/>
        <v>42.984000000000002</v>
      </c>
      <c r="AF606" s="529">
        <f>SUMIF($E$5:$X$5,AF$5,$E606:$X606)</f>
        <v>12.499000000000001</v>
      </c>
      <c r="AG606" s="529">
        <v>0</v>
      </c>
      <c r="AH606" s="529">
        <v>0</v>
      </c>
    </row>
    <row r="607" spans="1:34" s="307" customFormat="1">
      <c r="A607" s="283"/>
      <c r="B607" s="504"/>
      <c r="C607" s="522" t="s">
        <v>599</v>
      </c>
      <c r="D607" s="505"/>
      <c r="E607" s="530">
        <v>0</v>
      </c>
      <c r="F607" s="530">
        <v>0</v>
      </c>
      <c r="G607" s="530">
        <v>-13.741</v>
      </c>
      <c r="H607" s="531">
        <f>SUMIF($Z$6:$AG$6,H$6,$Z607:$AG607)-SUM(E607:G607)</f>
        <v>-12.974</v>
      </c>
      <c r="I607" s="530">
        <v>-13.991</v>
      </c>
      <c r="J607" s="530">
        <v>-21.475000000000001</v>
      </c>
      <c r="K607" s="530">
        <v>-8.3460000000000001</v>
      </c>
      <c r="L607" s="531">
        <f>SUMIF($Z$6:$AG$6,L$6,$Z607:$AG607)-SUM(I607:K607)</f>
        <v>-5.411999999999999</v>
      </c>
      <c r="M607" s="530">
        <v>2.8889999999999998</v>
      </c>
      <c r="N607" s="530">
        <v>-2.266</v>
      </c>
      <c r="O607" s="530">
        <v>5.4889999999999999</v>
      </c>
      <c r="P607" s="531">
        <f>SUMIF($Z$6:$AG$6,P$6,$Z607:$AG607)-SUM(M607:O607)</f>
        <v>-12.786000000000001</v>
      </c>
      <c r="Q607" s="530">
        <v>-3.14</v>
      </c>
      <c r="R607" s="774">
        <v>-20.341000000000001</v>
      </c>
      <c r="S607" s="774">
        <v>-12.077</v>
      </c>
      <c r="T607" s="531">
        <f>SUMIF($Z$6:$AG$6,T$6,$Z607:$AG607)-SUM(Q607:S607)</f>
        <v>-10.557000000000002</v>
      </c>
      <c r="U607" s="530">
        <v>-12.231</v>
      </c>
      <c r="V607" s="531">
        <f t="shared" ref="V607:X607" si="1150">+V601-SUM(V605:V606)</f>
        <v>0</v>
      </c>
      <c r="W607" s="531">
        <f t="shared" si="1150"/>
        <v>0</v>
      </c>
      <c r="X607" s="531">
        <f t="shared" si="1150"/>
        <v>0</v>
      </c>
      <c r="Y607" s="283"/>
      <c r="Z607" s="530">
        <v>0</v>
      </c>
      <c r="AA607" s="530">
        <v>0</v>
      </c>
      <c r="AB607" s="530">
        <v>-26.715</v>
      </c>
      <c r="AC607" s="530">
        <v>-49.223999999999997</v>
      </c>
      <c r="AD607" s="530">
        <v>-6.6740000000000004</v>
      </c>
      <c r="AE607" s="530">
        <v>-46.115000000000002</v>
      </c>
      <c r="AF607" s="531">
        <f>+AF601-SUM(AF605:AF606)</f>
        <v>-12.231</v>
      </c>
      <c r="AG607" s="531">
        <f ca="1">+AG601-SUM(AG605:AG606)</f>
        <v>0</v>
      </c>
      <c r="AH607" s="531">
        <f ca="1">+AH601-SUM(AH605:AH606)</f>
        <v>0</v>
      </c>
    </row>
    <row r="608" spans="1:34" s="281" customFormat="1" ht="2.2000000000000002" customHeight="1">
      <c r="A608" s="283"/>
      <c r="B608" s="518"/>
      <c r="C608" s="522"/>
      <c r="D608" s="519"/>
      <c r="E608" s="506"/>
      <c r="F608" s="506"/>
      <c r="G608" s="506"/>
      <c r="H608" s="506"/>
      <c r="I608" s="506"/>
      <c r="J608" s="506"/>
      <c r="K608" s="506"/>
      <c r="L608" s="506"/>
      <c r="M608" s="506"/>
      <c r="N608" s="506"/>
      <c r="O608" s="506"/>
      <c r="P608" s="506"/>
      <c r="Q608" s="506"/>
      <c r="R608" s="506"/>
      <c r="S608" s="506"/>
      <c r="T608" s="506"/>
      <c r="U608" s="506"/>
      <c r="V608" s="506"/>
      <c r="W608" s="506"/>
      <c r="X608" s="506"/>
      <c r="Y608" s="283"/>
      <c r="Z608" s="506"/>
      <c r="AA608" s="506"/>
      <c r="AB608" s="506"/>
      <c r="AC608" s="506"/>
      <c r="AD608" s="506"/>
      <c r="AE608" s="506"/>
      <c r="AF608" s="506"/>
      <c r="AG608" s="506"/>
      <c r="AH608" s="506"/>
    </row>
    <row r="609" spans="1:34" s="306" customFormat="1">
      <c r="A609" s="283"/>
      <c r="B609" s="524"/>
      <c r="C609" s="525" t="s">
        <v>598</v>
      </c>
      <c r="D609" s="526"/>
      <c r="E609" s="527">
        <v>0</v>
      </c>
      <c r="F609" s="527">
        <v>0</v>
      </c>
      <c r="G609" s="527">
        <f t="shared" ref="G609:AE609" si="1151">+G607/G597</f>
        <v>-1.1954933008526187</v>
      </c>
      <c r="H609" s="527">
        <f t="shared" si="1151"/>
        <v>-0.65924796747967485</v>
      </c>
      <c r="I609" s="527">
        <f t="shared" si="1151"/>
        <v>-0.79296077986851055</v>
      </c>
      <c r="J609" s="527">
        <f t="shared" si="1151"/>
        <v>-1.2391806116560879</v>
      </c>
      <c r="K609" s="527">
        <f t="shared" si="1151"/>
        <v>-0.2818451978927462</v>
      </c>
      <c r="L609" s="527">
        <f t="shared" si="1151"/>
        <v>-0.1253270963110483</v>
      </c>
      <c r="M609" s="527">
        <f t="shared" si="1151"/>
        <v>0.11956296817448163</v>
      </c>
      <c r="N609" s="527">
        <f t="shared" si="1151"/>
        <v>-0.15035498639771747</v>
      </c>
      <c r="O609" s="527">
        <f t="shared" si="1151"/>
        <v>0.24175291785950231</v>
      </c>
      <c r="P609" s="527">
        <f t="shared" si="1151"/>
        <v>4.2045379809273316</v>
      </c>
      <c r="Q609" s="527">
        <f t="shared" si="1151"/>
        <v>-0.30673048744749437</v>
      </c>
      <c r="R609" s="527">
        <f t="shared" si="1151"/>
        <v>-2.4072189349112429</v>
      </c>
      <c r="S609" s="527">
        <f>+S607/S597</f>
        <v>-0.52724177071509648</v>
      </c>
      <c r="T609" s="527">
        <f t="shared" ref="T609" si="1152">+T607/T597</f>
        <v>-2.5010660980810218</v>
      </c>
      <c r="U609" s="527"/>
      <c r="V609" s="527"/>
      <c r="W609" s="527"/>
      <c r="X609" s="527"/>
      <c r="Y609" s="283"/>
      <c r="Z609" s="527">
        <v>0</v>
      </c>
      <c r="AA609" s="527">
        <v>0</v>
      </c>
      <c r="AB609" s="527">
        <f t="shared" si="1151"/>
        <v>-0.85696413678065053</v>
      </c>
      <c r="AC609" s="527">
        <f t="shared" si="1151"/>
        <v>-0.4567547253848509</v>
      </c>
      <c r="AD609" s="527">
        <f t="shared" si="1151"/>
        <v>-0.11331454378756495</v>
      </c>
      <c r="AE609" s="527">
        <f t="shared" si="1151"/>
        <v>-1.0065700440913259</v>
      </c>
      <c r="AF609" s="527"/>
      <c r="AG609" s="527"/>
      <c r="AH609" s="527"/>
    </row>
    <row r="610" spans="1:34">
      <c r="Y610" s="283"/>
      <c r="AB610" s="282"/>
      <c r="AC610" s="282"/>
      <c r="AD610" s="282"/>
      <c r="AE610" s="282"/>
    </row>
    <row r="611" spans="1:34">
      <c r="C611" s="281" t="s">
        <v>311</v>
      </c>
      <c r="E611" s="282">
        <f>-E599</f>
        <v>0</v>
      </c>
      <c r="F611" s="282">
        <f>-F599</f>
        <v>0</v>
      </c>
      <c r="G611" s="282">
        <f>G599</f>
        <v>10.132</v>
      </c>
      <c r="H611" s="305">
        <v>21.372</v>
      </c>
      <c r="I611" s="282">
        <f t="shared" ref="I611:T611" si="1153">I599</f>
        <v>23.114000000000001</v>
      </c>
      <c r="J611" s="282">
        <f t="shared" si="1153"/>
        <v>19.722999999999999</v>
      </c>
      <c r="K611" s="282">
        <f t="shared" si="1153"/>
        <v>17.260999999999999</v>
      </c>
      <c r="L611" s="282">
        <f t="shared" si="1153"/>
        <v>26.213999999999999</v>
      </c>
      <c r="M611" s="282">
        <f t="shared" si="1153"/>
        <v>7.8490000000000002</v>
      </c>
      <c r="N611" s="282">
        <f t="shared" si="1153"/>
        <v>7.1920000000000002</v>
      </c>
      <c r="O611" s="282">
        <f t="shared" si="1153"/>
        <v>6.5819999999999999</v>
      </c>
      <c r="P611" s="282">
        <f t="shared" si="1153"/>
        <v>0.33299999999999841</v>
      </c>
      <c r="Q611" s="282">
        <f t="shared" si="1153"/>
        <v>4.8220000000000001</v>
      </c>
      <c r="R611" s="282">
        <f t="shared" si="1153"/>
        <v>12.394</v>
      </c>
      <c r="S611" s="282">
        <f t="shared" si="1153"/>
        <v>15.249000000000001</v>
      </c>
      <c r="T611" s="282">
        <f t="shared" si="1153"/>
        <v>1.7929999999999993</v>
      </c>
      <c r="U611" s="282">
        <f t="shared" ref="U611:X611" si="1154">U599</f>
        <v>0</v>
      </c>
      <c r="V611" s="282">
        <f t="shared" si="1154"/>
        <v>0</v>
      </c>
      <c r="W611" s="282">
        <f t="shared" si="1154"/>
        <v>0</v>
      </c>
      <c r="X611" s="282">
        <f t="shared" si="1154"/>
        <v>0</v>
      </c>
      <c r="Y611" s="283"/>
      <c r="Z611" s="282">
        <f t="shared" ref="Z611:AG611" si="1155">Z599</f>
        <v>0</v>
      </c>
      <c r="AA611" s="282">
        <f t="shared" si="1155"/>
        <v>0</v>
      </c>
      <c r="AB611" s="282">
        <f t="shared" si="1155"/>
        <v>31.503999999999998</v>
      </c>
      <c r="AC611" s="282">
        <f t="shared" si="1155"/>
        <v>86.311999999999998</v>
      </c>
      <c r="AD611" s="282">
        <f t="shared" si="1155"/>
        <v>21.956</v>
      </c>
      <c r="AE611" s="282">
        <f t="shared" si="1155"/>
        <v>34.258000000000003</v>
      </c>
      <c r="AF611" s="282">
        <f t="shared" si="1155"/>
        <v>0</v>
      </c>
      <c r="AG611" s="282">
        <f t="shared" si="1155"/>
        <v>0</v>
      </c>
      <c r="AH611" s="282">
        <f t="shared" ref="AH611" si="1156">AH599</f>
        <v>0</v>
      </c>
    </row>
    <row r="612" spans="1:34">
      <c r="C612" s="281" t="s">
        <v>427</v>
      </c>
      <c r="E612" s="305">
        <v>0</v>
      </c>
      <c r="F612" s="305">
        <v>0</v>
      </c>
      <c r="G612" s="305">
        <v>4.2000000000000003E-2</v>
      </c>
      <c r="H612" s="305">
        <v>4.8000000000000001E-2</v>
      </c>
      <c r="I612" s="305">
        <v>3.7999999999999999E-2</v>
      </c>
      <c r="J612" s="305">
        <v>3.5999999999999997E-2</v>
      </c>
      <c r="K612" s="305">
        <v>4.4999999999999998E-2</v>
      </c>
      <c r="L612" s="305">
        <v>3.9E-2</v>
      </c>
      <c r="M612" s="305">
        <v>2.5999999999999999E-2</v>
      </c>
      <c r="N612" s="305">
        <v>1.9E-2</v>
      </c>
      <c r="O612" s="305">
        <v>0</v>
      </c>
      <c r="P612" s="305">
        <v>0</v>
      </c>
      <c r="Q612" s="305">
        <v>1.0999999999999999E-2</v>
      </c>
      <c r="R612" s="305">
        <v>1.7190000000000001</v>
      </c>
      <c r="S612" s="305">
        <v>1E-3</v>
      </c>
      <c r="T612" s="305">
        <v>0</v>
      </c>
      <c r="U612" s="305">
        <v>0</v>
      </c>
      <c r="V612" s="282">
        <f t="shared" ref="V612:V615" si="1157">$AF612*R612/SUM($Q612:$T612)</f>
        <v>0</v>
      </c>
      <c r="W612" s="282">
        <f t="shared" ref="W612:W615" si="1158">$AF612*S612/SUM($Q612:$T612)</f>
        <v>0</v>
      </c>
      <c r="X612" s="282">
        <f t="shared" ref="X612:X615" si="1159">$AF612*T612/SUM($Q612:$T612)</f>
        <v>0</v>
      </c>
      <c r="Y612" s="283"/>
      <c r="Z612" s="305">
        <v>0</v>
      </c>
      <c r="AA612" s="305">
        <v>0</v>
      </c>
      <c r="AB612" s="282">
        <f>SUMIF($E$5:$T$5,AB$5,$E612:$T612)</f>
        <v>0.09</v>
      </c>
      <c r="AC612" s="282">
        <f>SUMIF($E$5:$T$5,AC$5,$E612:$T612)</f>
        <v>0.158</v>
      </c>
      <c r="AD612" s="282">
        <f>SUMIF($E$5:$T$5,AD$5,$E612:$T612)</f>
        <v>4.4999999999999998E-2</v>
      </c>
      <c r="AE612" s="282">
        <f>SUMIF($E$5:$T$5,AE$5,$E612:$T612)</f>
        <v>1.7309999999999999</v>
      </c>
      <c r="AF612" s="377">
        <v>0</v>
      </c>
      <c r="AG612" s="377">
        <v>0</v>
      </c>
      <c r="AH612" s="377">
        <v>0</v>
      </c>
    </row>
    <row r="613" spans="1:34">
      <c r="C613" s="281" t="s">
        <v>428</v>
      </c>
      <c r="E613" s="305">
        <v>0</v>
      </c>
      <c r="F613" s="305">
        <v>0</v>
      </c>
      <c r="G613" s="305">
        <v>7.3109999999999999</v>
      </c>
      <c r="H613" s="305">
        <v>4.7110000000000003</v>
      </c>
      <c r="I613" s="305">
        <v>-3.246</v>
      </c>
      <c r="J613" s="305">
        <v>-1.9690000000000001</v>
      </c>
      <c r="K613" s="305">
        <v>2.1179999999999999</v>
      </c>
      <c r="L613" s="305">
        <v>-5.8959999999999999</v>
      </c>
      <c r="M613" s="305">
        <v>5.28</v>
      </c>
      <c r="N613" s="305">
        <v>3.669</v>
      </c>
      <c r="O613" s="305">
        <v>6.92</v>
      </c>
      <c r="P613" s="305">
        <v>1.4999999999999999E-2</v>
      </c>
      <c r="Q613" s="305">
        <v>-1.0840000000000001</v>
      </c>
      <c r="R613" s="305">
        <v>12.583</v>
      </c>
      <c r="S613" s="305">
        <v>-12.388999999999999</v>
      </c>
      <c r="T613" s="305">
        <v>-0.95599999999999996</v>
      </c>
      <c r="U613" s="305">
        <v>0</v>
      </c>
      <c r="V613" s="282">
        <f t="shared" si="1157"/>
        <v>0</v>
      </c>
      <c r="W613" s="282">
        <f t="shared" si="1158"/>
        <v>0</v>
      </c>
      <c r="X613" s="282">
        <f t="shared" si="1159"/>
        <v>0</v>
      </c>
      <c r="Y613" s="283"/>
      <c r="Z613" s="305">
        <v>0</v>
      </c>
      <c r="AA613" s="305">
        <v>0</v>
      </c>
      <c r="AB613" s="305">
        <v>7.1379999999999999</v>
      </c>
      <c r="AC613" s="282">
        <f t="shared" ref="AC613:AD615" si="1160">SUMIF($E$5:$T$5,AC$5,$E613:$T613)</f>
        <v>-8.9930000000000003</v>
      </c>
      <c r="AD613" s="282">
        <f t="shared" si="1160"/>
        <v>15.884</v>
      </c>
      <c r="AE613" s="282">
        <f t="shared" ref="AE613:AE615" si="1161">SUMIF($E$5:$T$5,AE$5,$E613:$T613)</f>
        <v>-1.8459999999999988</v>
      </c>
      <c r="AF613" s="377">
        <v>0</v>
      </c>
      <c r="AG613" s="377">
        <v>0</v>
      </c>
      <c r="AH613" s="377">
        <v>0</v>
      </c>
    </row>
    <row r="614" spans="1:34">
      <c r="C614" s="281" t="s">
        <v>429</v>
      </c>
      <c r="E614" s="305">
        <v>0</v>
      </c>
      <c r="F614" s="305">
        <v>0</v>
      </c>
      <c r="G614" s="305">
        <v>0</v>
      </c>
      <c r="H614" s="305">
        <v>-0.95399999999999996</v>
      </c>
      <c r="I614" s="305">
        <v>-0.379</v>
      </c>
      <c r="J614" s="305">
        <v>-0.88500000000000001</v>
      </c>
      <c r="K614" s="305">
        <v>-0.377</v>
      </c>
      <c r="L614" s="305">
        <v>-0.378</v>
      </c>
      <c r="M614" s="305">
        <v>-0.32600000000000001</v>
      </c>
      <c r="N614" s="305">
        <v>-0.32800000000000001</v>
      </c>
      <c r="O614" s="305">
        <v>-0.32400000000000001</v>
      </c>
      <c r="P614" s="305">
        <v>0</v>
      </c>
      <c r="Q614" s="305">
        <v>-2.7E-2</v>
      </c>
      <c r="R614" s="305">
        <v>-0.218</v>
      </c>
      <c r="S614" s="305">
        <v>0</v>
      </c>
      <c r="T614" s="305">
        <v>1E-3</v>
      </c>
      <c r="U614" s="305">
        <v>0</v>
      </c>
      <c r="V614" s="282">
        <f t="shared" si="1157"/>
        <v>0</v>
      </c>
      <c r="W614" s="282">
        <f t="shared" si="1158"/>
        <v>0</v>
      </c>
      <c r="X614" s="282">
        <f t="shared" si="1159"/>
        <v>0</v>
      </c>
      <c r="Y614" s="283"/>
      <c r="Z614" s="305">
        <v>0</v>
      </c>
      <c r="AA614" s="305">
        <v>0</v>
      </c>
      <c r="AB614" s="282">
        <f>SUMIF($E$5:$T$5,AB$5,$E614:$T614)</f>
        <v>-0.95399999999999996</v>
      </c>
      <c r="AC614" s="282">
        <f t="shared" si="1160"/>
        <v>-2.0190000000000001</v>
      </c>
      <c r="AD614" s="282">
        <f t="shared" si="1160"/>
        <v>-0.97799999999999998</v>
      </c>
      <c r="AE614" s="282">
        <f t="shared" si="1161"/>
        <v>-0.24399999999999999</v>
      </c>
      <c r="AF614" s="377">
        <v>0</v>
      </c>
      <c r="AG614" s="377">
        <v>0</v>
      </c>
      <c r="AH614" s="377">
        <v>0</v>
      </c>
    </row>
    <row r="615" spans="1:34">
      <c r="C615" s="281" t="s">
        <v>443</v>
      </c>
      <c r="E615" s="305">
        <v>0</v>
      </c>
      <c r="F615" s="305">
        <v>0</v>
      </c>
      <c r="G615" s="305">
        <v>0</v>
      </c>
      <c r="H615" s="305">
        <v>0</v>
      </c>
      <c r="I615" s="305">
        <v>0</v>
      </c>
      <c r="J615" s="305">
        <v>0</v>
      </c>
      <c r="K615" s="305">
        <v>0</v>
      </c>
      <c r="L615" s="305">
        <v>0</v>
      </c>
      <c r="M615" s="305">
        <v>0</v>
      </c>
      <c r="N615" s="305">
        <v>0</v>
      </c>
      <c r="O615" s="305">
        <v>-13.178000000000001</v>
      </c>
      <c r="P615" s="305">
        <v>-0.34799999999999998</v>
      </c>
      <c r="Q615" s="305">
        <v>-0.115</v>
      </c>
      <c r="R615" s="305">
        <v>-4.9139999999999997</v>
      </c>
      <c r="S615" s="305">
        <v>0</v>
      </c>
      <c r="T615" s="305">
        <v>0</v>
      </c>
      <c r="U615" s="305">
        <v>0</v>
      </c>
      <c r="V615" s="282">
        <f t="shared" si="1157"/>
        <v>0</v>
      </c>
      <c r="W615" s="282">
        <f t="shared" si="1158"/>
        <v>0</v>
      </c>
      <c r="X615" s="282">
        <f t="shared" si="1159"/>
        <v>0</v>
      </c>
      <c r="Y615" s="283"/>
      <c r="Z615" s="305">
        <v>0</v>
      </c>
      <c r="AA615" s="305">
        <v>0</v>
      </c>
      <c r="AB615" s="282">
        <f>SUMIF($E$5:$T$5,AB$5,$E615:$T615)</f>
        <v>0</v>
      </c>
      <c r="AC615" s="282">
        <f t="shared" si="1160"/>
        <v>0</v>
      </c>
      <c r="AD615" s="282">
        <f t="shared" si="1160"/>
        <v>-13.526000000000002</v>
      </c>
      <c r="AE615" s="282">
        <f t="shared" si="1161"/>
        <v>-5.0289999999999999</v>
      </c>
      <c r="AF615" s="377">
        <v>0</v>
      </c>
      <c r="AG615" s="377">
        <v>0</v>
      </c>
      <c r="AH615" s="377">
        <v>0</v>
      </c>
    </row>
    <row r="616" spans="1:34">
      <c r="C616" s="320" t="s">
        <v>436</v>
      </c>
      <c r="E616" s="382">
        <f t="shared" ref="E616:T616" si="1162">SUM(E611:E615)</f>
        <v>0</v>
      </c>
      <c r="F616" s="382">
        <f t="shared" si="1162"/>
        <v>0</v>
      </c>
      <c r="G616" s="382">
        <f t="shared" si="1162"/>
        <v>17.484999999999999</v>
      </c>
      <c r="H616" s="382">
        <f t="shared" si="1162"/>
        <v>25.177</v>
      </c>
      <c r="I616" s="382">
        <f t="shared" si="1162"/>
        <v>19.527000000000001</v>
      </c>
      <c r="J616" s="382">
        <f t="shared" si="1162"/>
        <v>16.904999999999998</v>
      </c>
      <c r="K616" s="382">
        <f t="shared" si="1162"/>
        <v>19.047000000000001</v>
      </c>
      <c r="L616" s="382">
        <f t="shared" si="1162"/>
        <v>19.978999999999999</v>
      </c>
      <c r="M616" s="382">
        <f t="shared" si="1162"/>
        <v>12.829000000000001</v>
      </c>
      <c r="N616" s="382">
        <f t="shared" si="1162"/>
        <v>10.552000000000001</v>
      </c>
      <c r="O616" s="382">
        <f t="shared" si="1162"/>
        <v>0</v>
      </c>
      <c r="P616" s="382">
        <f t="shared" si="1162"/>
        <v>-1.5543122344752192E-15</v>
      </c>
      <c r="Q616" s="382">
        <f t="shared" si="1162"/>
        <v>3.6069999999999998</v>
      </c>
      <c r="R616" s="769">
        <f t="shared" si="1162"/>
        <v>21.564</v>
      </c>
      <c r="S616" s="769">
        <f t="shared" si="1162"/>
        <v>2.8610000000000007</v>
      </c>
      <c r="T616" s="769">
        <f t="shared" si="1162"/>
        <v>0.8379999999999993</v>
      </c>
      <c r="U616" s="769">
        <f t="shared" ref="U616:X616" si="1163">SUM(U611:U615)</f>
        <v>0</v>
      </c>
      <c r="V616" s="769">
        <f t="shared" si="1163"/>
        <v>0</v>
      </c>
      <c r="W616" s="769">
        <f t="shared" si="1163"/>
        <v>0</v>
      </c>
      <c r="X616" s="769">
        <f t="shared" si="1163"/>
        <v>0</v>
      </c>
      <c r="Y616" s="283"/>
      <c r="Z616" s="382">
        <f t="shared" ref="Z616:AG616" si="1164">SUM(Z611:Z615)</f>
        <v>0</v>
      </c>
      <c r="AA616" s="382">
        <f t="shared" si="1164"/>
        <v>0</v>
      </c>
      <c r="AB616" s="382">
        <f t="shared" si="1164"/>
        <v>37.777999999999999</v>
      </c>
      <c r="AC616" s="382">
        <f t="shared" si="1164"/>
        <v>75.457999999999998</v>
      </c>
      <c r="AD616" s="382">
        <f t="shared" si="1164"/>
        <v>23.381</v>
      </c>
      <c r="AE616" s="382">
        <f t="shared" ref="AE616" si="1165">SUM(AE611:AE615)</f>
        <v>28.870000000000008</v>
      </c>
      <c r="AF616" s="382">
        <f t="shared" si="1164"/>
        <v>0</v>
      </c>
      <c r="AG616" s="382">
        <f t="shared" si="1164"/>
        <v>0</v>
      </c>
      <c r="AH616" s="382">
        <f t="shared" ref="AH616" si="1166">SUM(AH611:AH615)</f>
        <v>0</v>
      </c>
    </row>
    <row r="617" spans="1:34">
      <c r="T617" s="384"/>
      <c r="Y617" s="283"/>
      <c r="AE617" s="384"/>
    </row>
    <row r="618" spans="1:34">
      <c r="C618" s="281" t="s">
        <v>429</v>
      </c>
      <c r="G618" s="305">
        <v>0</v>
      </c>
      <c r="H618" s="305">
        <v>0.56699999999999995</v>
      </c>
      <c r="I618" s="305">
        <v>0.378</v>
      </c>
      <c r="J618" s="305">
        <v>0.378</v>
      </c>
      <c r="K618" s="305">
        <v>0.378</v>
      </c>
      <c r="L618" s="305">
        <v>0.378</v>
      </c>
      <c r="M618" s="305">
        <v>0.32700000000000001</v>
      </c>
      <c r="N618" s="305">
        <v>0.32700000000000001</v>
      </c>
      <c r="O618" s="305">
        <v>0</v>
      </c>
      <c r="P618" s="305">
        <v>0</v>
      </c>
      <c r="Q618" s="305">
        <v>2.7E-2</v>
      </c>
      <c r="R618" s="305">
        <v>0.218</v>
      </c>
      <c r="S618" s="305">
        <v>0.32700000000000001</v>
      </c>
      <c r="T618" s="305">
        <v>0.32700000000000001</v>
      </c>
      <c r="U618" s="305">
        <v>0</v>
      </c>
      <c r="V618" s="282">
        <f t="shared" ref="V618:V620" si="1167">$AF618*R618/SUM($Q618:$T618)</f>
        <v>0</v>
      </c>
      <c r="W618" s="282">
        <f t="shared" ref="W618:W620" si="1168">$AF618*S618/SUM($Q618:$T618)</f>
        <v>0</v>
      </c>
      <c r="X618" s="282">
        <f t="shared" ref="X618:X620" si="1169">$AF618*T618/SUM($Q618:$T618)</f>
        <v>0</v>
      </c>
      <c r="Y618" s="283"/>
      <c r="AB618" s="282">
        <f>SUMIF($E$5:$T$5,AB$5,$E618:$T618)</f>
        <v>0.56699999999999995</v>
      </c>
      <c r="AC618" s="282">
        <f>SUMIF($E$5:$T$5,AC$5,$E618:$T618)</f>
        <v>1.512</v>
      </c>
      <c r="AD618" s="282">
        <f>SUMIF($E$5:$T$5,AD$5,$E618:$T618)</f>
        <v>0.65400000000000003</v>
      </c>
      <c r="AE618" s="282">
        <f>SUMIF($E$5:$T$5,AE$5,$E618:$T618)</f>
        <v>0.89900000000000002</v>
      </c>
      <c r="AF618" s="377">
        <v>0</v>
      </c>
      <c r="AG618" s="377">
        <v>0</v>
      </c>
      <c r="AH618" s="377">
        <v>0</v>
      </c>
    </row>
    <row r="619" spans="1:34">
      <c r="C619" s="281" t="s">
        <v>314</v>
      </c>
      <c r="E619" s="305">
        <v>0</v>
      </c>
      <c r="F619" s="305">
        <v>0</v>
      </c>
      <c r="G619" s="305">
        <v>3.3220000000000001</v>
      </c>
      <c r="H619" s="305">
        <v>4.101</v>
      </c>
      <c r="I619" s="305">
        <v>0.11799999999999999</v>
      </c>
      <c r="J619" s="305">
        <v>0.69799999999999995</v>
      </c>
      <c r="K619" s="305">
        <v>1.232</v>
      </c>
      <c r="L619" s="305">
        <v>0.28499999999999998</v>
      </c>
      <c r="M619" s="305">
        <v>8.5000000000000006E-2</v>
      </c>
      <c r="N619" s="305">
        <v>0</v>
      </c>
      <c r="O619" s="305">
        <v>0</v>
      </c>
      <c r="P619" s="305">
        <v>0</v>
      </c>
      <c r="Q619" s="305">
        <v>0</v>
      </c>
      <c r="R619" s="305">
        <v>0</v>
      </c>
      <c r="S619" s="305">
        <v>0</v>
      </c>
      <c r="T619" s="305">
        <v>0</v>
      </c>
      <c r="U619" s="305">
        <v>0</v>
      </c>
      <c r="V619" s="305">
        <v>0</v>
      </c>
      <c r="W619" s="305">
        <v>0</v>
      </c>
      <c r="X619" s="305">
        <v>0</v>
      </c>
      <c r="Y619" s="283"/>
      <c r="Z619" s="305">
        <v>0</v>
      </c>
      <c r="AA619" s="305">
        <v>0</v>
      </c>
      <c r="AB619" s="282">
        <f>SUMIF($E$5:$T$5,AB$5,$E619:$T619)</f>
        <v>7.423</v>
      </c>
      <c r="AC619" s="282">
        <f>SUMIF($E$5:$T$5,AC$5,$E619:$T619)</f>
        <v>2.3330000000000002</v>
      </c>
      <c r="AD619" s="305">
        <v>0</v>
      </c>
      <c r="AE619" s="282">
        <f t="shared" ref="AE619:AE621" si="1170">SUMIF($E$5:$T$5,AE$5,$E619:$T619)</f>
        <v>0</v>
      </c>
      <c r="AF619" s="377">
        <v>0</v>
      </c>
      <c r="AG619" s="377">
        <v>0</v>
      </c>
      <c r="AH619" s="377">
        <v>0</v>
      </c>
    </row>
    <row r="620" spans="1:34">
      <c r="C620" s="281" t="s">
        <v>430</v>
      </c>
      <c r="E620" s="305">
        <v>0</v>
      </c>
      <c r="F620" s="305">
        <v>0</v>
      </c>
      <c r="G620" s="305">
        <v>7.0609999999999999</v>
      </c>
      <c r="H620" s="305">
        <v>10.018000000000001</v>
      </c>
      <c r="I620" s="305">
        <v>12.707000000000001</v>
      </c>
      <c r="J620" s="305">
        <v>12.553000000000001</v>
      </c>
      <c r="K620" s="305">
        <v>2.3050000000000002</v>
      </c>
      <c r="L620" s="305">
        <v>0.94599999999999995</v>
      </c>
      <c r="M620" s="305">
        <v>0.82599999999999996</v>
      </c>
      <c r="N620" s="305">
        <v>0.77400000000000002</v>
      </c>
      <c r="O620" s="305">
        <v>0</v>
      </c>
      <c r="P620" s="305">
        <v>0</v>
      </c>
      <c r="Q620" s="305">
        <v>8.8999999999999996E-2</v>
      </c>
      <c r="R620" s="305">
        <v>4.3999999999999997E-2</v>
      </c>
      <c r="S620" s="305">
        <v>2.9000000000000001E-2</v>
      </c>
      <c r="T620" s="305">
        <v>0.316</v>
      </c>
      <c r="U620" s="305">
        <v>0</v>
      </c>
      <c r="V620" s="282">
        <f t="shared" si="1167"/>
        <v>0</v>
      </c>
      <c r="W620" s="282">
        <f t="shared" si="1168"/>
        <v>0</v>
      </c>
      <c r="X620" s="282">
        <f t="shared" si="1169"/>
        <v>0</v>
      </c>
      <c r="Y620" s="283"/>
      <c r="Z620" s="305">
        <v>0</v>
      </c>
      <c r="AA620" s="305">
        <v>0</v>
      </c>
      <c r="AB620" s="282">
        <f>SUMIF($E$5:$T$5,AB$5,$E620:$T620)</f>
        <v>17.079000000000001</v>
      </c>
      <c r="AC620" s="305">
        <v>24.652000000000001</v>
      </c>
      <c r="AD620" s="282">
        <f>SUMIF($E$5:$T$5,AD$5,$E620:$T620)</f>
        <v>1.6</v>
      </c>
      <c r="AE620" s="282">
        <f t="shared" si="1170"/>
        <v>0.47799999999999998</v>
      </c>
      <c r="AF620" s="377">
        <v>0</v>
      </c>
      <c r="AG620" s="377">
        <v>0</v>
      </c>
      <c r="AH620" s="377">
        <v>0</v>
      </c>
    </row>
    <row r="621" spans="1:34">
      <c r="C621" s="281" t="s">
        <v>313</v>
      </c>
      <c r="E621" s="305">
        <v>0</v>
      </c>
      <c r="F621" s="305">
        <v>0</v>
      </c>
      <c r="G621" s="305">
        <v>0</v>
      </c>
      <c r="H621" s="305">
        <v>0</v>
      </c>
      <c r="I621" s="305">
        <v>0</v>
      </c>
      <c r="J621" s="305">
        <v>0</v>
      </c>
      <c r="K621" s="305">
        <v>0</v>
      </c>
      <c r="L621" s="305">
        <v>0</v>
      </c>
      <c r="M621" s="305">
        <v>0</v>
      </c>
      <c r="N621" s="305">
        <v>0</v>
      </c>
      <c r="O621" s="305">
        <v>0</v>
      </c>
      <c r="P621" s="305">
        <v>0</v>
      </c>
      <c r="Q621" s="305">
        <v>0</v>
      </c>
      <c r="R621" s="305">
        <v>0</v>
      </c>
      <c r="S621" s="305">
        <v>0</v>
      </c>
      <c r="T621" s="305">
        <v>0</v>
      </c>
      <c r="U621" s="305">
        <v>0</v>
      </c>
      <c r="V621" s="305">
        <v>0</v>
      </c>
      <c r="W621" s="305">
        <v>0</v>
      </c>
      <c r="X621" s="305">
        <v>0</v>
      </c>
      <c r="Y621" s="283"/>
      <c r="Z621" s="305">
        <v>0</v>
      </c>
      <c r="AA621" s="305">
        <v>0</v>
      </c>
      <c r="AB621" s="282">
        <f>SUMIF($E$5:$T$5,AB$5,$E621:$T621)</f>
        <v>0</v>
      </c>
      <c r="AC621" s="282">
        <f>SUMIF($E$5:$T$5,AC$5,$E621:$T621)</f>
        <v>0</v>
      </c>
      <c r="AD621" s="282">
        <f>SUMIF($E$5:$T$5,AD$5,$E621:$T621)</f>
        <v>0</v>
      </c>
      <c r="AE621" s="282">
        <f t="shared" si="1170"/>
        <v>0</v>
      </c>
      <c r="AF621" s="377">
        <v>0</v>
      </c>
      <c r="AG621" s="377">
        <v>0</v>
      </c>
      <c r="AH621" s="377">
        <v>0</v>
      </c>
    </row>
    <row r="622" spans="1:34">
      <c r="C622" s="320" t="s">
        <v>437</v>
      </c>
      <c r="E622" s="382">
        <f t="shared" ref="E622:T622" si="1171">E616+SUM(E618:E621)</f>
        <v>0</v>
      </c>
      <c r="F622" s="382">
        <f t="shared" si="1171"/>
        <v>0</v>
      </c>
      <c r="G622" s="382">
        <f t="shared" si="1171"/>
        <v>27.867999999999999</v>
      </c>
      <c r="H622" s="382">
        <f t="shared" si="1171"/>
        <v>39.863</v>
      </c>
      <c r="I622" s="382">
        <f t="shared" si="1171"/>
        <v>32.730000000000004</v>
      </c>
      <c r="J622" s="382">
        <f t="shared" si="1171"/>
        <v>30.533999999999999</v>
      </c>
      <c r="K622" s="382">
        <f t="shared" si="1171"/>
        <v>22.962</v>
      </c>
      <c r="L622" s="382">
        <f t="shared" si="1171"/>
        <v>21.588000000000001</v>
      </c>
      <c r="M622" s="382">
        <f t="shared" si="1171"/>
        <v>14.067</v>
      </c>
      <c r="N622" s="382">
        <f t="shared" si="1171"/>
        <v>11.653000000000002</v>
      </c>
      <c r="O622" s="382">
        <f t="shared" si="1171"/>
        <v>0</v>
      </c>
      <c r="P622" s="382">
        <f t="shared" si="1171"/>
        <v>-1.5543122344752192E-15</v>
      </c>
      <c r="Q622" s="382">
        <f t="shared" si="1171"/>
        <v>3.7229999999999999</v>
      </c>
      <c r="R622" s="769">
        <f t="shared" si="1171"/>
        <v>21.826000000000001</v>
      </c>
      <c r="S622" s="769">
        <f t="shared" si="1171"/>
        <v>3.2170000000000005</v>
      </c>
      <c r="T622" s="769">
        <f t="shared" si="1171"/>
        <v>1.4809999999999994</v>
      </c>
      <c r="U622" s="769">
        <f t="shared" ref="U622:X622" si="1172">U616+SUM(U618:U621)</f>
        <v>0</v>
      </c>
      <c r="V622" s="769">
        <f t="shared" si="1172"/>
        <v>0</v>
      </c>
      <c r="W622" s="769">
        <f t="shared" si="1172"/>
        <v>0</v>
      </c>
      <c r="X622" s="769">
        <f t="shared" si="1172"/>
        <v>0</v>
      </c>
      <c r="Y622" s="283"/>
      <c r="Z622" s="382">
        <f t="shared" ref="Z622:AD622" si="1173">Z616+SUM(Z618:Z621)</f>
        <v>0</v>
      </c>
      <c r="AA622" s="382">
        <f t="shared" si="1173"/>
        <v>0</v>
      </c>
      <c r="AB622" s="382">
        <f t="shared" si="1173"/>
        <v>62.847000000000001</v>
      </c>
      <c r="AC622" s="382">
        <f t="shared" si="1173"/>
        <v>103.955</v>
      </c>
      <c r="AD622" s="382">
        <f t="shared" si="1173"/>
        <v>25.635000000000002</v>
      </c>
      <c r="AE622" s="382">
        <f t="shared" ref="AE622" si="1174">AE616+SUM(AE618:AE621)</f>
        <v>30.247000000000007</v>
      </c>
      <c r="AF622" s="382">
        <f>SUM(AF616:AF621)</f>
        <v>0</v>
      </c>
      <c r="AG622" s="382">
        <f>SUM(AG616:AG621)</f>
        <v>0</v>
      </c>
      <c r="AH622" s="382">
        <f>SUM(AH616:AH621)</f>
        <v>0</v>
      </c>
    </row>
    <row r="623" spans="1:34">
      <c r="B623" s="283"/>
      <c r="C623" s="316"/>
      <c r="D623" s="486"/>
      <c r="E623" s="308">
        <f t="shared" ref="E623:P623" si="1175">+E612+E618+E619-E594</f>
        <v>0</v>
      </c>
      <c r="F623" s="308">
        <f t="shared" si="1175"/>
        <v>0</v>
      </c>
      <c r="G623" s="308">
        <f t="shared" si="1175"/>
        <v>3.3260275067342588</v>
      </c>
      <c r="H623" s="308">
        <f t="shared" si="1175"/>
        <v>4.5989442606570341</v>
      </c>
      <c r="I623" s="308">
        <f t="shared" si="1175"/>
        <v>0.51226578443588378</v>
      </c>
      <c r="J623" s="308">
        <f t="shared" si="1175"/>
        <v>1.2949534598654553</v>
      </c>
      <c r="K623" s="308">
        <f t="shared" si="1175"/>
        <v>1.3446548532744085</v>
      </c>
      <c r="L623" s="308">
        <f t="shared" si="1175"/>
        <v>0.91382894163180772</v>
      </c>
      <c r="M623" s="308">
        <f t="shared" si="1175"/>
        <v>0.60547051039940436</v>
      </c>
      <c r="N623" s="308">
        <f t="shared" si="1175"/>
        <v>-0.38527619717137901</v>
      </c>
      <c r="O623" s="308">
        <f t="shared" si="1175"/>
        <v>0.53386926080796115</v>
      </c>
      <c r="P623" s="308">
        <f t="shared" si="1175"/>
        <v>-3.0409999999999968</v>
      </c>
      <c r="Q623" s="308"/>
      <c r="Y623" s="283"/>
      <c r="AE623" s="384"/>
    </row>
    <row r="624" spans="1:34">
      <c r="C624" s="414" t="s">
        <v>431</v>
      </c>
      <c r="Y624" s="283"/>
      <c r="AE624" s="384"/>
    </row>
    <row r="625" spans="1:34">
      <c r="C625" s="281" t="s">
        <v>444</v>
      </c>
      <c r="D625" s="501"/>
      <c r="E625" s="305">
        <v>0</v>
      </c>
      <c r="F625" s="305">
        <v>0</v>
      </c>
      <c r="G625" s="305">
        <v>1.232</v>
      </c>
      <c r="H625" s="305">
        <v>1.28</v>
      </c>
      <c r="I625" s="305">
        <v>1.0569999999999999</v>
      </c>
      <c r="J625" s="305">
        <v>0.73899999999999999</v>
      </c>
      <c r="K625" s="305">
        <v>0.755</v>
      </c>
      <c r="L625" s="305">
        <v>0.371</v>
      </c>
      <c r="M625" s="305">
        <v>0.35299999999999998</v>
      </c>
      <c r="N625" s="305">
        <v>0.28199999999999997</v>
      </c>
      <c r="O625" s="305">
        <v>0</v>
      </c>
      <c r="P625" s="305">
        <v>0</v>
      </c>
      <c r="Q625" s="305">
        <v>0</v>
      </c>
      <c r="R625" s="305">
        <v>1.103</v>
      </c>
      <c r="S625" s="305">
        <v>6.0000000000000001E-3</v>
      </c>
      <c r="T625" s="305">
        <v>2.1000000000000001E-2</v>
      </c>
      <c r="U625" s="305">
        <v>0</v>
      </c>
      <c r="V625" s="282">
        <f t="shared" ref="V625" si="1176">$AF625*R625/SUM($Q625:$T625)</f>
        <v>0</v>
      </c>
      <c r="W625" s="282">
        <f t="shared" ref="W625" si="1177">$AF625*S625/SUM($Q625:$T625)</f>
        <v>0</v>
      </c>
      <c r="X625" s="282">
        <f t="shared" ref="X625" si="1178">$AF625*T625/SUM($Q625:$T625)</f>
        <v>0</v>
      </c>
      <c r="Y625" s="283"/>
      <c r="Z625" s="305">
        <v>0</v>
      </c>
      <c r="AA625" s="305">
        <v>0</v>
      </c>
      <c r="AB625" s="282">
        <f t="shared" ref="AB625:AE628" si="1179">SUMIF($E$5:$T$5,AB$5,$E625:$T625)</f>
        <v>2.512</v>
      </c>
      <c r="AC625" s="282">
        <f t="shared" si="1179"/>
        <v>2.9219999999999997</v>
      </c>
      <c r="AD625" s="282">
        <f t="shared" si="1179"/>
        <v>0.63500000000000001</v>
      </c>
      <c r="AE625" s="422">
        <f t="shared" si="1179"/>
        <v>1.1299999999999999</v>
      </c>
      <c r="AF625" s="377">
        <v>0</v>
      </c>
      <c r="AG625" s="377">
        <v>0</v>
      </c>
      <c r="AH625" s="377">
        <v>0</v>
      </c>
    </row>
    <row r="626" spans="1:34">
      <c r="C626" s="281" t="s">
        <v>440</v>
      </c>
      <c r="D626" s="501"/>
      <c r="E626" s="305">
        <v>0</v>
      </c>
      <c r="F626" s="305">
        <v>0</v>
      </c>
      <c r="G626" s="305">
        <v>0</v>
      </c>
      <c r="H626" s="305">
        <v>0</v>
      </c>
      <c r="I626" s="305">
        <v>0</v>
      </c>
      <c r="J626" s="305">
        <v>0</v>
      </c>
      <c r="K626" s="305">
        <v>0</v>
      </c>
      <c r="L626" s="305">
        <v>0</v>
      </c>
      <c r="M626" s="305">
        <v>0</v>
      </c>
      <c r="N626" s="305">
        <v>0</v>
      </c>
      <c r="O626" s="305">
        <v>0</v>
      </c>
      <c r="P626" s="305">
        <v>0</v>
      </c>
      <c r="Q626" s="305">
        <v>0</v>
      </c>
      <c r="R626" s="305">
        <v>0</v>
      </c>
      <c r="S626" s="305">
        <v>0</v>
      </c>
      <c r="T626" s="305">
        <v>0</v>
      </c>
      <c r="U626" s="305">
        <v>0</v>
      </c>
      <c r="V626" s="305">
        <v>0</v>
      </c>
      <c r="W626" s="305">
        <v>0</v>
      </c>
      <c r="X626" s="305">
        <v>0</v>
      </c>
      <c r="Y626" s="283"/>
      <c r="Z626" s="305">
        <v>0</v>
      </c>
      <c r="AA626" s="305">
        <v>0</v>
      </c>
      <c r="AB626" s="282">
        <f t="shared" si="1179"/>
        <v>0</v>
      </c>
      <c r="AC626" s="282">
        <f t="shared" si="1179"/>
        <v>0</v>
      </c>
      <c r="AD626" s="282">
        <f t="shared" si="1179"/>
        <v>0</v>
      </c>
      <c r="AE626" s="422">
        <f t="shared" si="1179"/>
        <v>0</v>
      </c>
      <c r="AF626" s="377">
        <v>0</v>
      </c>
      <c r="AG626" s="377">
        <v>0</v>
      </c>
      <c r="AH626" s="377">
        <v>0</v>
      </c>
    </row>
    <row r="627" spans="1:34">
      <c r="C627" s="281" t="s">
        <v>439</v>
      </c>
      <c r="D627" s="501"/>
      <c r="E627" s="305">
        <v>0</v>
      </c>
      <c r="F627" s="305">
        <v>0</v>
      </c>
      <c r="G627" s="305">
        <v>0</v>
      </c>
      <c r="H627" s="305">
        <v>0</v>
      </c>
      <c r="I627" s="305">
        <v>0</v>
      </c>
      <c r="J627" s="305">
        <v>0</v>
      </c>
      <c r="K627" s="305">
        <v>0</v>
      </c>
      <c r="L627" s="305">
        <v>0</v>
      </c>
      <c r="M627" s="305">
        <v>0</v>
      </c>
      <c r="N627" s="305">
        <v>0</v>
      </c>
      <c r="O627" s="305">
        <v>0</v>
      </c>
      <c r="P627" s="305">
        <v>0</v>
      </c>
      <c r="Q627" s="305">
        <v>0</v>
      </c>
      <c r="R627" s="305">
        <v>0</v>
      </c>
      <c r="S627" s="305">
        <v>0</v>
      </c>
      <c r="T627" s="305">
        <v>0</v>
      </c>
      <c r="U627" s="305">
        <v>0</v>
      </c>
      <c r="V627" s="305">
        <v>0</v>
      </c>
      <c r="W627" s="305">
        <v>0</v>
      </c>
      <c r="X627" s="305">
        <v>0</v>
      </c>
      <c r="Y627" s="283"/>
      <c r="Z627" s="305">
        <v>0</v>
      </c>
      <c r="AA627" s="305">
        <v>0</v>
      </c>
      <c r="AB627" s="282">
        <f t="shared" si="1179"/>
        <v>0</v>
      </c>
      <c r="AC627" s="282">
        <f t="shared" si="1179"/>
        <v>0</v>
      </c>
      <c r="AD627" s="282">
        <f t="shared" si="1179"/>
        <v>0</v>
      </c>
      <c r="AE627" s="422">
        <f t="shared" si="1179"/>
        <v>0</v>
      </c>
      <c r="AF627" s="377">
        <v>0</v>
      </c>
      <c r="AG627" s="377">
        <v>0</v>
      </c>
      <c r="AH627" s="377">
        <v>0</v>
      </c>
    </row>
    <row r="628" spans="1:34">
      <c r="C628" s="281" t="s">
        <v>441</v>
      </c>
      <c r="D628" s="501"/>
      <c r="E628" s="305">
        <v>0</v>
      </c>
      <c r="F628" s="305">
        <v>0</v>
      </c>
      <c r="G628" s="305">
        <v>0</v>
      </c>
      <c r="H628" s="305">
        <v>0</v>
      </c>
      <c r="I628" s="305">
        <v>0</v>
      </c>
      <c r="J628" s="305">
        <v>0</v>
      </c>
      <c r="K628" s="305">
        <v>0</v>
      </c>
      <c r="L628" s="305">
        <v>0</v>
      </c>
      <c r="M628" s="305">
        <v>0</v>
      </c>
      <c r="N628" s="305">
        <v>0</v>
      </c>
      <c r="O628" s="305">
        <v>0</v>
      </c>
      <c r="P628" s="305">
        <v>0</v>
      </c>
      <c r="Q628" s="305">
        <v>0</v>
      </c>
      <c r="R628" s="305">
        <v>0</v>
      </c>
      <c r="S628" s="305">
        <v>0</v>
      </c>
      <c r="T628" s="305">
        <v>0</v>
      </c>
      <c r="U628" s="305">
        <v>0</v>
      </c>
      <c r="V628" s="305">
        <v>0</v>
      </c>
      <c r="W628" s="305">
        <v>0</v>
      </c>
      <c r="X628" s="305">
        <v>0</v>
      </c>
      <c r="Y628" s="283"/>
      <c r="Z628" s="305">
        <v>0</v>
      </c>
      <c r="AA628" s="305">
        <v>0</v>
      </c>
      <c r="AB628" s="282">
        <f t="shared" si="1179"/>
        <v>0</v>
      </c>
      <c r="AC628" s="282">
        <f t="shared" si="1179"/>
        <v>0</v>
      </c>
      <c r="AD628" s="282">
        <f t="shared" si="1179"/>
        <v>0</v>
      </c>
      <c r="AE628" s="422">
        <f t="shared" si="1179"/>
        <v>0</v>
      </c>
      <c r="AF628" s="377">
        <v>0</v>
      </c>
      <c r="AG628" s="377">
        <v>0</v>
      </c>
      <c r="AH628" s="377">
        <v>0</v>
      </c>
    </row>
    <row r="629" spans="1:34">
      <c r="C629" s="320" t="s">
        <v>466</v>
      </c>
      <c r="E629" s="382">
        <f>SUM(E625:E628)</f>
        <v>0</v>
      </c>
      <c r="F629" s="382">
        <f t="shared" ref="F629:S629" si="1180">SUM(F625:F628)</f>
        <v>0</v>
      </c>
      <c r="G629" s="382">
        <f t="shared" si="1180"/>
        <v>1.232</v>
      </c>
      <c r="H629" s="382">
        <f t="shared" si="1180"/>
        <v>1.28</v>
      </c>
      <c r="I629" s="382">
        <f t="shared" si="1180"/>
        <v>1.0569999999999999</v>
      </c>
      <c r="J629" s="382">
        <f t="shared" si="1180"/>
        <v>0.73899999999999999</v>
      </c>
      <c r="K629" s="382">
        <f t="shared" si="1180"/>
        <v>0.755</v>
      </c>
      <c r="L629" s="382">
        <f t="shared" si="1180"/>
        <v>0.371</v>
      </c>
      <c r="M629" s="382">
        <f t="shared" si="1180"/>
        <v>0.35299999999999998</v>
      </c>
      <c r="N629" s="382">
        <f t="shared" si="1180"/>
        <v>0.28199999999999997</v>
      </c>
      <c r="O629" s="382">
        <f t="shared" si="1180"/>
        <v>0</v>
      </c>
      <c r="P629" s="382">
        <f t="shared" si="1180"/>
        <v>0</v>
      </c>
      <c r="Q629" s="382">
        <f t="shared" si="1180"/>
        <v>0</v>
      </c>
      <c r="R629" s="769">
        <f t="shared" si="1180"/>
        <v>1.103</v>
      </c>
      <c r="S629" s="769">
        <f t="shared" si="1180"/>
        <v>6.0000000000000001E-3</v>
      </c>
      <c r="T629" s="769">
        <f t="shared" ref="T629:X629" si="1181">SUM(T625:T628)</f>
        <v>2.1000000000000001E-2</v>
      </c>
      <c r="U629" s="769">
        <f t="shared" si="1181"/>
        <v>0</v>
      </c>
      <c r="V629" s="769">
        <f t="shared" si="1181"/>
        <v>0</v>
      </c>
      <c r="W629" s="769">
        <f t="shared" si="1181"/>
        <v>0</v>
      </c>
      <c r="X629" s="769">
        <f t="shared" si="1181"/>
        <v>0</v>
      </c>
      <c r="Y629" s="283"/>
      <c r="Z629" s="382">
        <f t="shared" ref="Z629:AG629" si="1182">SUM(Z625:Z628)</f>
        <v>0</v>
      </c>
      <c r="AA629" s="382">
        <f t="shared" si="1182"/>
        <v>0</v>
      </c>
      <c r="AB629" s="382">
        <f t="shared" si="1182"/>
        <v>2.512</v>
      </c>
      <c r="AC629" s="382">
        <f t="shared" si="1182"/>
        <v>2.9219999999999997</v>
      </c>
      <c r="AD629" s="382">
        <f t="shared" si="1182"/>
        <v>0.63500000000000001</v>
      </c>
      <c r="AE629" s="797">
        <f t="shared" ref="AE629" si="1183">SUM(AE625:AE628)</f>
        <v>1.1299999999999999</v>
      </c>
      <c r="AF629" s="382">
        <f t="shared" si="1182"/>
        <v>0</v>
      </c>
      <c r="AG629" s="382">
        <f t="shared" si="1182"/>
        <v>0</v>
      </c>
      <c r="AH629" s="382">
        <f t="shared" ref="AH629" si="1184">SUM(AH625:AH628)</f>
        <v>0</v>
      </c>
    </row>
    <row r="630" spans="1:34">
      <c r="Y630" s="283"/>
      <c r="AE630" s="384"/>
    </row>
    <row r="631" spans="1:34" s="315" customFormat="1">
      <c r="A631" s="283"/>
      <c r="B631" s="472"/>
      <c r="C631" s="472" t="s">
        <v>433</v>
      </c>
      <c r="D631" s="494"/>
      <c r="E631" s="461">
        <f t="shared" ref="E631:T631" si="1185">E616-E629</f>
        <v>0</v>
      </c>
      <c r="F631" s="461">
        <f t="shared" si="1185"/>
        <v>0</v>
      </c>
      <c r="G631" s="461">
        <f t="shared" si="1185"/>
        <v>16.253</v>
      </c>
      <c r="H631" s="461">
        <f t="shared" si="1185"/>
        <v>23.896999999999998</v>
      </c>
      <c r="I631" s="461">
        <f t="shared" si="1185"/>
        <v>18.470000000000002</v>
      </c>
      <c r="J631" s="461">
        <f t="shared" si="1185"/>
        <v>16.165999999999997</v>
      </c>
      <c r="K631" s="461">
        <f t="shared" si="1185"/>
        <v>18.292000000000002</v>
      </c>
      <c r="L631" s="461">
        <f t="shared" si="1185"/>
        <v>19.608000000000001</v>
      </c>
      <c r="M631" s="461">
        <f t="shared" si="1185"/>
        <v>12.476000000000001</v>
      </c>
      <c r="N631" s="461">
        <f t="shared" si="1185"/>
        <v>10.270000000000001</v>
      </c>
      <c r="O631" s="461">
        <f t="shared" si="1185"/>
        <v>0</v>
      </c>
      <c r="P631" s="461">
        <f t="shared" si="1185"/>
        <v>-1.5543122344752192E-15</v>
      </c>
      <c r="Q631" s="461">
        <f t="shared" si="1185"/>
        <v>3.6069999999999998</v>
      </c>
      <c r="R631" s="775">
        <f>R616-R629</f>
        <v>20.460999999999999</v>
      </c>
      <c r="S631" s="461">
        <f t="shared" si="1185"/>
        <v>2.8550000000000009</v>
      </c>
      <c r="T631" s="461">
        <f t="shared" si="1185"/>
        <v>0.81699999999999928</v>
      </c>
      <c r="U631" s="461">
        <f t="shared" ref="U631:X631" si="1186">U616-U629</f>
        <v>0</v>
      </c>
      <c r="V631" s="461">
        <f t="shared" si="1186"/>
        <v>0</v>
      </c>
      <c r="W631" s="461">
        <f t="shared" si="1186"/>
        <v>0</v>
      </c>
      <c r="X631" s="461">
        <f t="shared" si="1186"/>
        <v>0</v>
      </c>
      <c r="Y631" s="283"/>
      <c r="Z631" s="461">
        <f t="shared" ref="Z631:AG631" si="1187">Z616-Z629</f>
        <v>0</v>
      </c>
      <c r="AA631" s="461">
        <f t="shared" si="1187"/>
        <v>0</v>
      </c>
      <c r="AB631" s="461">
        <f t="shared" si="1187"/>
        <v>35.265999999999998</v>
      </c>
      <c r="AC631" s="461">
        <f t="shared" si="1187"/>
        <v>72.536000000000001</v>
      </c>
      <c r="AD631" s="461">
        <f t="shared" si="1187"/>
        <v>22.745999999999999</v>
      </c>
      <c r="AE631" s="461">
        <f t="shared" ref="AE631" si="1188">AE616-AE629</f>
        <v>27.740000000000009</v>
      </c>
      <c r="AF631" s="461">
        <f t="shared" si="1187"/>
        <v>0</v>
      </c>
      <c r="AG631" s="461">
        <f t="shared" si="1187"/>
        <v>0</v>
      </c>
      <c r="AH631" s="461">
        <f t="shared" ref="AH631" si="1189">AH616-AH629</f>
        <v>0</v>
      </c>
    </row>
    <row r="632" spans="1:34" s="315" customFormat="1">
      <c r="A632" s="283"/>
      <c r="B632" s="473"/>
      <c r="C632" s="473" t="s">
        <v>434</v>
      </c>
      <c r="D632" s="495"/>
      <c r="E632" s="469">
        <f t="shared" ref="E632:T632" si="1190">E622-E629</f>
        <v>0</v>
      </c>
      <c r="F632" s="469">
        <f t="shared" si="1190"/>
        <v>0</v>
      </c>
      <c r="G632" s="469">
        <f t="shared" si="1190"/>
        <v>26.635999999999999</v>
      </c>
      <c r="H632" s="469">
        <f t="shared" si="1190"/>
        <v>38.582999999999998</v>
      </c>
      <c r="I632" s="469">
        <f t="shared" si="1190"/>
        <v>31.673000000000005</v>
      </c>
      <c r="J632" s="469">
        <f t="shared" si="1190"/>
        <v>29.794999999999998</v>
      </c>
      <c r="K632" s="469">
        <f t="shared" si="1190"/>
        <v>22.207000000000001</v>
      </c>
      <c r="L632" s="469">
        <f t="shared" si="1190"/>
        <v>21.217000000000002</v>
      </c>
      <c r="M632" s="469">
        <f t="shared" si="1190"/>
        <v>13.714</v>
      </c>
      <c r="N632" s="469">
        <f t="shared" si="1190"/>
        <v>11.371000000000002</v>
      </c>
      <c r="O632" s="469">
        <f t="shared" si="1190"/>
        <v>0</v>
      </c>
      <c r="P632" s="469">
        <f t="shared" si="1190"/>
        <v>-1.5543122344752192E-15</v>
      </c>
      <c r="Q632" s="469">
        <f t="shared" si="1190"/>
        <v>3.7229999999999999</v>
      </c>
      <c r="R632" s="469">
        <f t="shared" si="1190"/>
        <v>20.722999999999999</v>
      </c>
      <c r="S632" s="469">
        <f t="shared" si="1190"/>
        <v>3.2110000000000007</v>
      </c>
      <c r="T632" s="469">
        <f t="shared" si="1190"/>
        <v>1.4599999999999995</v>
      </c>
      <c r="U632" s="469">
        <f t="shared" ref="U632:X632" si="1191">U622-U629</f>
        <v>0</v>
      </c>
      <c r="V632" s="469">
        <f t="shared" si="1191"/>
        <v>0</v>
      </c>
      <c r="W632" s="469">
        <f t="shared" si="1191"/>
        <v>0</v>
      </c>
      <c r="X632" s="469">
        <f t="shared" si="1191"/>
        <v>0</v>
      </c>
      <c r="Y632" s="283"/>
      <c r="Z632" s="469">
        <f t="shared" ref="Z632:AG632" si="1192">Z622-Z629</f>
        <v>0</v>
      </c>
      <c r="AA632" s="469">
        <f t="shared" si="1192"/>
        <v>0</v>
      </c>
      <c r="AB632" s="469">
        <f t="shared" si="1192"/>
        <v>60.335000000000001</v>
      </c>
      <c r="AC632" s="469">
        <f t="shared" si="1192"/>
        <v>101.033</v>
      </c>
      <c r="AD632" s="469">
        <f t="shared" si="1192"/>
        <v>25</v>
      </c>
      <c r="AE632" s="469">
        <f t="shared" si="1192"/>
        <v>29.117000000000008</v>
      </c>
      <c r="AF632" s="469">
        <f t="shared" si="1192"/>
        <v>0</v>
      </c>
      <c r="AG632" s="469">
        <f t="shared" si="1192"/>
        <v>0</v>
      </c>
      <c r="AH632" s="469">
        <f t="shared" ref="AH632" si="1193">AH622-AH629</f>
        <v>0</v>
      </c>
    </row>
    <row r="633" spans="1:34">
      <c r="C633" s="402"/>
      <c r="E633" s="282"/>
      <c r="F633" s="282"/>
      <c r="G633" s="282"/>
      <c r="H633" s="282"/>
      <c r="I633" s="282"/>
      <c r="J633" s="282"/>
      <c r="K633" s="282"/>
      <c r="L633" s="282"/>
      <c r="M633" s="282"/>
      <c r="N633" s="282"/>
      <c r="Q633" s="282"/>
      <c r="R633" s="282"/>
      <c r="S633" s="282"/>
      <c r="T633" s="282"/>
      <c r="U633" s="282"/>
      <c r="V633" s="282"/>
      <c r="W633" s="282"/>
      <c r="X633" s="282"/>
      <c r="Y633" s="283"/>
      <c r="Z633" s="282"/>
      <c r="AA633" s="282"/>
      <c r="AB633" s="282"/>
      <c r="AC633" s="282"/>
      <c r="AD633" s="282"/>
      <c r="AE633" s="282"/>
      <c r="AF633" s="282"/>
      <c r="AG633" s="282"/>
      <c r="AH633" s="282"/>
    </row>
    <row r="634" spans="1:34">
      <c r="B634" s="451"/>
      <c r="C634" s="540" t="s">
        <v>601</v>
      </c>
      <c r="D634" s="490"/>
      <c r="E634" s="449"/>
      <c r="F634" s="449"/>
      <c r="G634" s="449"/>
      <c r="H634" s="449"/>
      <c r="I634" s="449"/>
      <c r="J634" s="449"/>
      <c r="K634" s="449"/>
      <c r="L634" s="449"/>
      <c r="M634" s="449"/>
      <c r="N634" s="449"/>
      <c r="O634" s="450"/>
      <c r="P634" s="450"/>
      <c r="Q634" s="449"/>
      <c r="R634" s="449"/>
      <c r="S634" s="449"/>
      <c r="T634" s="449"/>
      <c r="U634" s="449"/>
      <c r="V634" s="449"/>
      <c r="W634" s="449"/>
      <c r="X634" s="449"/>
      <c r="Y634" s="283"/>
      <c r="Z634" s="449"/>
      <c r="AA634" s="449"/>
      <c r="AB634" s="449"/>
      <c r="AC634" s="449"/>
      <c r="AD634" s="449"/>
      <c r="AE634" s="449"/>
      <c r="AF634" s="449"/>
      <c r="AG634" s="449"/>
      <c r="AH634" s="449"/>
    </row>
    <row r="635" spans="1:34" ht="11.25" customHeight="1">
      <c r="B635" s="451"/>
      <c r="C635" s="514" t="s">
        <v>565</v>
      </c>
      <c r="D635" s="515" t="s">
        <v>588</v>
      </c>
      <c r="E635" s="449">
        <v>0</v>
      </c>
      <c r="F635" s="449">
        <v>0</v>
      </c>
      <c r="G635" s="449">
        <f t="shared" ref="G635:N635" si="1194">G616/(G575/10^3)</f>
        <v>1268.0397418231923</v>
      </c>
      <c r="H635" s="449">
        <f t="shared" si="1194"/>
        <v>1318.3055817363074</v>
      </c>
      <c r="I635" s="449">
        <f t="shared" si="1194"/>
        <v>1884.1181011192591</v>
      </c>
      <c r="J635" s="449">
        <f t="shared" si="1194"/>
        <v>1331.7315267055299</v>
      </c>
      <c r="K635" s="449">
        <f t="shared" si="1194"/>
        <v>851.0343595013627</v>
      </c>
      <c r="L635" s="449">
        <f t="shared" si="1194"/>
        <v>963.91180585709458</v>
      </c>
      <c r="M635" s="449">
        <f t="shared" si="1194"/>
        <v>756.20394930739758</v>
      </c>
      <c r="N635" s="449">
        <f t="shared" si="1194"/>
        <v>713.40680143330417</v>
      </c>
      <c r="O635" s="450">
        <v>0</v>
      </c>
      <c r="P635" s="450">
        <v>0</v>
      </c>
      <c r="Q635" s="449">
        <f>Q616/(Q575/10^3)</f>
        <v>1415.6200941915226</v>
      </c>
      <c r="R635" s="449">
        <f>R616/(R575/10^3)</f>
        <v>1443.3734939759036</v>
      </c>
      <c r="S635" s="449">
        <f>S616/(S575/10^3)</f>
        <v>1039.9854598327884</v>
      </c>
      <c r="T635" s="449">
        <f>T616/(T575/10^3)</f>
        <v>1738.5892116182558</v>
      </c>
      <c r="U635" s="449"/>
      <c r="V635" s="449"/>
      <c r="W635" s="449"/>
      <c r="X635" s="449"/>
      <c r="Y635" s="283"/>
      <c r="Z635" s="449">
        <v>0</v>
      </c>
      <c r="AA635" s="449">
        <v>0</v>
      </c>
      <c r="AB635" s="449">
        <f t="shared" ref="AB635:AE635" si="1195">AB616/(AB575/10^3)</f>
        <v>1148.721379268404</v>
      </c>
      <c r="AC635" s="449">
        <f t="shared" si="1195"/>
        <v>1140.4346643291115</v>
      </c>
      <c r="AD635" s="449">
        <f t="shared" si="1195"/>
        <v>736.27031112230759</v>
      </c>
      <c r="AE635" s="449">
        <f t="shared" si="1195"/>
        <v>1393.2725254572661</v>
      </c>
      <c r="AF635" s="449"/>
      <c r="AG635" s="449"/>
      <c r="AH635" s="449"/>
    </row>
    <row r="636" spans="1:34">
      <c r="B636" s="451"/>
      <c r="C636" s="514" t="s">
        <v>596</v>
      </c>
      <c r="D636" s="515" t="s">
        <v>588</v>
      </c>
      <c r="E636" s="449">
        <v>0</v>
      </c>
      <c r="F636" s="449">
        <v>0</v>
      </c>
      <c r="G636" s="449">
        <f t="shared" ref="G636:N636" si="1196">G629/(G575/10^3)</f>
        <v>89.3465806077308</v>
      </c>
      <c r="H636" s="449">
        <f t="shared" si="1196"/>
        <v>67.022724892658914</v>
      </c>
      <c r="I636" s="449">
        <f t="shared" si="1196"/>
        <v>101.98764955615592</v>
      </c>
      <c r="J636" s="449">
        <f t="shared" si="1196"/>
        <v>58.216480226878836</v>
      </c>
      <c r="K636" s="449">
        <f t="shared" si="1196"/>
        <v>33.733970778785576</v>
      </c>
      <c r="L636" s="449">
        <f t="shared" si="1196"/>
        <v>17.89935832489024</v>
      </c>
      <c r="M636" s="449">
        <f t="shared" si="1196"/>
        <v>20.807544945475978</v>
      </c>
      <c r="N636" s="449">
        <f t="shared" si="1196"/>
        <v>19.065648029206947</v>
      </c>
      <c r="O636" s="450">
        <v>0</v>
      </c>
      <c r="P636" s="450">
        <v>0</v>
      </c>
      <c r="Q636" s="449">
        <f>Q629/(Q575/10^3)</f>
        <v>0</v>
      </c>
      <c r="R636" s="449">
        <f>R629/(R575/10^3)</f>
        <v>73.828647925033465</v>
      </c>
      <c r="S636" s="449">
        <f>S629/(S575/10^3)</f>
        <v>2.1810250817884405</v>
      </c>
      <c r="T636" s="449">
        <f>T629/(T575/10^3)</f>
        <v>43.568464730290458</v>
      </c>
      <c r="U636" s="449"/>
      <c r="V636" s="449"/>
      <c r="W636" s="449"/>
      <c r="X636" s="449"/>
      <c r="Y636" s="283"/>
      <c r="Z636" s="449">
        <v>0</v>
      </c>
      <c r="AA636" s="449">
        <v>0</v>
      </c>
      <c r="AB636" s="449">
        <f t="shared" ref="AB636:AE636" si="1197">AB629/(AB575/10^3)</f>
        <v>76.382765226381252</v>
      </c>
      <c r="AC636" s="449">
        <f t="shared" si="1197"/>
        <v>44.161654021702986</v>
      </c>
      <c r="AD636" s="449">
        <f t="shared" si="1197"/>
        <v>19.996221186547423</v>
      </c>
      <c r="AE636" s="449">
        <f t="shared" si="1197"/>
        <v>54.53404758457603</v>
      </c>
      <c r="AF636" s="449"/>
      <c r="AG636" s="449"/>
      <c r="AH636" s="449"/>
    </row>
    <row r="637" spans="1:34">
      <c r="B637" s="451"/>
      <c r="C637" s="532" t="s">
        <v>433</v>
      </c>
      <c r="D637" s="515" t="s">
        <v>588</v>
      </c>
      <c r="E637" s="461">
        <f>E635-E636</f>
        <v>0</v>
      </c>
      <c r="F637" s="461">
        <f t="shared" ref="F637:X637" si="1198">F635-F636</f>
        <v>0</v>
      </c>
      <c r="G637" s="461">
        <f t="shared" si="1198"/>
        <v>1178.6931612154615</v>
      </c>
      <c r="H637" s="461">
        <f t="shared" si="1198"/>
        <v>1251.2828568436485</v>
      </c>
      <c r="I637" s="461">
        <f t="shared" si="1198"/>
        <v>1782.1304515631032</v>
      </c>
      <c r="J637" s="461">
        <f t="shared" si="1198"/>
        <v>1273.5150464786511</v>
      </c>
      <c r="K637" s="461">
        <f t="shared" si="1198"/>
        <v>817.30038872257717</v>
      </c>
      <c r="L637" s="461">
        <f t="shared" si="1198"/>
        <v>946.01244753220431</v>
      </c>
      <c r="M637" s="461">
        <f t="shared" si="1198"/>
        <v>735.39640436192155</v>
      </c>
      <c r="N637" s="461">
        <f t="shared" si="1198"/>
        <v>694.34115340409721</v>
      </c>
      <c r="O637" s="461">
        <f t="shared" si="1198"/>
        <v>0</v>
      </c>
      <c r="P637" s="461">
        <f t="shared" si="1198"/>
        <v>0</v>
      </c>
      <c r="Q637" s="461">
        <f t="shared" si="1198"/>
        <v>1415.6200941915226</v>
      </c>
      <c r="R637" s="775">
        <f t="shared" si="1198"/>
        <v>1369.5448460508701</v>
      </c>
      <c r="S637" s="461">
        <f t="shared" si="1198"/>
        <v>1037.8044347509999</v>
      </c>
      <c r="T637" s="461">
        <f t="shared" si="1198"/>
        <v>1695.0207468879653</v>
      </c>
      <c r="U637" s="461">
        <f t="shared" si="1198"/>
        <v>0</v>
      </c>
      <c r="V637" s="461">
        <f t="shared" si="1198"/>
        <v>0</v>
      </c>
      <c r="W637" s="461">
        <f t="shared" si="1198"/>
        <v>0</v>
      </c>
      <c r="X637" s="461">
        <f t="shared" si="1198"/>
        <v>0</v>
      </c>
      <c r="Y637" s="283"/>
      <c r="Z637" s="461">
        <f t="shared" ref="Z637:AG637" si="1199">Z635-Z636</f>
        <v>0</v>
      </c>
      <c r="AA637" s="461">
        <f t="shared" si="1199"/>
        <v>0</v>
      </c>
      <c r="AB637" s="461">
        <f t="shared" si="1199"/>
        <v>1072.3386140420228</v>
      </c>
      <c r="AC637" s="461">
        <f t="shared" si="1199"/>
        <v>1096.2730103074084</v>
      </c>
      <c r="AD637" s="461">
        <f t="shared" si="1199"/>
        <v>716.27408993576012</v>
      </c>
      <c r="AE637" s="461">
        <f t="shared" si="1199"/>
        <v>1338.7384778726901</v>
      </c>
      <c r="AF637" s="461">
        <f t="shared" si="1199"/>
        <v>0</v>
      </c>
      <c r="AG637" s="461">
        <f t="shared" si="1199"/>
        <v>0</v>
      </c>
      <c r="AH637" s="461">
        <f t="shared" ref="AH637" si="1200">AH635-AH636</f>
        <v>0</v>
      </c>
    </row>
    <row r="638" spans="1:34">
      <c r="B638" s="462"/>
      <c r="C638" s="533"/>
      <c r="D638" s="515"/>
      <c r="E638" s="450"/>
      <c r="F638" s="450"/>
      <c r="G638" s="450"/>
      <c r="H638" s="450"/>
      <c r="I638" s="450"/>
      <c r="J638" s="450"/>
      <c r="K638" s="450"/>
      <c r="L638" s="450"/>
      <c r="M638" s="450"/>
      <c r="N638" s="450"/>
      <c r="O638" s="450"/>
      <c r="P638" s="450"/>
      <c r="Q638" s="450"/>
      <c r="R638" s="450"/>
      <c r="S638" s="450"/>
      <c r="T638" s="450"/>
      <c r="U638" s="450"/>
      <c r="V638" s="450"/>
      <c r="W638" s="450"/>
      <c r="X638" s="450"/>
      <c r="Y638" s="283"/>
      <c r="Z638" s="450"/>
      <c r="AA638" s="450"/>
      <c r="AB638" s="450"/>
      <c r="AC638" s="450"/>
      <c r="AD638" s="450"/>
      <c r="AE638" s="450"/>
      <c r="AF638" s="450"/>
      <c r="AG638" s="450"/>
      <c r="AH638" s="450"/>
    </row>
    <row r="639" spans="1:34">
      <c r="B639" s="451"/>
      <c r="C639" s="514" t="s">
        <v>566</v>
      </c>
      <c r="D639" s="515" t="s">
        <v>588</v>
      </c>
      <c r="E639" s="449">
        <v>0</v>
      </c>
      <c r="F639" s="449">
        <v>0</v>
      </c>
      <c r="G639" s="449">
        <f t="shared" ref="G639:N639" si="1201">G622/(G575/10^3)</f>
        <v>2021.0312567988976</v>
      </c>
      <c r="H639" s="449">
        <f t="shared" si="1201"/>
        <v>2087.2866268719235</v>
      </c>
      <c r="I639" s="449">
        <f t="shared" si="1201"/>
        <v>3158.0470860671558</v>
      </c>
      <c r="J639" s="449">
        <f t="shared" si="1201"/>
        <v>2405.3883724594293</v>
      </c>
      <c r="K639" s="449">
        <f t="shared" si="1201"/>
        <v>1025.9595192350653</v>
      </c>
      <c r="L639" s="449">
        <f t="shared" si="1201"/>
        <v>1041.5400202634246</v>
      </c>
      <c r="M639" s="449">
        <f t="shared" si="1201"/>
        <v>829.17771883289117</v>
      </c>
      <c r="N639" s="449">
        <f t="shared" si="1201"/>
        <v>787.84395916435687</v>
      </c>
      <c r="O639" s="449">
        <v>0</v>
      </c>
      <c r="P639" s="449">
        <v>0</v>
      </c>
      <c r="Q639" s="449">
        <f>Q622/(Q575/10^3)</f>
        <v>1461.1459968602826</v>
      </c>
      <c r="R639" s="449">
        <f>R622/(R575/10^3)</f>
        <v>1460.9103078982598</v>
      </c>
      <c r="S639" s="449">
        <f>S622/(S575/10^3)</f>
        <v>1169.3929480189024</v>
      </c>
      <c r="T639" s="449">
        <f>T622/(T575/10^3)</f>
        <v>3072.6141078838164</v>
      </c>
      <c r="U639" s="449"/>
      <c r="V639" s="449"/>
      <c r="W639" s="449"/>
      <c r="X639" s="449"/>
      <c r="Y639" s="283"/>
      <c r="Z639" s="449">
        <v>0</v>
      </c>
      <c r="AA639" s="449">
        <v>0</v>
      </c>
      <c r="AB639" s="449">
        <f t="shared" ref="AB639:AE639" si="1202">AB622/(AB575/10^3)</f>
        <v>1910.9982667923496</v>
      </c>
      <c r="AC639" s="449">
        <f t="shared" si="1202"/>
        <v>1571.1241423087386</v>
      </c>
      <c r="AD639" s="449">
        <f t="shared" si="1202"/>
        <v>807.24902380652486</v>
      </c>
      <c r="AE639" s="449">
        <f t="shared" si="1202"/>
        <v>1459.7268471598863</v>
      </c>
      <c r="AF639" s="449"/>
      <c r="AG639" s="449"/>
      <c r="AH639" s="449"/>
    </row>
    <row r="640" spans="1:34">
      <c r="B640" s="451"/>
      <c r="C640" s="514" t="s">
        <v>596</v>
      </c>
      <c r="D640" s="515" t="s">
        <v>588</v>
      </c>
      <c r="E640" s="449">
        <v>0</v>
      </c>
      <c r="F640" s="449">
        <v>0</v>
      </c>
      <c r="G640" s="449">
        <f t="shared" ref="G640:N640" si="1203">G629/(G575/10^3)</f>
        <v>89.3465806077308</v>
      </c>
      <c r="H640" s="449">
        <f t="shared" si="1203"/>
        <v>67.022724892658914</v>
      </c>
      <c r="I640" s="449">
        <f t="shared" si="1203"/>
        <v>101.98764955615592</v>
      </c>
      <c r="J640" s="449">
        <f t="shared" si="1203"/>
        <v>58.216480226878836</v>
      </c>
      <c r="K640" s="449">
        <f t="shared" si="1203"/>
        <v>33.733970778785576</v>
      </c>
      <c r="L640" s="449">
        <f t="shared" si="1203"/>
        <v>17.89935832489024</v>
      </c>
      <c r="M640" s="449">
        <f t="shared" si="1203"/>
        <v>20.807544945475978</v>
      </c>
      <c r="N640" s="449">
        <f t="shared" si="1203"/>
        <v>19.065648029206947</v>
      </c>
      <c r="O640" s="449">
        <v>0</v>
      </c>
      <c r="P640" s="449">
        <v>0</v>
      </c>
      <c r="Q640" s="449">
        <f>Q629/(Q575/10^3)</f>
        <v>0</v>
      </c>
      <c r="R640" s="449">
        <f>R629/(R575/10^3)</f>
        <v>73.828647925033465</v>
      </c>
      <c r="S640" s="449">
        <f>S629/(S575/10^3)</f>
        <v>2.1810250817884405</v>
      </c>
      <c r="T640" s="449">
        <f>T629/(T575/10^3)</f>
        <v>43.568464730290458</v>
      </c>
      <c r="U640" s="449"/>
      <c r="V640" s="449"/>
      <c r="W640" s="449"/>
      <c r="X640" s="449"/>
      <c r="Y640" s="283"/>
      <c r="Z640" s="449">
        <v>0</v>
      </c>
      <c r="AA640" s="449">
        <v>0</v>
      </c>
      <c r="AB640" s="449">
        <f t="shared" ref="AB640:AE640" si="1204">AB629/(AB575/10^3)</f>
        <v>76.382765226381252</v>
      </c>
      <c r="AC640" s="449">
        <f t="shared" si="1204"/>
        <v>44.161654021702986</v>
      </c>
      <c r="AD640" s="449">
        <f t="shared" si="1204"/>
        <v>19.996221186547423</v>
      </c>
      <c r="AE640" s="449">
        <f t="shared" si="1204"/>
        <v>54.53404758457603</v>
      </c>
      <c r="AF640" s="449"/>
      <c r="AG640" s="449"/>
      <c r="AH640" s="449"/>
    </row>
    <row r="641" spans="1:34">
      <c r="B641" s="451"/>
      <c r="C641" s="532" t="s">
        <v>434</v>
      </c>
      <c r="D641" s="515" t="s">
        <v>588</v>
      </c>
      <c r="E641" s="461">
        <f>E639-E640</f>
        <v>0</v>
      </c>
      <c r="F641" s="461">
        <f t="shared" ref="F641:X641" si="1205">F639-F640</f>
        <v>0</v>
      </c>
      <c r="G641" s="461">
        <f t="shared" si="1205"/>
        <v>1931.6846761911668</v>
      </c>
      <c r="H641" s="461">
        <f t="shared" si="1205"/>
        <v>2020.2639019792646</v>
      </c>
      <c r="I641" s="461">
        <f t="shared" si="1205"/>
        <v>3056.0594365110001</v>
      </c>
      <c r="J641" s="461">
        <f t="shared" si="1205"/>
        <v>2347.1718922325504</v>
      </c>
      <c r="K641" s="461">
        <f t="shared" si="1205"/>
        <v>992.22554845627974</v>
      </c>
      <c r="L641" s="461">
        <f t="shared" si="1205"/>
        <v>1023.6406619385343</v>
      </c>
      <c r="M641" s="461">
        <f t="shared" si="1205"/>
        <v>808.37017388741515</v>
      </c>
      <c r="N641" s="461">
        <f t="shared" si="1205"/>
        <v>768.77831113514992</v>
      </c>
      <c r="O641" s="461">
        <f t="shared" si="1205"/>
        <v>0</v>
      </c>
      <c r="P641" s="461">
        <f t="shared" si="1205"/>
        <v>0</v>
      </c>
      <c r="Q641" s="461">
        <f t="shared" si="1205"/>
        <v>1461.1459968602826</v>
      </c>
      <c r="R641" s="775">
        <f t="shared" si="1205"/>
        <v>1387.0816599732264</v>
      </c>
      <c r="S641" s="461">
        <f t="shared" si="1205"/>
        <v>1167.211922937114</v>
      </c>
      <c r="T641" s="461">
        <f t="shared" si="1205"/>
        <v>3029.0456431535258</v>
      </c>
      <c r="U641" s="461">
        <f t="shared" si="1205"/>
        <v>0</v>
      </c>
      <c r="V641" s="461">
        <f t="shared" si="1205"/>
        <v>0</v>
      </c>
      <c r="W641" s="461">
        <f t="shared" si="1205"/>
        <v>0</v>
      </c>
      <c r="X641" s="461">
        <f t="shared" si="1205"/>
        <v>0</v>
      </c>
      <c r="Y641" s="283"/>
      <c r="Z641" s="461">
        <f t="shared" ref="Z641:AG641" si="1206">Z639-Z640</f>
        <v>0</v>
      </c>
      <c r="AA641" s="461">
        <f t="shared" si="1206"/>
        <v>0</v>
      </c>
      <c r="AB641" s="461">
        <f t="shared" si="1206"/>
        <v>1834.6155015659683</v>
      </c>
      <c r="AC641" s="461">
        <f t="shared" si="1206"/>
        <v>1526.9624882870355</v>
      </c>
      <c r="AD641" s="461">
        <f t="shared" si="1206"/>
        <v>787.25280261997739</v>
      </c>
      <c r="AE641" s="461">
        <f t="shared" si="1206"/>
        <v>1405.1927995753103</v>
      </c>
      <c r="AF641" s="461">
        <f t="shared" si="1206"/>
        <v>0</v>
      </c>
      <c r="AG641" s="461">
        <f t="shared" si="1206"/>
        <v>0</v>
      </c>
      <c r="AH641" s="461">
        <f t="shared" ref="AH641" si="1207">AH639-AH640</f>
        <v>0</v>
      </c>
    </row>
    <row r="642" spans="1:34">
      <c r="B642" s="373"/>
      <c r="C642" s="373"/>
      <c r="D642" s="502"/>
      <c r="Y642" s="283"/>
    </row>
    <row r="643" spans="1:34" s="307" customFormat="1">
      <c r="A643" s="283"/>
      <c r="B643" s="507"/>
      <c r="C643" s="507" t="s">
        <v>705</v>
      </c>
      <c r="D643" s="508"/>
      <c r="E643" s="596">
        <f>+E$2-E641</f>
        <v>1331.9717719141486</v>
      </c>
      <c r="F643" s="596">
        <f t="shared" ref="F643:T643" si="1208">+F$2-F641</f>
        <v>1301.6615529064602</v>
      </c>
      <c r="G643" s="596">
        <f t="shared" si="1208"/>
        <v>-726.63275692853699</v>
      </c>
      <c r="H643" s="596">
        <f t="shared" si="1208"/>
        <v>-783.11324594154598</v>
      </c>
      <c r="I643" s="596">
        <f t="shared" si="1208"/>
        <v>-1748.4744292903094</v>
      </c>
      <c r="J643" s="596">
        <f t="shared" si="1208"/>
        <v>-1025.1700994813536</v>
      </c>
      <c r="K643" s="596">
        <f t="shared" si="1208"/>
        <v>497.00896989234434</v>
      </c>
      <c r="L643" s="596">
        <f t="shared" si="1208"/>
        <v>464.79145594592751</v>
      </c>
      <c r="M643" s="596">
        <f t="shared" si="1208"/>
        <v>779.88263244500172</v>
      </c>
      <c r="N643" s="596">
        <f t="shared" si="1208"/>
        <v>966.96502018769013</v>
      </c>
      <c r="O643" s="596">
        <f t="shared" si="1208"/>
        <v>1928.6385896180216</v>
      </c>
      <c r="P643" s="596">
        <f t="shared" si="1208"/>
        <v>1803.3330242907468</v>
      </c>
      <c r="Q643" s="596">
        <f t="shared" si="1208"/>
        <v>309.05963802433166</v>
      </c>
      <c r="R643" s="596">
        <f t="shared" si="1208"/>
        <v>437.88070778389192</v>
      </c>
      <c r="S643" s="596">
        <f t="shared" si="1208"/>
        <v>624.90520692836003</v>
      </c>
      <c r="T643" s="596">
        <f t="shared" si="1208"/>
        <v>-1227.0526638759814</v>
      </c>
      <c r="U643" s="596"/>
      <c r="V643" s="596"/>
      <c r="W643" s="596"/>
      <c r="X643" s="596"/>
      <c r="Y643" s="283"/>
      <c r="Z643" s="596">
        <f t="shared" ref="Z643:AE643" si="1209">+Z$2-Z641</f>
        <v>1245.4919970284325</v>
      </c>
      <c r="AA643" s="596">
        <f t="shared" si="1209"/>
        <v>1261.4116373920674</v>
      </c>
      <c r="AB643" s="596">
        <f t="shared" si="1209"/>
        <v>-569.80505587901575</v>
      </c>
      <c r="AC643" s="596">
        <f t="shared" si="1209"/>
        <v>-114.167415229982</v>
      </c>
      <c r="AD643" s="596">
        <f t="shared" si="1209"/>
        <v>969.90823816070667</v>
      </c>
      <c r="AE643" s="596">
        <f t="shared" si="1209"/>
        <v>390.54548591789694</v>
      </c>
      <c r="AF643" s="596"/>
      <c r="AG643" s="596"/>
      <c r="AH643" s="596"/>
    </row>
    <row r="644" spans="1:34">
      <c r="M644" s="283"/>
      <c r="N644" s="283"/>
      <c r="O644" s="283"/>
      <c r="P644" s="283"/>
      <c r="Q644" s="283"/>
      <c r="Y644" s="283"/>
    </row>
    <row r="645" spans="1:34">
      <c r="C645" s="281" t="s">
        <v>426</v>
      </c>
      <c r="E645" s="305">
        <v>0</v>
      </c>
      <c r="F645" s="305">
        <v>0</v>
      </c>
      <c r="G645" s="305">
        <v>14.997999999999999</v>
      </c>
      <c r="H645" s="305">
        <v>17.588999999999999</v>
      </c>
      <c r="I645" s="305">
        <v>21.805</v>
      </c>
      <c r="J645" s="305">
        <v>17.268999999999998</v>
      </c>
      <c r="K645" s="305">
        <v>2.5019999999999998</v>
      </c>
      <c r="L645" s="305">
        <v>0.60799999999999998</v>
      </c>
      <c r="M645" s="305">
        <v>0.85699999999999998</v>
      </c>
      <c r="N645" s="305">
        <v>0.61199999999999999</v>
      </c>
      <c r="O645" s="305">
        <v>0.38</v>
      </c>
      <c r="P645" s="305">
        <v>2.1539999999999999</v>
      </c>
      <c r="Q645" s="305">
        <v>8.8999999999999996E-2</v>
      </c>
      <c r="R645" s="305">
        <v>7.6999999999999999E-2</v>
      </c>
      <c r="S645" s="305">
        <v>7.9000000000000001E-2</v>
      </c>
      <c r="T645" s="305">
        <v>5.2249999999999996</v>
      </c>
      <c r="U645" s="305">
        <v>0.876</v>
      </c>
      <c r="V645" s="388"/>
      <c r="W645" s="388"/>
      <c r="X645" s="388"/>
      <c r="Y645" s="283"/>
      <c r="Z645" s="305">
        <v>0</v>
      </c>
      <c r="AA645" s="305">
        <v>0</v>
      </c>
      <c r="AB645" s="282">
        <f>SUMIF($E$5:$T$5,AB$5,$E645:$T645)</f>
        <v>32.586999999999996</v>
      </c>
      <c r="AC645" s="282">
        <f>SUMIF($E$5:$T$5,AC$5,$E645:$T645)</f>
        <v>42.183999999999997</v>
      </c>
      <c r="AD645" s="282">
        <f>SUMIF($E$5:$T$5,AD$5,$E645:$T645)</f>
        <v>4.0030000000000001</v>
      </c>
      <c r="AE645" s="282">
        <f>SUMIF($E$5:$T$5,AE$5,$E645:$T645)</f>
        <v>5.47</v>
      </c>
      <c r="AF645" s="388"/>
      <c r="AG645" s="388"/>
      <c r="AH645" s="388"/>
    </row>
    <row r="646" spans="1:34">
      <c r="Y646" s="283"/>
    </row>
    <row r="647" spans="1:34" s="283" customFormat="1">
      <c r="A647" s="286" t="s">
        <v>137</v>
      </c>
      <c r="B647" s="286" t="s">
        <v>137</v>
      </c>
      <c r="C647" s="287" t="s">
        <v>486</v>
      </c>
      <c r="D647" s="485"/>
      <c r="E647" s="286"/>
      <c r="F647" s="286"/>
      <c r="G647" s="286"/>
      <c r="H647" s="286"/>
      <c r="I647" s="286"/>
      <c r="J647" s="286"/>
      <c r="K647" s="286"/>
      <c r="L647" s="286"/>
      <c r="M647" s="286"/>
      <c r="N647" s="286"/>
      <c r="O647" s="286"/>
      <c r="P647" s="286"/>
      <c r="Q647" s="286"/>
      <c r="R647" s="286"/>
      <c r="S647" s="286"/>
      <c r="T647" s="286"/>
      <c r="U647" s="286"/>
      <c r="V647" s="286"/>
      <c r="W647" s="286"/>
      <c r="X647" s="286"/>
      <c r="Z647" s="286"/>
      <c r="AA647" s="286"/>
      <c r="AB647" s="286"/>
      <c r="AC647" s="286"/>
      <c r="AD647" s="286"/>
      <c r="AE647" s="286"/>
      <c r="AF647" s="286"/>
      <c r="AG647" s="286"/>
      <c r="AH647" s="286"/>
    </row>
    <row r="648" spans="1:34">
      <c r="Y648" s="283"/>
    </row>
    <row r="649" spans="1:34">
      <c r="C649" s="414" t="s">
        <v>499</v>
      </c>
      <c r="E649" s="282">
        <f t="shared" ref="E649:X649" si="1210">E175+E351+E263+E487+E575</f>
        <v>57.808</v>
      </c>
      <c r="F649" s="282">
        <f t="shared" si="1210"/>
        <v>60.313000000000002</v>
      </c>
      <c r="G649" s="282">
        <f t="shared" si="1210"/>
        <v>72.99499999999999</v>
      </c>
      <c r="H649" s="282">
        <f t="shared" si="1210"/>
        <v>70.986999999999995</v>
      </c>
      <c r="I649" s="282">
        <f t="shared" si="1210"/>
        <v>60.021000000000001</v>
      </c>
      <c r="J649" s="282">
        <f t="shared" si="1210"/>
        <v>60.768000000000001</v>
      </c>
      <c r="K649" s="282">
        <f t="shared" si="1210"/>
        <v>77.310999999999993</v>
      </c>
      <c r="L649" s="282">
        <f t="shared" si="1210"/>
        <v>74.772999999999996</v>
      </c>
      <c r="M649" s="282">
        <f t="shared" si="1210"/>
        <v>58.792000000000002</v>
      </c>
      <c r="N649" s="282">
        <f t="shared" si="1210"/>
        <v>59.981999999999999</v>
      </c>
      <c r="O649" s="282">
        <f t="shared" si="1210"/>
        <v>41.173999999999999</v>
      </c>
      <c r="P649" s="282">
        <f t="shared" si="1210"/>
        <v>49.015000000000001</v>
      </c>
      <c r="Q649" s="282">
        <f t="shared" si="1210"/>
        <v>52.003999999999998</v>
      </c>
      <c r="R649" s="282">
        <f t="shared" si="1210"/>
        <v>59.131999999999998</v>
      </c>
      <c r="S649" s="282">
        <f t="shared" si="1210"/>
        <v>42.207000000000001</v>
      </c>
      <c r="T649" s="282">
        <f t="shared" si="1210"/>
        <v>47.976999999999997</v>
      </c>
      <c r="U649" s="282">
        <f t="shared" si="1210"/>
        <v>41.641999999999996</v>
      </c>
      <c r="V649" s="282">
        <f t="shared" si="1210"/>
        <v>43.105352022725285</v>
      </c>
      <c r="W649" s="282">
        <f t="shared" si="1210"/>
        <v>38.629704996607252</v>
      </c>
      <c r="X649" s="282">
        <f t="shared" si="1210"/>
        <v>46.62294298066746</v>
      </c>
      <c r="Y649" s="283"/>
      <c r="Z649" s="282">
        <f>Z175+Z351+Z487+Z575</f>
        <v>233.929</v>
      </c>
      <c r="AA649" s="282">
        <f>AA175+AA351+AA487+AA575</f>
        <v>232.684</v>
      </c>
      <c r="AB649" s="282">
        <f t="shared" ref="AB649:AF658" si="1211">SUMIF($E$5:$X$5,AB$5,$E649:$X649)</f>
        <v>262.10299999999995</v>
      </c>
      <c r="AC649" s="282">
        <f t="shared" si="1211"/>
        <v>272.87299999999999</v>
      </c>
      <c r="AD649" s="282">
        <f t="shared" si="1211"/>
        <v>208.96300000000002</v>
      </c>
      <c r="AE649" s="282">
        <f t="shared" si="1211"/>
        <v>201.32</v>
      </c>
      <c r="AF649" s="282">
        <f t="shared" si="1211"/>
        <v>170</v>
      </c>
      <c r="AG649" s="282">
        <f>AG175+AG351+AG263+AG487+AG575</f>
        <v>180.20653789319476</v>
      </c>
      <c r="AH649" s="282">
        <f>AH175+AH351+AH263+AH487+AH575</f>
        <v>190.50405434423448</v>
      </c>
    </row>
    <row r="650" spans="1:34">
      <c r="C650" s="414" t="s">
        <v>500</v>
      </c>
      <c r="E650" s="282">
        <f t="shared" ref="E650:X650" si="1212">E582+E494+E358+E270+E182</f>
        <v>54.839000000000006</v>
      </c>
      <c r="F650" s="282">
        <f t="shared" si="1212"/>
        <v>59.643000000000001</v>
      </c>
      <c r="G650" s="282">
        <f t="shared" si="1212"/>
        <v>68.568000000000012</v>
      </c>
      <c r="H650" s="282">
        <f t="shared" si="1212"/>
        <v>64.477999999999994</v>
      </c>
      <c r="I650" s="282">
        <f t="shared" si="1212"/>
        <v>60.935999999999993</v>
      </c>
      <c r="J650" s="282">
        <f t="shared" si="1212"/>
        <v>59.126999999999995</v>
      </c>
      <c r="K650" s="282">
        <f t="shared" si="1212"/>
        <v>69.759999999999991</v>
      </c>
      <c r="L650" s="282">
        <f t="shared" si="1212"/>
        <v>85.23599999999999</v>
      </c>
      <c r="M650" s="282">
        <f t="shared" si="1212"/>
        <v>57.102999999999994</v>
      </c>
      <c r="N650" s="282">
        <f t="shared" si="1212"/>
        <v>51.397000000000006</v>
      </c>
      <c r="O650" s="282">
        <f t="shared" si="1212"/>
        <v>51.05</v>
      </c>
      <c r="P650" s="282">
        <f t="shared" si="1212"/>
        <v>43.144000000000005</v>
      </c>
      <c r="Q650" s="282">
        <f t="shared" si="1212"/>
        <v>57.286000000000001</v>
      </c>
      <c r="R650" s="282">
        <f t="shared" si="1212"/>
        <v>47.167000000000002</v>
      </c>
      <c r="S650" s="282">
        <f t="shared" si="1212"/>
        <v>53.000999999999998</v>
      </c>
      <c r="T650" s="282">
        <f t="shared" si="1212"/>
        <v>44.154999999999987</v>
      </c>
      <c r="U650" s="282">
        <f t="shared" si="1212"/>
        <v>41.052999999999997</v>
      </c>
      <c r="V650" s="282">
        <f t="shared" si="1212"/>
        <v>43.105352022725285</v>
      </c>
      <c r="W650" s="282">
        <f t="shared" si="1212"/>
        <v>38.629704996607252</v>
      </c>
      <c r="X650" s="282">
        <f t="shared" si="1212"/>
        <v>46.62294298066746</v>
      </c>
      <c r="Y650" s="283"/>
      <c r="Z650" s="282">
        <f>Z582+Z494+Z358+Z270+Z182</f>
        <v>222.10499999999996</v>
      </c>
      <c r="AA650" s="282">
        <f>AA582+AA494+AA358+AA270+AA182</f>
        <v>219.929</v>
      </c>
      <c r="AB650" s="282">
        <f t="shared" si="1211"/>
        <v>247.52800000000002</v>
      </c>
      <c r="AC650" s="282">
        <f t="shared" si="1211"/>
        <v>275.05899999999997</v>
      </c>
      <c r="AD650" s="282">
        <f t="shared" si="1211"/>
        <v>202.69400000000002</v>
      </c>
      <c r="AE650" s="282">
        <f t="shared" si="1211"/>
        <v>201.60899999999998</v>
      </c>
      <c r="AF650" s="282">
        <f t="shared" si="1211"/>
        <v>169.411</v>
      </c>
      <c r="AG650" s="282">
        <f>AG582+AG494+AG358+AG270+AG182</f>
        <v>175.80737829168442</v>
      </c>
      <c r="AH650" s="282">
        <f>AH582+AH494+AH358+AH270+AH182</f>
        <v>185.85351419406641</v>
      </c>
    </row>
    <row r="651" spans="1:34">
      <c r="Y651" s="283"/>
    </row>
    <row r="652" spans="1:34" s="415" customFormat="1">
      <c r="A652" s="282"/>
      <c r="B652" s="800"/>
      <c r="C652" s="800" t="s">
        <v>453</v>
      </c>
      <c r="D652" s="801"/>
      <c r="E652" s="510">
        <f t="shared" ref="E652:X652" si="1213">E589+E501+E365+E277+E189</f>
        <v>73.043999999999983</v>
      </c>
      <c r="F652" s="510">
        <f t="shared" si="1213"/>
        <v>77.635000000000005</v>
      </c>
      <c r="G652" s="510">
        <f t="shared" si="1213"/>
        <v>82.628</v>
      </c>
      <c r="H652" s="510">
        <f t="shared" si="1213"/>
        <v>79.76900000000002</v>
      </c>
      <c r="I652" s="510">
        <f t="shared" si="1213"/>
        <v>79.679000000000002</v>
      </c>
      <c r="J652" s="510">
        <f t="shared" si="1213"/>
        <v>78.166000000000011</v>
      </c>
      <c r="K652" s="510">
        <f t="shared" si="1213"/>
        <v>103.88900000000002</v>
      </c>
      <c r="L652" s="510">
        <f t="shared" si="1213"/>
        <v>126.86799999999998</v>
      </c>
      <c r="M652" s="510">
        <f t="shared" si="1213"/>
        <v>90.694000000000003</v>
      </c>
      <c r="N652" s="510">
        <f t="shared" si="1213"/>
        <v>89.212000000000003</v>
      </c>
      <c r="O652" s="510">
        <f t="shared" si="1213"/>
        <v>98.456999999999994</v>
      </c>
      <c r="P652" s="510">
        <f t="shared" si="1213"/>
        <v>77.802999999999997</v>
      </c>
      <c r="Q652" s="510">
        <f t="shared" si="1213"/>
        <v>101.40800000000002</v>
      </c>
      <c r="R652" s="802">
        <f t="shared" si="1213"/>
        <v>86.077999999999989</v>
      </c>
      <c r="S652" s="802">
        <f t="shared" si="1213"/>
        <v>94.983999999999995</v>
      </c>
      <c r="T652" s="802">
        <f t="shared" si="1213"/>
        <v>79.56699999999995</v>
      </c>
      <c r="U652" s="802">
        <f t="shared" si="1213"/>
        <v>77.168000000000021</v>
      </c>
      <c r="V652" s="802">
        <f t="shared" si="1213"/>
        <v>78.688820117484994</v>
      </c>
      <c r="W652" s="802">
        <f t="shared" si="1213"/>
        <v>70.823701140779733</v>
      </c>
      <c r="X652" s="802">
        <f t="shared" si="1213"/>
        <v>86.003011769288236</v>
      </c>
      <c r="Y652" s="283"/>
      <c r="Z652" s="510">
        <f t="shared" ref="Z652:AH652" si="1214">Z589+Z501+Z365+Z277+Z189</f>
        <v>276.63</v>
      </c>
      <c r="AA652" s="510">
        <f t="shared" si="1214"/>
        <v>277.42099999999999</v>
      </c>
      <c r="AB652" s="510">
        <f t="shared" si="1211"/>
        <v>313.07599999999996</v>
      </c>
      <c r="AC652" s="510">
        <f t="shared" si="1211"/>
        <v>388.60200000000003</v>
      </c>
      <c r="AD652" s="510">
        <f t="shared" si="1211"/>
        <v>356.166</v>
      </c>
      <c r="AE652" s="510">
        <f t="shared" si="1211"/>
        <v>362.03699999999992</v>
      </c>
      <c r="AF652" s="802">
        <f t="shared" si="1211"/>
        <v>312.68353302755304</v>
      </c>
      <c r="AG652" s="802">
        <f t="shared" si="1214"/>
        <v>329.43665581187292</v>
      </c>
      <c r="AH652" s="802">
        <f t="shared" si="1214"/>
        <v>356.87591795544631</v>
      </c>
    </row>
    <row r="653" spans="1:34">
      <c r="E653" s="282"/>
      <c r="F653" s="282"/>
      <c r="G653" s="282"/>
      <c r="H653" s="282"/>
      <c r="I653" s="282"/>
      <c r="J653" s="282"/>
      <c r="K653" s="282"/>
      <c r="L653" s="282"/>
      <c r="M653" s="282"/>
      <c r="N653" s="282"/>
      <c r="O653" s="282"/>
      <c r="P653" s="282"/>
      <c r="Q653" s="282"/>
      <c r="R653" s="282"/>
      <c r="S653" s="282"/>
      <c r="T653" s="282"/>
      <c r="U653" s="282"/>
      <c r="V653" s="282"/>
      <c r="W653" s="282"/>
      <c r="X653" s="282"/>
      <c r="Y653" s="283"/>
      <c r="Z653" s="282"/>
      <c r="AA653" s="282"/>
      <c r="AB653" s="282"/>
      <c r="AC653" s="282"/>
      <c r="AD653" s="282"/>
      <c r="AE653" s="282"/>
      <c r="AF653" s="282"/>
      <c r="AG653" s="282"/>
      <c r="AH653" s="282"/>
    </row>
    <row r="654" spans="1:34">
      <c r="C654" s="281" t="s">
        <v>311</v>
      </c>
      <c r="E654" s="282">
        <f t="shared" ref="E654:T654" si="1215">E523+E611</f>
        <v>33.076999999999998</v>
      </c>
      <c r="F654" s="282">
        <f t="shared" si="1215"/>
        <v>32.979999999999997</v>
      </c>
      <c r="G654" s="282">
        <f t="shared" si="1215"/>
        <v>41.344999999999999</v>
      </c>
      <c r="H654" s="282">
        <f t="shared" si="1215"/>
        <v>52.202000000000012</v>
      </c>
      <c r="I654" s="282">
        <f t="shared" si="1215"/>
        <v>56.040000000000006</v>
      </c>
      <c r="J654" s="282">
        <f t="shared" si="1215"/>
        <v>56.314</v>
      </c>
      <c r="K654" s="282">
        <f t="shared" si="1215"/>
        <v>51.176999999999992</v>
      </c>
      <c r="L654" s="282">
        <f t="shared" si="1215"/>
        <v>66.503000000000014</v>
      </c>
      <c r="M654" s="282">
        <f t="shared" si="1215"/>
        <v>39.777000000000001</v>
      </c>
      <c r="N654" s="282">
        <f t="shared" si="1215"/>
        <v>35.492999999999995</v>
      </c>
      <c r="O654" s="282">
        <f t="shared" si="1215"/>
        <v>42.932000000000002</v>
      </c>
      <c r="P654" s="282">
        <f t="shared" si="1215"/>
        <v>37.615999999999985</v>
      </c>
      <c r="Q654" s="282">
        <f t="shared" si="1215"/>
        <v>41.797000000000004</v>
      </c>
      <c r="R654" s="282">
        <f t="shared" si="1215"/>
        <v>48.823999999999998</v>
      </c>
      <c r="S654" s="282">
        <f t="shared" si="1215"/>
        <v>53.445</v>
      </c>
      <c r="T654" s="282">
        <f t="shared" si="1215"/>
        <v>39.277000000000008</v>
      </c>
      <c r="U654" s="282">
        <f t="shared" ref="U654:X654" si="1216">U523+U611</f>
        <v>46.322000000000003</v>
      </c>
      <c r="V654" s="282">
        <f t="shared" si="1216"/>
        <v>34.258692712514488</v>
      </c>
      <c r="W654" s="282">
        <f t="shared" si="1216"/>
        <v>35.91943526893229</v>
      </c>
      <c r="X654" s="282">
        <f t="shared" si="1216"/>
        <v>35.249872018553212</v>
      </c>
      <c r="Y654" s="283"/>
      <c r="Z654" s="282">
        <f t="shared" ref="Z654:AG658" si="1217">Z523+Z611</f>
        <v>108.399</v>
      </c>
      <c r="AA654" s="282">
        <f t="shared" si="1217"/>
        <v>125.58499999999999</v>
      </c>
      <c r="AB654" s="282">
        <f t="shared" si="1211"/>
        <v>159.60399999999998</v>
      </c>
      <c r="AC654" s="282">
        <f t="shared" si="1211"/>
        <v>230.03400000000002</v>
      </c>
      <c r="AD654" s="282">
        <f t="shared" si="1211"/>
        <v>155.81799999999998</v>
      </c>
      <c r="AE654" s="282">
        <f t="shared" si="1211"/>
        <v>183.34300000000002</v>
      </c>
      <c r="AF654" s="282">
        <f t="shared" si="1211"/>
        <v>151.75</v>
      </c>
      <c r="AG654" s="282">
        <f t="shared" si="1217"/>
        <v>161.75</v>
      </c>
      <c r="AH654" s="282">
        <f t="shared" ref="AH654" si="1218">AH523+AH611</f>
        <v>176.75</v>
      </c>
    </row>
    <row r="655" spans="1:34">
      <c r="C655" s="281" t="s">
        <v>427</v>
      </c>
      <c r="E655" s="282">
        <f t="shared" ref="E655:T655" si="1219">E524+E612</f>
        <v>0.53500000000000003</v>
      </c>
      <c r="F655" s="282">
        <f t="shared" si="1219"/>
        <v>0.55900000000000005</v>
      </c>
      <c r="G655" s="282">
        <f t="shared" si="1219"/>
        <v>0.57700000000000007</v>
      </c>
      <c r="H655" s="282">
        <f t="shared" si="1219"/>
        <v>0.48799999999999999</v>
      </c>
      <c r="I655" s="282">
        <f t="shared" si="1219"/>
        <v>0.48</v>
      </c>
      <c r="J655" s="282">
        <f t="shared" si="1219"/>
        <v>0.46299999999999997</v>
      </c>
      <c r="K655" s="282">
        <f t="shared" si="1219"/>
        <v>0.60600000000000009</v>
      </c>
      <c r="L655" s="282">
        <f t="shared" si="1219"/>
        <v>0.48599999999999999</v>
      </c>
      <c r="M655" s="282">
        <f t="shared" si="1219"/>
        <v>0.6</v>
      </c>
      <c r="N655" s="282">
        <f t="shared" si="1219"/>
        <v>0.57700000000000007</v>
      </c>
      <c r="O655" s="282">
        <f t="shared" si="1219"/>
        <v>0.56200000000000006</v>
      </c>
      <c r="P655" s="282">
        <f t="shared" si="1219"/>
        <v>0.89800000000000002</v>
      </c>
      <c r="Q655" s="282">
        <f t="shared" si="1219"/>
        <v>0.72499999999999998</v>
      </c>
      <c r="R655" s="282">
        <f t="shared" si="1219"/>
        <v>2.254</v>
      </c>
      <c r="S655" s="282">
        <f t="shared" si="1219"/>
        <v>0.47599999999999998</v>
      </c>
      <c r="T655" s="282">
        <f t="shared" si="1219"/>
        <v>0.42299999999999999</v>
      </c>
      <c r="U655" s="282">
        <f t="shared" ref="U655:X655" si="1220">U524+U612</f>
        <v>0.45800000000000002</v>
      </c>
      <c r="V655" s="282">
        <f t="shared" si="1220"/>
        <v>1.568039078855547E-2</v>
      </c>
      <c r="W655" s="282">
        <f t="shared" si="1220"/>
        <v>1.392184228890439E-2</v>
      </c>
      <c r="X655" s="282">
        <f t="shared" si="1220"/>
        <v>1.2397766922540118E-2</v>
      </c>
      <c r="Y655" s="283"/>
      <c r="Z655" s="282">
        <f t="shared" si="1217"/>
        <v>1.264</v>
      </c>
      <c r="AA655" s="282">
        <f t="shared" si="1217"/>
        <v>2.4319999999999999</v>
      </c>
      <c r="AB655" s="282">
        <f t="shared" si="1211"/>
        <v>2.1590000000000003</v>
      </c>
      <c r="AC655" s="282">
        <f t="shared" si="1211"/>
        <v>2.0350000000000001</v>
      </c>
      <c r="AD655" s="282">
        <f t="shared" si="1211"/>
        <v>2.637</v>
      </c>
      <c r="AE655" s="282">
        <f t="shared" si="1211"/>
        <v>3.8780000000000001</v>
      </c>
      <c r="AF655" s="282">
        <f t="shared" si="1211"/>
        <v>0.5</v>
      </c>
      <c r="AG655" s="282">
        <f t="shared" si="1217"/>
        <v>0.5</v>
      </c>
      <c r="AH655" s="282">
        <f t="shared" ref="AH655" si="1221">AH524+AH612</f>
        <v>0.5</v>
      </c>
    </row>
    <row r="656" spans="1:34">
      <c r="C656" s="281" t="s">
        <v>428</v>
      </c>
      <c r="E656" s="282">
        <f t="shared" ref="E656:T656" si="1222">E525+E613</f>
        <v>-0.10100000000000001</v>
      </c>
      <c r="F656" s="282">
        <f t="shared" si="1222"/>
        <v>-7.8E-2</v>
      </c>
      <c r="G656" s="282">
        <f t="shared" si="1222"/>
        <v>6.008</v>
      </c>
      <c r="H656" s="282">
        <f t="shared" si="1222"/>
        <v>7.3970000000000002</v>
      </c>
      <c r="I656" s="282">
        <f t="shared" si="1222"/>
        <v>-0.9780000000000002</v>
      </c>
      <c r="J656" s="282">
        <f t="shared" si="1222"/>
        <v>-4.3360000000000003</v>
      </c>
      <c r="K656" s="282">
        <f t="shared" si="1222"/>
        <v>3.1879999999999997</v>
      </c>
      <c r="L656" s="282">
        <f t="shared" si="1222"/>
        <v>-10.239000000000001</v>
      </c>
      <c r="M656" s="282">
        <f t="shared" si="1222"/>
        <v>6.8879999999999999</v>
      </c>
      <c r="N656" s="282">
        <f t="shared" si="1222"/>
        <v>3.2690000000000001</v>
      </c>
      <c r="O656" s="282">
        <f t="shared" si="1222"/>
        <v>7.4630000000000001</v>
      </c>
      <c r="P656" s="282">
        <f t="shared" si="1222"/>
        <v>0.48899999999999999</v>
      </c>
      <c r="Q656" s="282">
        <f t="shared" si="1222"/>
        <v>-1.131</v>
      </c>
      <c r="R656" s="282">
        <f t="shared" si="1222"/>
        <v>13.598000000000001</v>
      </c>
      <c r="S656" s="282">
        <f t="shared" si="1222"/>
        <v>-15.757999999999999</v>
      </c>
      <c r="T656" s="282">
        <f t="shared" si="1222"/>
        <v>3.8830000000000005</v>
      </c>
      <c r="U656" s="282">
        <f t="shared" ref="U656:X656" si="1223">U525+U613</f>
        <v>-0.56299999999999994</v>
      </c>
      <c r="V656" s="282">
        <f t="shared" si="1223"/>
        <v>0.76094366197183083</v>
      </c>
      <c r="W656" s="282">
        <f t="shared" si="1223"/>
        <v>-2.5257331991951708</v>
      </c>
      <c r="X656" s="282">
        <f t="shared" si="1223"/>
        <v>3.62778953722334</v>
      </c>
      <c r="Y656" s="283"/>
      <c r="Z656" s="282">
        <f t="shared" si="1217"/>
        <v>2.89</v>
      </c>
      <c r="AA656" s="282">
        <f t="shared" si="1217"/>
        <v>1.466</v>
      </c>
      <c r="AB656" s="282">
        <f t="shared" si="1211"/>
        <v>13.225999999999999</v>
      </c>
      <c r="AC656" s="282">
        <f t="shared" si="1211"/>
        <v>-12.365000000000002</v>
      </c>
      <c r="AD656" s="282">
        <f t="shared" si="1211"/>
        <v>18.109000000000002</v>
      </c>
      <c r="AE656" s="282">
        <f t="shared" si="1211"/>
        <v>0.59200000000000186</v>
      </c>
      <c r="AF656" s="282">
        <f t="shared" si="1211"/>
        <v>1.3000000000000003</v>
      </c>
      <c r="AG656" s="282">
        <f t="shared" si="1217"/>
        <v>1.3</v>
      </c>
      <c r="AH656" s="282">
        <f t="shared" ref="AH656" si="1224">AH525+AH613</f>
        <v>1.3</v>
      </c>
    </row>
    <row r="657" spans="3:34">
      <c r="C657" s="281" t="s">
        <v>429</v>
      </c>
      <c r="E657" s="282">
        <f t="shared" ref="E657:T657" si="1225">E526+E614</f>
        <v>-0.14199999999999999</v>
      </c>
      <c r="F657" s="282">
        <f t="shared" si="1225"/>
        <v>-0.13900000000000001</v>
      </c>
      <c r="G657" s="282">
        <f t="shared" si="1225"/>
        <v>-0.14000000000000001</v>
      </c>
      <c r="H657" s="282">
        <f t="shared" si="1225"/>
        <v>-1.091</v>
      </c>
      <c r="I657" s="282">
        <f t="shared" si="1225"/>
        <v>-0.50800000000000001</v>
      </c>
      <c r="J657" s="282">
        <f t="shared" si="1225"/>
        <v>-1.0129999999999999</v>
      </c>
      <c r="K657" s="282">
        <f t="shared" si="1225"/>
        <v>-0.50600000000000001</v>
      </c>
      <c r="L657" s="282">
        <f t="shared" si="1225"/>
        <v>-0.50800000000000001</v>
      </c>
      <c r="M657" s="282">
        <f t="shared" si="1225"/>
        <v>-0.42300000000000004</v>
      </c>
      <c r="N657" s="282">
        <f t="shared" si="1225"/>
        <v>-0.42000000000000004</v>
      </c>
      <c r="O657" s="282">
        <f t="shared" si="1225"/>
        <v>-0.77300000000000002</v>
      </c>
      <c r="P657" s="282">
        <f t="shared" si="1225"/>
        <v>-0.13500000000000001</v>
      </c>
      <c r="Q657" s="282">
        <f t="shared" si="1225"/>
        <v>-0.23499999999999999</v>
      </c>
      <c r="R657" s="282">
        <f t="shared" si="1225"/>
        <v>-0.433</v>
      </c>
      <c r="S657" s="282">
        <f t="shared" si="1225"/>
        <v>-0.21</v>
      </c>
      <c r="T657" s="282">
        <f t="shared" si="1225"/>
        <v>-0.20699999999999999</v>
      </c>
      <c r="U657" s="282">
        <f t="shared" ref="U657:X657" si="1226">U526+U614</f>
        <v>-0.21</v>
      </c>
      <c r="V657" s="282">
        <f t="shared" si="1226"/>
        <v>0.47890995260663505</v>
      </c>
      <c r="W657" s="282">
        <f t="shared" si="1226"/>
        <v>0.46777251184834118</v>
      </c>
      <c r="X657" s="282">
        <f t="shared" si="1226"/>
        <v>0.4633175355450237</v>
      </c>
      <c r="Y657" s="283"/>
      <c r="Z657" s="282">
        <f t="shared" si="1217"/>
        <v>-0.45900000000000002</v>
      </c>
      <c r="AA657" s="282">
        <f t="shared" si="1217"/>
        <v>-0.47599999999999998</v>
      </c>
      <c r="AB657" s="282">
        <f t="shared" si="1211"/>
        <v>-1.512</v>
      </c>
      <c r="AC657" s="282">
        <f t="shared" si="1211"/>
        <v>-2.5350000000000001</v>
      </c>
      <c r="AD657" s="282">
        <f t="shared" si="1211"/>
        <v>-1.7510000000000001</v>
      </c>
      <c r="AE657" s="282">
        <f t="shared" si="1211"/>
        <v>-1.085</v>
      </c>
      <c r="AF657" s="282">
        <f t="shared" si="1211"/>
        <v>1.2</v>
      </c>
      <c r="AG657" s="282">
        <f t="shared" si="1217"/>
        <v>1.2</v>
      </c>
      <c r="AH657" s="282">
        <f t="shared" ref="AH657" si="1227">AH526+AH614</f>
        <v>1.2</v>
      </c>
    </row>
    <row r="658" spans="3:34">
      <c r="C658" s="281" t="s">
        <v>443</v>
      </c>
      <c r="E658" s="282">
        <f t="shared" ref="E658:T658" si="1228">E527+E615</f>
        <v>0</v>
      </c>
      <c r="F658" s="282">
        <f t="shared" si="1228"/>
        <v>0</v>
      </c>
      <c r="G658" s="282">
        <f t="shared" si="1228"/>
        <v>0</v>
      </c>
      <c r="H658" s="282">
        <f t="shared" si="1228"/>
        <v>0</v>
      </c>
      <c r="I658" s="282">
        <f t="shared" si="1228"/>
        <v>0</v>
      </c>
      <c r="J658" s="282">
        <f t="shared" si="1228"/>
        <v>0</v>
      </c>
      <c r="K658" s="282">
        <f t="shared" si="1228"/>
        <v>0</v>
      </c>
      <c r="L658" s="282">
        <f t="shared" si="1228"/>
        <v>0</v>
      </c>
      <c r="M658" s="282">
        <f t="shared" si="1228"/>
        <v>0</v>
      </c>
      <c r="N658" s="282">
        <f t="shared" si="1228"/>
        <v>0</v>
      </c>
      <c r="O658" s="282">
        <f t="shared" si="1228"/>
        <v>-13.178000000000001</v>
      </c>
      <c r="P658" s="282">
        <f t="shared" si="1228"/>
        <v>-0.34799999999999998</v>
      </c>
      <c r="Q658" s="282">
        <f t="shared" si="1228"/>
        <v>-0.115</v>
      </c>
      <c r="R658" s="282">
        <f t="shared" si="1228"/>
        <v>-4.9139999999999997</v>
      </c>
      <c r="S658" s="282">
        <f t="shared" si="1228"/>
        <v>0</v>
      </c>
      <c r="T658" s="282">
        <f t="shared" si="1228"/>
        <v>0</v>
      </c>
      <c r="U658" s="282">
        <f t="shared" ref="U658:X658" si="1229">U527+U615</f>
        <v>0</v>
      </c>
      <c r="V658" s="282">
        <f t="shared" si="1229"/>
        <v>0</v>
      </c>
      <c r="W658" s="282">
        <f t="shared" si="1229"/>
        <v>0</v>
      </c>
      <c r="X658" s="282">
        <f t="shared" si="1229"/>
        <v>0</v>
      </c>
      <c r="Y658" s="283"/>
      <c r="Z658" s="282">
        <f t="shared" si="1217"/>
        <v>0</v>
      </c>
      <c r="AA658" s="282">
        <f t="shared" si="1217"/>
        <v>0</v>
      </c>
      <c r="AB658" s="282">
        <f t="shared" si="1211"/>
        <v>0</v>
      </c>
      <c r="AC658" s="282">
        <f t="shared" si="1211"/>
        <v>0</v>
      </c>
      <c r="AD658" s="282">
        <f t="shared" si="1211"/>
        <v>-13.526000000000002</v>
      </c>
      <c r="AE658" s="282">
        <f t="shared" si="1211"/>
        <v>-5.0289999999999999</v>
      </c>
      <c r="AF658" s="282">
        <f t="shared" si="1211"/>
        <v>0</v>
      </c>
      <c r="AG658" s="282">
        <f t="shared" si="1217"/>
        <v>0</v>
      </c>
      <c r="AH658" s="282">
        <f t="shared" ref="AH658" si="1230">AH527+AH615</f>
        <v>0</v>
      </c>
    </row>
    <row r="659" spans="3:34">
      <c r="C659" s="320" t="s">
        <v>436</v>
      </c>
      <c r="E659" s="382">
        <f t="shared" ref="E659:T659" si="1231">SUM(E654:E658)</f>
        <v>33.368999999999993</v>
      </c>
      <c r="F659" s="382">
        <f t="shared" si="1231"/>
        <v>33.321999999999989</v>
      </c>
      <c r="G659" s="382">
        <f t="shared" si="1231"/>
        <v>47.79</v>
      </c>
      <c r="H659" s="382">
        <f t="shared" si="1231"/>
        <v>58.996000000000009</v>
      </c>
      <c r="I659" s="382">
        <f t="shared" si="1231"/>
        <v>55.033999999999999</v>
      </c>
      <c r="J659" s="382">
        <f t="shared" si="1231"/>
        <v>51.428000000000004</v>
      </c>
      <c r="K659" s="382">
        <f t="shared" si="1231"/>
        <v>54.464999999999996</v>
      </c>
      <c r="L659" s="382">
        <f t="shared" si="1231"/>
        <v>56.242000000000012</v>
      </c>
      <c r="M659" s="382">
        <f t="shared" si="1231"/>
        <v>46.841999999999999</v>
      </c>
      <c r="N659" s="382">
        <f t="shared" si="1231"/>
        <v>38.91899999999999</v>
      </c>
      <c r="O659" s="382">
        <f t="shared" si="1231"/>
        <v>37.006</v>
      </c>
      <c r="P659" s="382">
        <f t="shared" si="1231"/>
        <v>38.519999999999989</v>
      </c>
      <c r="Q659" s="382">
        <f t="shared" si="1231"/>
        <v>41.041000000000004</v>
      </c>
      <c r="R659" s="382">
        <f t="shared" si="1231"/>
        <v>59.328999999999994</v>
      </c>
      <c r="S659" s="382">
        <f t="shared" si="1231"/>
        <v>37.952999999999996</v>
      </c>
      <c r="T659" s="382">
        <f t="shared" si="1231"/>
        <v>43.376000000000012</v>
      </c>
      <c r="U659" s="382">
        <f t="shared" ref="U659:X659" si="1232">SUM(U654:U658)</f>
        <v>46.006999999999998</v>
      </c>
      <c r="V659" s="382">
        <f t="shared" si="1232"/>
        <v>35.514226717881506</v>
      </c>
      <c r="W659" s="382">
        <f t="shared" si="1232"/>
        <v>33.875396423874356</v>
      </c>
      <c r="X659" s="382">
        <f t="shared" si="1232"/>
        <v>39.353376858244118</v>
      </c>
      <c r="Y659" s="283"/>
      <c r="Z659" s="382">
        <f t="shared" ref="Z659:AE659" si="1233">SUM(Z654:Z658)</f>
        <v>112.09399999999999</v>
      </c>
      <c r="AA659" s="382">
        <f t="shared" si="1233"/>
        <v>129.00700000000001</v>
      </c>
      <c r="AB659" s="382">
        <f t="shared" si="1233"/>
        <v>173.47699999999998</v>
      </c>
      <c r="AC659" s="382">
        <f t="shared" si="1233"/>
        <v>217.16900000000001</v>
      </c>
      <c r="AD659" s="382">
        <f t="shared" si="1233"/>
        <v>161.28699999999998</v>
      </c>
      <c r="AE659" s="382">
        <f t="shared" si="1233"/>
        <v>181.69900000000001</v>
      </c>
      <c r="AF659" s="382">
        <f>SUM(AF654:AF658)</f>
        <v>154.75</v>
      </c>
      <c r="AG659" s="382">
        <f>SUM(AG654:AG658)</f>
        <v>164.75</v>
      </c>
      <c r="AH659" s="382">
        <f>SUM(AH654:AH658)</f>
        <v>179.75</v>
      </c>
    </row>
    <row r="660" spans="3:34">
      <c r="Y660" s="283"/>
    </row>
    <row r="661" spans="3:34">
      <c r="C661" s="281" t="s">
        <v>429</v>
      </c>
      <c r="E661" s="282">
        <f t="shared" ref="E661:T661" si="1234">E530+E618</f>
        <v>0.14299999999999999</v>
      </c>
      <c r="F661" s="282">
        <f t="shared" si="1234"/>
        <v>0.14000000000000001</v>
      </c>
      <c r="G661" s="282">
        <f t="shared" si="1234"/>
        <v>0.13800000000000001</v>
      </c>
      <c r="H661" s="282">
        <f t="shared" si="1234"/>
        <v>0.70399999999999996</v>
      </c>
      <c r="I661" s="282">
        <f t="shared" si="1234"/>
        <v>0.50700000000000001</v>
      </c>
      <c r="J661" s="282">
        <f t="shared" si="1234"/>
        <v>0.505</v>
      </c>
      <c r="K661" s="282">
        <f t="shared" si="1234"/>
        <v>0.50800000000000001</v>
      </c>
      <c r="L661" s="282">
        <f t="shared" si="1234"/>
        <v>0.50700000000000001</v>
      </c>
      <c r="M661" s="282">
        <f t="shared" si="1234"/>
        <v>0.42300000000000004</v>
      </c>
      <c r="N661" s="282">
        <f t="shared" si="1234"/>
        <v>0.42100000000000004</v>
      </c>
      <c r="O661" s="282">
        <f t="shared" si="1234"/>
        <v>9.7000000000000003E-2</v>
      </c>
      <c r="P661" s="282">
        <f t="shared" si="1234"/>
        <v>9.9000000000000005E-2</v>
      </c>
      <c r="Q661" s="282">
        <f t="shared" si="1234"/>
        <v>0.23499999999999999</v>
      </c>
      <c r="R661" s="282">
        <f t="shared" si="1234"/>
        <v>0.433</v>
      </c>
      <c r="S661" s="282">
        <f t="shared" si="1234"/>
        <v>0.53600000000000003</v>
      </c>
      <c r="T661" s="282">
        <f t="shared" si="1234"/>
        <v>0.53600000000000003</v>
      </c>
      <c r="U661" s="282">
        <f t="shared" ref="U661:X661" si="1235">U530+U618</f>
        <v>0.21</v>
      </c>
      <c r="V661" s="282">
        <f t="shared" si="1235"/>
        <v>0.23436018957345972</v>
      </c>
      <c r="W661" s="282">
        <f t="shared" si="1235"/>
        <v>0.22781990521327014</v>
      </c>
      <c r="X661" s="282">
        <f t="shared" si="1235"/>
        <v>0.22781990521327014</v>
      </c>
      <c r="Y661" s="283"/>
      <c r="Z661" s="282">
        <f t="shared" ref="Z661:AG664" si="1236">Z530+Z618</f>
        <v>0.45800000000000002</v>
      </c>
      <c r="AA661" s="282">
        <f t="shared" si="1236"/>
        <v>0.47499999999999998</v>
      </c>
      <c r="AB661" s="282">
        <f t="shared" ref="AB661:AF664" si="1237">SUMIF($E$5:$X$5,AB$5,$E661:$X661)</f>
        <v>1.125</v>
      </c>
      <c r="AC661" s="282">
        <f t="shared" si="1237"/>
        <v>2.0270000000000001</v>
      </c>
      <c r="AD661" s="282">
        <f t="shared" si="1237"/>
        <v>1.04</v>
      </c>
      <c r="AE661" s="282">
        <f t="shared" si="1237"/>
        <v>1.74</v>
      </c>
      <c r="AF661" s="282">
        <f t="shared" si="1237"/>
        <v>0.89999999999999991</v>
      </c>
      <c r="AG661" s="282">
        <f t="shared" si="1236"/>
        <v>0.9</v>
      </c>
      <c r="AH661" s="282">
        <f t="shared" ref="AH661" si="1238">AH530+AH618</f>
        <v>0.9</v>
      </c>
    </row>
    <row r="662" spans="3:34">
      <c r="C662" s="281" t="s">
        <v>314</v>
      </c>
      <c r="E662" s="282">
        <f t="shared" ref="E662:T662" si="1239">E531+E619</f>
        <v>1.19</v>
      </c>
      <c r="F662" s="282">
        <f t="shared" si="1239"/>
        <v>1.33</v>
      </c>
      <c r="G662" s="282">
        <f t="shared" si="1239"/>
        <v>4.1760000000000002</v>
      </c>
      <c r="H662" s="282">
        <f t="shared" si="1239"/>
        <v>5.0039999999999996</v>
      </c>
      <c r="I662" s="282">
        <f t="shared" si="1239"/>
        <v>1.464</v>
      </c>
      <c r="J662" s="282">
        <f t="shared" si="1239"/>
        <v>1.6389999999999998</v>
      </c>
      <c r="K662" s="282">
        <f t="shared" si="1239"/>
        <v>1.835</v>
      </c>
      <c r="L662" s="282">
        <f t="shared" si="1239"/>
        <v>0.84499999999999997</v>
      </c>
      <c r="M662" s="282">
        <f t="shared" si="1239"/>
        <v>0.77599999999999991</v>
      </c>
      <c r="N662" s="282">
        <f t="shared" si="1239"/>
        <v>0.46700000000000003</v>
      </c>
      <c r="O662" s="282">
        <f t="shared" si="1239"/>
        <v>0.33500000000000002</v>
      </c>
      <c r="P662" s="282">
        <f t="shared" si="1239"/>
        <v>0.73799999999999999</v>
      </c>
      <c r="Q662" s="282">
        <f t="shared" si="1239"/>
        <v>0.90700000000000003</v>
      </c>
      <c r="R662" s="282">
        <f t="shared" si="1239"/>
        <v>1.103</v>
      </c>
      <c r="S662" s="282">
        <f t="shared" si="1239"/>
        <v>1.5409999999999999</v>
      </c>
      <c r="T662" s="282">
        <f t="shared" si="1239"/>
        <v>1.7749999999999999</v>
      </c>
      <c r="U662" s="282">
        <f t="shared" ref="U662:X662" si="1240">U531+U619</f>
        <v>1.3939999999999999</v>
      </c>
      <c r="V662" s="282">
        <f t="shared" si="1240"/>
        <v>0.97495315682281047</v>
      </c>
      <c r="W662" s="282">
        <f t="shared" si="1240"/>
        <v>1.3621059063136454</v>
      </c>
      <c r="X662" s="282">
        <f t="shared" si="1240"/>
        <v>1.5689409368635434</v>
      </c>
      <c r="Y662" s="283"/>
      <c r="Z662" s="282">
        <f t="shared" si="1236"/>
        <v>3.331</v>
      </c>
      <c r="AA662" s="282">
        <f t="shared" si="1236"/>
        <v>4.351</v>
      </c>
      <c r="AB662" s="282">
        <f t="shared" si="1237"/>
        <v>11.7</v>
      </c>
      <c r="AC662" s="282">
        <f t="shared" si="1237"/>
        <v>5.7829999999999995</v>
      </c>
      <c r="AD662" s="282">
        <f t="shared" si="1237"/>
        <v>2.3159999999999998</v>
      </c>
      <c r="AE662" s="282">
        <f t="shared" si="1237"/>
        <v>5.3259999999999996</v>
      </c>
      <c r="AF662" s="282">
        <f t="shared" si="1237"/>
        <v>5.2999999999999989</v>
      </c>
      <c r="AG662" s="282">
        <f t="shared" si="1236"/>
        <v>5.3</v>
      </c>
      <c r="AH662" s="282">
        <f t="shared" ref="AH662" si="1241">AH531+AH619</f>
        <v>5.3</v>
      </c>
    </row>
    <row r="663" spans="3:34">
      <c r="C663" s="281" t="s">
        <v>430</v>
      </c>
      <c r="E663" s="282">
        <f t="shared" ref="E663:T663" si="1242">E532+E620</f>
        <v>9.0670000000000002</v>
      </c>
      <c r="F663" s="282">
        <f t="shared" si="1242"/>
        <v>9.8089999999999993</v>
      </c>
      <c r="G663" s="282">
        <f t="shared" si="1242"/>
        <v>15.305</v>
      </c>
      <c r="H663" s="282">
        <f t="shared" si="1242"/>
        <v>23.609000000000002</v>
      </c>
      <c r="I663" s="282">
        <f t="shared" si="1242"/>
        <v>18.399000000000001</v>
      </c>
      <c r="J663" s="282">
        <f t="shared" si="1242"/>
        <v>21.984000000000002</v>
      </c>
      <c r="K663" s="282">
        <f t="shared" si="1242"/>
        <v>15.542</v>
      </c>
      <c r="L663" s="282">
        <f t="shared" si="1242"/>
        <v>8.6449999999999996</v>
      </c>
      <c r="M663" s="282">
        <f t="shared" si="1242"/>
        <v>9.3320000000000007</v>
      </c>
      <c r="N663" s="282">
        <f t="shared" si="1242"/>
        <v>5.0519999999999996</v>
      </c>
      <c r="O663" s="282">
        <f t="shared" si="1242"/>
        <v>11.629</v>
      </c>
      <c r="P663" s="282">
        <f t="shared" si="1242"/>
        <v>10.829000000000001</v>
      </c>
      <c r="Q663" s="282">
        <f t="shared" si="1242"/>
        <v>7.8470000000000004</v>
      </c>
      <c r="R663" s="282">
        <f t="shared" si="1242"/>
        <v>6.1079999999999997</v>
      </c>
      <c r="S663" s="282">
        <f t="shared" si="1242"/>
        <v>7.2370000000000001</v>
      </c>
      <c r="T663" s="282">
        <f t="shared" si="1242"/>
        <v>10.775</v>
      </c>
      <c r="U663" s="282">
        <f t="shared" ref="U663:X663" si="1243">U532+U620</f>
        <v>7.2809999999999997</v>
      </c>
      <c r="V663" s="282">
        <f t="shared" si="1243"/>
        <v>7.2731777587512765</v>
      </c>
      <c r="W663" s="282">
        <f t="shared" si="1243"/>
        <v>10.208361148615273</v>
      </c>
      <c r="X663" s="282">
        <f t="shared" si="1243"/>
        <v>5.9374610926334519</v>
      </c>
      <c r="Y663" s="283"/>
      <c r="Z663" s="282">
        <f t="shared" si="1236"/>
        <v>66.325999999999993</v>
      </c>
      <c r="AA663" s="282">
        <f t="shared" si="1236"/>
        <v>50.664000000000001</v>
      </c>
      <c r="AB663" s="282">
        <f t="shared" si="1237"/>
        <v>57.79</v>
      </c>
      <c r="AC663" s="282">
        <f t="shared" si="1237"/>
        <v>64.570000000000007</v>
      </c>
      <c r="AD663" s="282">
        <f t="shared" si="1237"/>
        <v>36.841999999999999</v>
      </c>
      <c r="AE663" s="282">
        <f t="shared" si="1237"/>
        <v>31.966999999999999</v>
      </c>
      <c r="AF663" s="282">
        <f t="shared" si="1237"/>
        <v>30.7</v>
      </c>
      <c r="AG663" s="282">
        <f t="shared" si="1236"/>
        <v>30.7</v>
      </c>
      <c r="AH663" s="282">
        <f t="shared" ref="AH663" si="1244">AH532+AH620</f>
        <v>30.7</v>
      </c>
    </row>
    <row r="664" spans="3:34">
      <c r="C664" s="281" t="s">
        <v>313</v>
      </c>
      <c r="E664" s="282">
        <f t="shared" ref="E664:T664" si="1245">E533+E621</f>
        <v>0</v>
      </c>
      <c r="F664" s="282">
        <f t="shared" si="1245"/>
        <v>0</v>
      </c>
      <c r="G664" s="282">
        <f t="shared" si="1245"/>
        <v>0</v>
      </c>
      <c r="H664" s="282">
        <f t="shared" si="1245"/>
        <v>0</v>
      </c>
      <c r="I664" s="282">
        <f t="shared" si="1245"/>
        <v>0</v>
      </c>
      <c r="J664" s="282">
        <f t="shared" si="1245"/>
        <v>0</v>
      </c>
      <c r="K664" s="282">
        <f t="shared" si="1245"/>
        <v>0</v>
      </c>
      <c r="L664" s="282">
        <f t="shared" si="1245"/>
        <v>0</v>
      </c>
      <c r="M664" s="282">
        <f t="shared" si="1245"/>
        <v>0</v>
      </c>
      <c r="N664" s="282">
        <f t="shared" si="1245"/>
        <v>0</v>
      </c>
      <c r="O664" s="282">
        <f t="shared" si="1245"/>
        <v>0</v>
      </c>
      <c r="P664" s="282">
        <f t="shared" si="1245"/>
        <v>0</v>
      </c>
      <c r="Q664" s="282">
        <f t="shared" si="1245"/>
        <v>0</v>
      </c>
      <c r="R664" s="282">
        <f t="shared" si="1245"/>
        <v>0</v>
      </c>
      <c r="S664" s="282">
        <f t="shared" si="1245"/>
        <v>0</v>
      </c>
      <c r="T664" s="282">
        <f t="shared" si="1245"/>
        <v>0</v>
      </c>
      <c r="U664" s="282">
        <f t="shared" ref="U664:X664" si="1246">U533+U621</f>
        <v>0</v>
      </c>
      <c r="V664" s="282">
        <f t="shared" si="1246"/>
        <v>0</v>
      </c>
      <c r="W664" s="282">
        <f t="shared" si="1246"/>
        <v>0</v>
      </c>
      <c r="X664" s="282">
        <f t="shared" si="1246"/>
        <v>0</v>
      </c>
      <c r="Y664" s="283"/>
      <c r="Z664" s="282">
        <f t="shared" si="1236"/>
        <v>0</v>
      </c>
      <c r="AA664" s="282">
        <f t="shared" si="1236"/>
        <v>0</v>
      </c>
      <c r="AB664" s="282">
        <f t="shared" si="1237"/>
        <v>0</v>
      </c>
      <c r="AC664" s="282">
        <f t="shared" si="1237"/>
        <v>0</v>
      </c>
      <c r="AD664" s="282">
        <f t="shared" si="1237"/>
        <v>0</v>
      </c>
      <c r="AE664" s="282">
        <f t="shared" si="1237"/>
        <v>0</v>
      </c>
      <c r="AF664" s="282">
        <f t="shared" si="1237"/>
        <v>0</v>
      </c>
      <c r="AG664" s="282">
        <f t="shared" si="1236"/>
        <v>0</v>
      </c>
      <c r="AH664" s="282">
        <f t="shared" ref="AH664" si="1247">AH533+AH621</f>
        <v>0</v>
      </c>
    </row>
    <row r="665" spans="3:34">
      <c r="C665" s="320" t="s">
        <v>437</v>
      </c>
      <c r="E665" s="382">
        <f t="shared" ref="E665:T665" si="1248">E659+SUM(E661:E664)</f>
        <v>43.768999999999991</v>
      </c>
      <c r="F665" s="382">
        <f t="shared" si="1248"/>
        <v>44.600999999999985</v>
      </c>
      <c r="G665" s="382">
        <f t="shared" si="1248"/>
        <v>67.408999999999992</v>
      </c>
      <c r="H665" s="382">
        <f t="shared" si="1248"/>
        <v>88.313000000000017</v>
      </c>
      <c r="I665" s="382">
        <f t="shared" si="1248"/>
        <v>75.403999999999996</v>
      </c>
      <c r="J665" s="382">
        <f t="shared" si="1248"/>
        <v>75.556000000000012</v>
      </c>
      <c r="K665" s="382">
        <f t="shared" si="1248"/>
        <v>72.349999999999994</v>
      </c>
      <c r="L665" s="382">
        <f t="shared" si="1248"/>
        <v>66.239000000000004</v>
      </c>
      <c r="M665" s="382">
        <f t="shared" si="1248"/>
        <v>57.372999999999998</v>
      </c>
      <c r="N665" s="382">
        <f t="shared" si="1248"/>
        <v>44.858999999999988</v>
      </c>
      <c r="O665" s="382">
        <f t="shared" si="1248"/>
        <v>49.067</v>
      </c>
      <c r="P665" s="382">
        <f t="shared" si="1248"/>
        <v>50.185999999999993</v>
      </c>
      <c r="Q665" s="382">
        <f t="shared" si="1248"/>
        <v>50.03</v>
      </c>
      <c r="R665" s="382">
        <f t="shared" si="1248"/>
        <v>66.972999999999999</v>
      </c>
      <c r="S665" s="382">
        <f t="shared" si="1248"/>
        <v>47.266999999999996</v>
      </c>
      <c r="T665" s="382">
        <f t="shared" si="1248"/>
        <v>56.46200000000001</v>
      </c>
      <c r="U665" s="382">
        <f t="shared" ref="U665:X665" si="1249">U659+SUM(U661:U664)</f>
        <v>54.891999999999996</v>
      </c>
      <c r="V665" s="382">
        <f t="shared" si="1249"/>
        <v>43.996717823029051</v>
      </c>
      <c r="W665" s="382">
        <f t="shared" si="1249"/>
        <v>45.673683384016542</v>
      </c>
      <c r="X665" s="382">
        <f t="shared" si="1249"/>
        <v>47.087598792954381</v>
      </c>
      <c r="Y665" s="283"/>
      <c r="Z665" s="382">
        <f t="shared" ref="Z665:AE665" si="1250">Z659+SUM(Z661:Z664)</f>
        <v>182.209</v>
      </c>
      <c r="AA665" s="382">
        <f t="shared" si="1250"/>
        <v>184.49700000000001</v>
      </c>
      <c r="AB665" s="382">
        <f t="shared" si="1250"/>
        <v>244.09199999999998</v>
      </c>
      <c r="AC665" s="382">
        <f t="shared" si="1250"/>
        <v>289.54900000000004</v>
      </c>
      <c r="AD665" s="382">
        <f t="shared" si="1250"/>
        <v>201.48499999999999</v>
      </c>
      <c r="AE665" s="382">
        <f t="shared" si="1250"/>
        <v>220.73200000000003</v>
      </c>
      <c r="AF665" s="382">
        <f>AF659+SUM(AF661:AF664)</f>
        <v>191.65</v>
      </c>
      <c r="AG665" s="382">
        <f>AG659+SUM(AG661:AG664)</f>
        <v>201.65</v>
      </c>
      <c r="AH665" s="382">
        <f>AH659+SUM(AH661:AH664)</f>
        <v>216.65</v>
      </c>
    </row>
    <row r="666" spans="3:34">
      <c r="Y666" s="283"/>
    </row>
    <row r="667" spans="3:34">
      <c r="C667" s="414" t="s">
        <v>431</v>
      </c>
      <c r="Y667" s="283"/>
    </row>
    <row r="668" spans="3:34">
      <c r="C668" s="281" t="s">
        <v>444</v>
      </c>
      <c r="E668" s="282">
        <f t="shared" ref="E668:T668" si="1251">E537+E625</f>
        <v>0.14799999999999999</v>
      </c>
      <c r="F668" s="282">
        <f t="shared" si="1251"/>
        <v>0.20100000000000001</v>
      </c>
      <c r="G668" s="282">
        <f t="shared" si="1251"/>
        <v>1.3739999999999999</v>
      </c>
      <c r="H668" s="282">
        <f t="shared" si="1251"/>
        <v>1.3860000000000001</v>
      </c>
      <c r="I668" s="282">
        <f t="shared" si="1251"/>
        <v>1.1829999999999998</v>
      </c>
      <c r="J668" s="282">
        <f t="shared" si="1251"/>
        <v>0.83</v>
      </c>
      <c r="K668" s="282">
        <f t="shared" si="1251"/>
        <v>0.86599999999999999</v>
      </c>
      <c r="L668" s="282">
        <f t="shared" si="1251"/>
        <v>0.55099999999999993</v>
      </c>
      <c r="M668" s="282">
        <f t="shared" si="1251"/>
        <v>0.45299999999999996</v>
      </c>
      <c r="N668" s="282">
        <f t="shared" si="1251"/>
        <v>0.374</v>
      </c>
      <c r="O668" s="282">
        <f t="shared" si="1251"/>
        <v>9.2999999999999999E-2</v>
      </c>
      <c r="P668" s="282">
        <f t="shared" si="1251"/>
        <v>0.214</v>
      </c>
      <c r="Q668" s="282">
        <f t="shared" si="1251"/>
        <v>0.27800000000000002</v>
      </c>
      <c r="R668" s="282">
        <f t="shared" si="1251"/>
        <v>1.3120000000000001</v>
      </c>
      <c r="S668" s="282">
        <f t="shared" si="1251"/>
        <v>0.17500000000000002</v>
      </c>
      <c r="T668" s="282">
        <f t="shared" si="1251"/>
        <v>0.20399999999999999</v>
      </c>
      <c r="U668" s="282">
        <f t="shared" ref="U668:X668" si="1252">U537+U625</f>
        <v>0.16600000000000001</v>
      </c>
      <c r="V668" s="282">
        <f t="shared" si="1252"/>
        <v>0.21011764705882352</v>
      </c>
      <c r="W668" s="282">
        <f t="shared" si="1252"/>
        <v>0.16990374331550803</v>
      </c>
      <c r="X668" s="282">
        <f t="shared" si="1252"/>
        <v>0.18397860962566845</v>
      </c>
      <c r="Y668" s="283"/>
      <c r="Z668" s="282">
        <f t="shared" ref="Z668:AG671" si="1253">Z537+Z625</f>
        <v>0.57199999999999995</v>
      </c>
      <c r="AA668" s="282">
        <f t="shared" si="1253"/>
        <v>0.61399999999999999</v>
      </c>
      <c r="AB668" s="282">
        <f t="shared" ref="AB668:AF671" si="1254">SUMIF($E$5:$X$5,AB$5,$E668:$X668)</f>
        <v>3.109</v>
      </c>
      <c r="AC668" s="282">
        <f t="shared" si="1254"/>
        <v>3.4299999999999997</v>
      </c>
      <c r="AD668" s="282">
        <f t="shared" si="1254"/>
        <v>1.1339999999999999</v>
      </c>
      <c r="AE668" s="282">
        <f t="shared" si="1254"/>
        <v>1.9690000000000001</v>
      </c>
      <c r="AF668" s="282">
        <f t="shared" si="1254"/>
        <v>0.73000000000000009</v>
      </c>
      <c r="AG668" s="282">
        <f t="shared" si="1253"/>
        <v>0.73</v>
      </c>
      <c r="AH668" s="282">
        <f t="shared" ref="AH668" si="1255">AH537+AH625</f>
        <v>0.73</v>
      </c>
    </row>
    <row r="669" spans="3:34">
      <c r="C669" s="281" t="s">
        <v>440</v>
      </c>
      <c r="E669" s="282">
        <f t="shared" ref="E669:T669" si="1256">E538+E626</f>
        <v>0</v>
      </c>
      <c r="F669" s="282">
        <f t="shared" si="1256"/>
        <v>0</v>
      </c>
      <c r="G669" s="282">
        <f t="shared" si="1256"/>
        <v>0</v>
      </c>
      <c r="H669" s="282">
        <f t="shared" si="1256"/>
        <v>0</v>
      </c>
      <c r="I669" s="282">
        <f t="shared" si="1256"/>
        <v>0</v>
      </c>
      <c r="J669" s="282">
        <f t="shared" si="1256"/>
        <v>0</v>
      </c>
      <c r="K669" s="282">
        <f t="shared" si="1256"/>
        <v>0</v>
      </c>
      <c r="L669" s="282">
        <f t="shared" si="1256"/>
        <v>0</v>
      </c>
      <c r="M669" s="282">
        <f t="shared" si="1256"/>
        <v>0</v>
      </c>
      <c r="N669" s="282">
        <f t="shared" si="1256"/>
        <v>0</v>
      </c>
      <c r="O669" s="282">
        <f t="shared" si="1256"/>
        <v>0</v>
      </c>
      <c r="P669" s="282">
        <f t="shared" si="1256"/>
        <v>0</v>
      </c>
      <c r="Q669" s="282">
        <f t="shared" si="1256"/>
        <v>0</v>
      </c>
      <c r="R669" s="282">
        <f t="shared" si="1256"/>
        <v>0</v>
      </c>
      <c r="S669" s="282">
        <f t="shared" si="1256"/>
        <v>0</v>
      </c>
      <c r="T669" s="282">
        <f t="shared" si="1256"/>
        <v>0</v>
      </c>
      <c r="U669" s="282">
        <f t="shared" ref="U669:X669" si="1257">U538+U626</f>
        <v>0</v>
      </c>
      <c r="V669" s="282">
        <f t="shared" si="1257"/>
        <v>0</v>
      </c>
      <c r="W669" s="282">
        <f t="shared" si="1257"/>
        <v>0</v>
      </c>
      <c r="X669" s="282">
        <f t="shared" si="1257"/>
        <v>0</v>
      </c>
      <c r="Y669" s="283"/>
      <c r="Z669" s="282">
        <f t="shared" si="1253"/>
        <v>0</v>
      </c>
      <c r="AA669" s="282">
        <f t="shared" si="1253"/>
        <v>0</v>
      </c>
      <c r="AB669" s="282">
        <f t="shared" si="1254"/>
        <v>0</v>
      </c>
      <c r="AC669" s="282">
        <f t="shared" si="1254"/>
        <v>0</v>
      </c>
      <c r="AD669" s="282">
        <f t="shared" si="1254"/>
        <v>0</v>
      </c>
      <c r="AE669" s="282">
        <f t="shared" si="1254"/>
        <v>0</v>
      </c>
      <c r="AF669" s="282">
        <f t="shared" si="1254"/>
        <v>0</v>
      </c>
      <c r="AG669" s="282">
        <f t="shared" si="1253"/>
        <v>0</v>
      </c>
      <c r="AH669" s="282">
        <f t="shared" ref="AH669" si="1258">AH538+AH626</f>
        <v>0</v>
      </c>
    </row>
    <row r="670" spans="3:34">
      <c r="C670" s="281" t="s">
        <v>439</v>
      </c>
      <c r="E670" s="282">
        <f t="shared" ref="E670:T670" si="1259">E539+E627</f>
        <v>0</v>
      </c>
      <c r="F670" s="282">
        <f t="shared" si="1259"/>
        <v>0</v>
      </c>
      <c r="G670" s="282">
        <f t="shared" si="1259"/>
        <v>0</v>
      </c>
      <c r="H670" s="282">
        <f t="shared" si="1259"/>
        <v>0</v>
      </c>
      <c r="I670" s="282">
        <f t="shared" si="1259"/>
        <v>0</v>
      </c>
      <c r="J670" s="282">
        <f t="shared" si="1259"/>
        <v>0</v>
      </c>
      <c r="K670" s="282">
        <f t="shared" si="1259"/>
        <v>0</v>
      </c>
      <c r="L670" s="282">
        <f t="shared" si="1259"/>
        <v>0</v>
      </c>
      <c r="M670" s="282">
        <f t="shared" si="1259"/>
        <v>0</v>
      </c>
      <c r="N670" s="282">
        <f t="shared" si="1259"/>
        <v>0</v>
      </c>
      <c r="O670" s="282">
        <f t="shared" si="1259"/>
        <v>0</v>
      </c>
      <c r="P670" s="282">
        <f t="shared" si="1259"/>
        <v>0</v>
      </c>
      <c r="Q670" s="282">
        <f t="shared" si="1259"/>
        <v>0</v>
      </c>
      <c r="R670" s="282">
        <f t="shared" si="1259"/>
        <v>0</v>
      </c>
      <c r="S670" s="282">
        <f t="shared" si="1259"/>
        <v>0</v>
      </c>
      <c r="T670" s="282">
        <f t="shared" si="1259"/>
        <v>0</v>
      </c>
      <c r="U670" s="282">
        <f t="shared" ref="U670:X670" si="1260">U539+U627</f>
        <v>0</v>
      </c>
      <c r="V670" s="282">
        <f t="shared" si="1260"/>
        <v>0</v>
      </c>
      <c r="W670" s="282">
        <f t="shared" si="1260"/>
        <v>0</v>
      </c>
      <c r="X670" s="282">
        <f t="shared" si="1260"/>
        <v>0</v>
      </c>
      <c r="Y670" s="283"/>
      <c r="Z670" s="282">
        <f t="shared" si="1253"/>
        <v>0</v>
      </c>
      <c r="AA670" s="282">
        <f t="shared" si="1253"/>
        <v>0</v>
      </c>
      <c r="AB670" s="282">
        <f t="shared" si="1254"/>
        <v>0</v>
      </c>
      <c r="AC670" s="282">
        <f t="shared" si="1254"/>
        <v>0</v>
      </c>
      <c r="AD670" s="282">
        <f t="shared" si="1254"/>
        <v>0</v>
      </c>
      <c r="AE670" s="282">
        <f t="shared" si="1254"/>
        <v>0</v>
      </c>
      <c r="AF670" s="282">
        <f t="shared" si="1254"/>
        <v>0</v>
      </c>
      <c r="AG670" s="282">
        <f t="shared" si="1253"/>
        <v>0</v>
      </c>
      <c r="AH670" s="282">
        <f t="shared" ref="AH670" si="1261">AH539+AH627</f>
        <v>0</v>
      </c>
    </row>
    <row r="671" spans="3:34">
      <c r="C671" s="281" t="s">
        <v>441</v>
      </c>
      <c r="E671" s="282">
        <f t="shared" ref="E671:T671" si="1262">E540+E628</f>
        <v>0</v>
      </c>
      <c r="F671" s="282">
        <f t="shared" si="1262"/>
        <v>0</v>
      </c>
      <c r="G671" s="282">
        <f t="shared" si="1262"/>
        <v>0</v>
      </c>
      <c r="H671" s="282">
        <f t="shared" si="1262"/>
        <v>0</v>
      </c>
      <c r="I671" s="282">
        <f t="shared" si="1262"/>
        <v>0</v>
      </c>
      <c r="J671" s="282">
        <f t="shared" si="1262"/>
        <v>0</v>
      </c>
      <c r="K671" s="282">
        <f t="shared" si="1262"/>
        <v>0</v>
      </c>
      <c r="L671" s="282">
        <f t="shared" si="1262"/>
        <v>0</v>
      </c>
      <c r="M671" s="282">
        <f t="shared" si="1262"/>
        <v>0</v>
      </c>
      <c r="N671" s="282">
        <f t="shared" si="1262"/>
        <v>0</v>
      </c>
      <c r="O671" s="282">
        <f t="shared" si="1262"/>
        <v>0</v>
      </c>
      <c r="P671" s="282">
        <f t="shared" si="1262"/>
        <v>0</v>
      </c>
      <c r="Q671" s="282">
        <f t="shared" si="1262"/>
        <v>0</v>
      </c>
      <c r="R671" s="282">
        <f t="shared" si="1262"/>
        <v>0</v>
      </c>
      <c r="S671" s="282">
        <f t="shared" si="1262"/>
        <v>0</v>
      </c>
      <c r="T671" s="282">
        <f t="shared" si="1262"/>
        <v>0</v>
      </c>
      <c r="U671" s="282">
        <f t="shared" ref="U671:X671" si="1263">U540+U628</f>
        <v>0</v>
      </c>
      <c r="V671" s="282">
        <f t="shared" si="1263"/>
        <v>0</v>
      </c>
      <c r="W671" s="282">
        <f t="shared" si="1263"/>
        <v>0</v>
      </c>
      <c r="X671" s="282">
        <f t="shared" si="1263"/>
        <v>0</v>
      </c>
      <c r="Y671" s="283"/>
      <c r="Z671" s="282">
        <f t="shared" si="1253"/>
        <v>0</v>
      </c>
      <c r="AA671" s="282">
        <f t="shared" si="1253"/>
        <v>0</v>
      </c>
      <c r="AB671" s="282">
        <f t="shared" si="1254"/>
        <v>0</v>
      </c>
      <c r="AC671" s="282">
        <f t="shared" si="1254"/>
        <v>0</v>
      </c>
      <c r="AD671" s="282">
        <f t="shared" si="1254"/>
        <v>0</v>
      </c>
      <c r="AE671" s="282">
        <f t="shared" si="1254"/>
        <v>0</v>
      </c>
      <c r="AF671" s="282">
        <f t="shared" si="1254"/>
        <v>0</v>
      </c>
      <c r="AG671" s="282">
        <f t="shared" si="1253"/>
        <v>0</v>
      </c>
      <c r="AH671" s="282">
        <f t="shared" ref="AH671" si="1264">AH540+AH628</f>
        <v>0</v>
      </c>
    </row>
    <row r="672" spans="3:34">
      <c r="C672" s="320" t="s">
        <v>466</v>
      </c>
      <c r="E672" s="382">
        <f t="shared" ref="E672:T672" si="1265">SUM(E668)</f>
        <v>0.14799999999999999</v>
      </c>
      <c r="F672" s="382">
        <f t="shared" si="1265"/>
        <v>0.20100000000000001</v>
      </c>
      <c r="G672" s="382">
        <f t="shared" si="1265"/>
        <v>1.3739999999999999</v>
      </c>
      <c r="H672" s="382">
        <f t="shared" si="1265"/>
        <v>1.3860000000000001</v>
      </c>
      <c r="I672" s="382">
        <f t="shared" si="1265"/>
        <v>1.1829999999999998</v>
      </c>
      <c r="J672" s="382">
        <f t="shared" si="1265"/>
        <v>0.83</v>
      </c>
      <c r="K672" s="382">
        <f t="shared" si="1265"/>
        <v>0.86599999999999999</v>
      </c>
      <c r="L672" s="382">
        <f t="shared" si="1265"/>
        <v>0.55099999999999993</v>
      </c>
      <c r="M672" s="382">
        <f t="shared" si="1265"/>
        <v>0.45299999999999996</v>
      </c>
      <c r="N672" s="382">
        <f t="shared" si="1265"/>
        <v>0.374</v>
      </c>
      <c r="O672" s="382">
        <f t="shared" si="1265"/>
        <v>9.2999999999999999E-2</v>
      </c>
      <c r="P672" s="382">
        <f t="shared" si="1265"/>
        <v>0.214</v>
      </c>
      <c r="Q672" s="382">
        <f t="shared" si="1265"/>
        <v>0.27800000000000002</v>
      </c>
      <c r="R672" s="382">
        <f t="shared" si="1265"/>
        <v>1.3120000000000001</v>
      </c>
      <c r="S672" s="382">
        <f t="shared" si="1265"/>
        <v>0.17500000000000002</v>
      </c>
      <c r="T672" s="382">
        <f t="shared" si="1265"/>
        <v>0.20399999999999999</v>
      </c>
      <c r="U672" s="382">
        <f t="shared" ref="U672:X672" si="1266">SUM(U668)</f>
        <v>0.16600000000000001</v>
      </c>
      <c r="V672" s="382">
        <f t="shared" si="1266"/>
        <v>0.21011764705882352</v>
      </c>
      <c r="W672" s="382">
        <f t="shared" si="1266"/>
        <v>0.16990374331550803</v>
      </c>
      <c r="X672" s="382">
        <f t="shared" si="1266"/>
        <v>0.18397860962566845</v>
      </c>
      <c r="Y672" s="283"/>
      <c r="Z672" s="382">
        <f t="shared" ref="Z672:AG672" si="1267">SUM(Z668)</f>
        <v>0.57199999999999995</v>
      </c>
      <c r="AA672" s="382">
        <f t="shared" si="1267"/>
        <v>0.61399999999999999</v>
      </c>
      <c r="AB672" s="382">
        <f t="shared" si="1267"/>
        <v>3.109</v>
      </c>
      <c r="AC672" s="382">
        <f t="shared" si="1267"/>
        <v>3.4299999999999997</v>
      </c>
      <c r="AD672" s="382">
        <f t="shared" si="1267"/>
        <v>1.1339999999999999</v>
      </c>
      <c r="AE672" s="382">
        <f t="shared" si="1267"/>
        <v>1.9690000000000001</v>
      </c>
      <c r="AF672" s="382">
        <f t="shared" si="1267"/>
        <v>0.73000000000000009</v>
      </c>
      <c r="AG672" s="382">
        <f t="shared" si="1267"/>
        <v>0.73</v>
      </c>
      <c r="AH672" s="382">
        <f t="shared" ref="AH672" si="1268">SUM(AH668)</f>
        <v>0.73</v>
      </c>
    </row>
    <row r="673" spans="1:34">
      <c r="C673" s="320"/>
      <c r="Y673" s="283"/>
    </row>
    <row r="674" spans="1:34" s="315" customFormat="1">
      <c r="A674" s="283"/>
      <c r="B674" s="472"/>
      <c r="C674" s="472" t="s">
        <v>433</v>
      </c>
      <c r="D674" s="494"/>
      <c r="E674" s="461">
        <f>E659-E672</f>
        <v>33.220999999999989</v>
      </c>
      <c r="F674" s="461">
        <f t="shared" ref="F674:T674" si="1269">F659-F672</f>
        <v>33.120999999999988</v>
      </c>
      <c r="G674" s="461">
        <f t="shared" si="1269"/>
        <v>46.415999999999997</v>
      </c>
      <c r="H674" s="461">
        <f t="shared" si="1269"/>
        <v>57.610000000000007</v>
      </c>
      <c r="I674" s="461">
        <f t="shared" si="1269"/>
        <v>53.850999999999999</v>
      </c>
      <c r="J674" s="461">
        <f t="shared" si="1269"/>
        <v>50.598000000000006</v>
      </c>
      <c r="K674" s="461">
        <f t="shared" si="1269"/>
        <v>53.598999999999997</v>
      </c>
      <c r="L674" s="461">
        <f t="shared" si="1269"/>
        <v>55.69100000000001</v>
      </c>
      <c r="M674" s="461">
        <f t="shared" si="1269"/>
        <v>46.388999999999996</v>
      </c>
      <c r="N674" s="461">
        <f t="shared" si="1269"/>
        <v>38.544999999999987</v>
      </c>
      <c r="O674" s="461">
        <f t="shared" si="1269"/>
        <v>36.912999999999997</v>
      </c>
      <c r="P674" s="461">
        <f t="shared" si="1269"/>
        <v>38.30599999999999</v>
      </c>
      <c r="Q674" s="461">
        <f t="shared" si="1269"/>
        <v>40.763000000000005</v>
      </c>
      <c r="R674" s="461">
        <f t="shared" si="1269"/>
        <v>58.016999999999996</v>
      </c>
      <c r="S674" s="461">
        <f t="shared" si="1269"/>
        <v>37.777999999999999</v>
      </c>
      <c r="T674" s="461">
        <f t="shared" si="1269"/>
        <v>43.172000000000011</v>
      </c>
      <c r="U674" s="461">
        <f t="shared" ref="U674:X674" si="1270">U659-U672</f>
        <v>45.841000000000001</v>
      </c>
      <c r="V674" s="461">
        <f t="shared" si="1270"/>
        <v>35.304109070822683</v>
      </c>
      <c r="W674" s="461">
        <f t="shared" si="1270"/>
        <v>33.705492680558848</v>
      </c>
      <c r="X674" s="461">
        <f t="shared" si="1270"/>
        <v>39.16939824861845</v>
      </c>
      <c r="Y674" s="283"/>
      <c r="Z674" s="461">
        <f t="shared" ref="Z674:AG674" si="1271">Z659-Z672</f>
        <v>111.52199999999999</v>
      </c>
      <c r="AA674" s="461">
        <f t="shared" si="1271"/>
        <v>128.393</v>
      </c>
      <c r="AB674" s="461">
        <f t="shared" si="1271"/>
        <v>170.36799999999997</v>
      </c>
      <c r="AC674" s="461">
        <f t="shared" si="1271"/>
        <v>213.739</v>
      </c>
      <c r="AD674" s="461">
        <f t="shared" si="1271"/>
        <v>160.15299999999999</v>
      </c>
      <c r="AE674" s="461">
        <f t="shared" si="1271"/>
        <v>179.73000000000002</v>
      </c>
      <c r="AF674" s="461">
        <f t="shared" si="1271"/>
        <v>154.02000000000001</v>
      </c>
      <c r="AG674" s="461">
        <f t="shared" si="1271"/>
        <v>164.02</v>
      </c>
      <c r="AH674" s="461">
        <f t="shared" ref="AH674" si="1272">AH659-AH672</f>
        <v>179.02</v>
      </c>
    </row>
    <row r="675" spans="1:34" s="315" customFormat="1">
      <c r="A675" s="283"/>
      <c r="B675" s="473"/>
      <c r="C675" s="473" t="s">
        <v>434</v>
      </c>
      <c r="D675" s="495"/>
      <c r="E675" s="469">
        <f>E665-E672</f>
        <v>43.620999999999988</v>
      </c>
      <c r="F675" s="469">
        <f t="shared" ref="F675:T675" si="1273">F665-F672</f>
        <v>44.399999999999984</v>
      </c>
      <c r="G675" s="469">
        <f t="shared" si="1273"/>
        <v>66.034999999999997</v>
      </c>
      <c r="H675" s="469">
        <f t="shared" si="1273"/>
        <v>86.927000000000021</v>
      </c>
      <c r="I675" s="469">
        <f t="shared" si="1273"/>
        <v>74.221000000000004</v>
      </c>
      <c r="J675" s="469">
        <f t="shared" si="1273"/>
        <v>74.726000000000013</v>
      </c>
      <c r="K675" s="469">
        <f t="shared" si="1273"/>
        <v>71.483999999999995</v>
      </c>
      <c r="L675" s="469">
        <f t="shared" si="1273"/>
        <v>65.688000000000002</v>
      </c>
      <c r="M675" s="469">
        <f t="shared" si="1273"/>
        <v>56.919999999999995</v>
      </c>
      <c r="N675" s="469">
        <f t="shared" si="1273"/>
        <v>44.484999999999985</v>
      </c>
      <c r="O675" s="469">
        <f t="shared" si="1273"/>
        <v>48.973999999999997</v>
      </c>
      <c r="P675" s="469">
        <f t="shared" si="1273"/>
        <v>49.971999999999994</v>
      </c>
      <c r="Q675" s="469">
        <f t="shared" si="1273"/>
        <v>49.752000000000002</v>
      </c>
      <c r="R675" s="469">
        <f t="shared" si="1273"/>
        <v>65.661000000000001</v>
      </c>
      <c r="S675" s="469">
        <f t="shared" si="1273"/>
        <v>47.091999999999999</v>
      </c>
      <c r="T675" s="469">
        <f t="shared" si="1273"/>
        <v>56.25800000000001</v>
      </c>
      <c r="U675" s="469">
        <f t="shared" ref="U675:X675" si="1274">U665-U672</f>
        <v>54.725999999999999</v>
      </c>
      <c r="V675" s="469">
        <f t="shared" si="1274"/>
        <v>43.786600175970229</v>
      </c>
      <c r="W675" s="469">
        <f t="shared" si="1274"/>
        <v>45.503779640701033</v>
      </c>
      <c r="X675" s="469">
        <f t="shared" si="1274"/>
        <v>46.903620183328712</v>
      </c>
      <c r="Y675" s="283"/>
      <c r="Z675" s="469">
        <f t="shared" ref="Z675:AG675" si="1275">Z665-Z672</f>
        <v>181.637</v>
      </c>
      <c r="AA675" s="469">
        <f t="shared" si="1275"/>
        <v>183.88300000000001</v>
      </c>
      <c r="AB675" s="469">
        <f t="shared" si="1275"/>
        <v>240.98299999999998</v>
      </c>
      <c r="AC675" s="469">
        <f t="shared" si="1275"/>
        <v>286.11900000000003</v>
      </c>
      <c r="AD675" s="469">
        <f t="shared" si="1275"/>
        <v>200.351</v>
      </c>
      <c r="AE675" s="469">
        <f t="shared" si="1275"/>
        <v>218.76300000000003</v>
      </c>
      <c r="AF675" s="469">
        <f t="shared" si="1275"/>
        <v>190.92000000000002</v>
      </c>
      <c r="AG675" s="469">
        <f t="shared" si="1275"/>
        <v>200.92000000000002</v>
      </c>
      <c r="AH675" s="469">
        <f t="shared" ref="AH675" si="1276">AH665-AH672</f>
        <v>215.92000000000002</v>
      </c>
    </row>
    <row r="676" spans="1:34">
      <c r="B676" s="283"/>
      <c r="C676" s="283"/>
      <c r="D676" s="486"/>
      <c r="E676" s="282"/>
      <c r="F676" s="282"/>
      <c r="G676" s="282"/>
      <c r="H676" s="282"/>
      <c r="I676" s="282"/>
      <c r="J676" s="282"/>
      <c r="K676" s="282"/>
      <c r="L676" s="282"/>
      <c r="M676" s="282"/>
      <c r="N676" s="282"/>
      <c r="O676" s="282"/>
      <c r="P676" s="282"/>
      <c r="Q676" s="282"/>
      <c r="R676" s="282"/>
      <c r="S676" s="282"/>
      <c r="T676" s="282"/>
      <c r="U676" s="282"/>
      <c r="V676" s="282"/>
      <c r="W676" s="282"/>
      <c r="X676" s="282"/>
      <c r="Y676" s="283"/>
      <c r="Z676" s="282"/>
      <c r="AA676" s="282"/>
      <c r="AB676" s="282"/>
      <c r="AC676" s="282"/>
      <c r="AD676" s="282"/>
      <c r="AE676" s="282"/>
      <c r="AF676" s="282"/>
      <c r="AG676" s="282"/>
      <c r="AH676" s="282"/>
    </row>
    <row r="677" spans="1:34">
      <c r="B677" s="475"/>
      <c r="C677" s="476" t="s">
        <v>435</v>
      </c>
      <c r="D677" s="491"/>
      <c r="E677" s="449">
        <f t="shared" ref="E677:T677" si="1277">E487+E575</f>
        <v>40.177</v>
      </c>
      <c r="F677" s="449">
        <f t="shared" si="1277"/>
        <v>42.722000000000001</v>
      </c>
      <c r="G677" s="449">
        <f t="shared" si="1277"/>
        <v>57.769999999999996</v>
      </c>
      <c r="H677" s="449">
        <f t="shared" si="1277"/>
        <v>54.962000000000003</v>
      </c>
      <c r="I677" s="449">
        <f t="shared" si="1277"/>
        <v>42.162999999999997</v>
      </c>
      <c r="J677" s="449">
        <f t="shared" si="1277"/>
        <v>43.963999999999999</v>
      </c>
      <c r="K677" s="449">
        <f t="shared" si="1277"/>
        <v>58.927999999999997</v>
      </c>
      <c r="L677" s="449">
        <f t="shared" si="1277"/>
        <v>55.519999999999996</v>
      </c>
      <c r="M677" s="449">
        <f t="shared" si="1277"/>
        <v>43.716999999999999</v>
      </c>
      <c r="N677" s="449">
        <f t="shared" si="1277"/>
        <v>45.546999999999997</v>
      </c>
      <c r="O677" s="449">
        <f t="shared" si="1277"/>
        <v>26.405000000000001</v>
      </c>
      <c r="P677" s="449">
        <f t="shared" si="1277"/>
        <v>37.58</v>
      </c>
      <c r="Q677" s="449">
        <f t="shared" si="1277"/>
        <v>38.738</v>
      </c>
      <c r="R677" s="449">
        <f t="shared" si="1277"/>
        <v>46.272999999999996</v>
      </c>
      <c r="S677" s="449">
        <f t="shared" si="1277"/>
        <v>32.472999999999999</v>
      </c>
      <c r="T677" s="449">
        <f t="shared" si="1277"/>
        <v>37.747999999999998</v>
      </c>
      <c r="U677" s="449">
        <f t="shared" ref="U677:X677" si="1278">U487+U575</f>
        <v>30.24</v>
      </c>
      <c r="V677" s="449">
        <f t="shared" si="1278"/>
        <v>31.313560480467043</v>
      </c>
      <c r="W677" s="449">
        <f t="shared" si="1278"/>
        <v>29.703559971928684</v>
      </c>
      <c r="X677" s="449">
        <f t="shared" si="1278"/>
        <v>37.242879547604275</v>
      </c>
      <c r="Y677" s="283"/>
      <c r="Z677" s="449">
        <f t="shared" ref="Z677:AG677" si="1279">Z487+Z575</f>
        <v>145.97499999999999</v>
      </c>
      <c r="AA677" s="449">
        <f t="shared" si="1279"/>
        <v>156.65299999999999</v>
      </c>
      <c r="AB677" s="449">
        <f t="shared" si="1279"/>
        <v>195.631</v>
      </c>
      <c r="AC677" s="449">
        <f t="shared" si="1279"/>
        <v>200.57499999999999</v>
      </c>
      <c r="AD677" s="449">
        <f t="shared" si="1279"/>
        <v>153.249</v>
      </c>
      <c r="AE677" s="449">
        <f t="shared" si="1279"/>
        <v>155.232</v>
      </c>
      <c r="AF677" s="449">
        <f t="shared" si="1279"/>
        <v>128.5</v>
      </c>
      <c r="AG677" s="449">
        <f t="shared" si="1279"/>
        <v>136.21494187809134</v>
      </c>
      <c r="AH677" s="449">
        <f t="shared" ref="AH677" si="1280">AH487+AH575</f>
        <v>143.9986528425537</v>
      </c>
    </row>
    <row r="678" spans="1:34">
      <c r="B678" s="475"/>
      <c r="C678" s="470" t="s">
        <v>601</v>
      </c>
      <c r="D678" s="496"/>
      <c r="E678" s="449"/>
      <c r="F678" s="449"/>
      <c r="G678" s="449"/>
      <c r="H678" s="449"/>
      <c r="I678" s="449"/>
      <c r="J678" s="449"/>
      <c r="K678" s="449"/>
      <c r="L678" s="449"/>
      <c r="M678" s="449"/>
      <c r="N678" s="449"/>
      <c r="O678" s="449"/>
      <c r="P678" s="449"/>
      <c r="Q678" s="449"/>
      <c r="R678" s="449"/>
      <c r="S678" s="449"/>
      <c r="T678" s="449"/>
      <c r="U678" s="449"/>
      <c r="V678" s="449"/>
      <c r="W678" s="449"/>
      <c r="X678" s="449"/>
      <c r="Y678" s="283"/>
      <c r="Z678" s="449"/>
      <c r="AA678" s="449"/>
      <c r="AB678" s="449"/>
      <c r="AC678" s="449"/>
      <c r="AD678" s="449"/>
      <c r="AE678" s="449"/>
      <c r="AF678" s="449"/>
      <c r="AG678" s="449"/>
      <c r="AH678" s="449"/>
    </row>
    <row r="679" spans="1:34">
      <c r="B679" s="475"/>
      <c r="C679" s="514" t="s">
        <v>565</v>
      </c>
      <c r="D679" s="515" t="s">
        <v>588</v>
      </c>
      <c r="E679" s="449">
        <f t="shared" ref="E679:K679" si="1281">E659/(E677/10^3)</f>
        <v>830.5498170595115</v>
      </c>
      <c r="F679" s="449">
        <f t="shared" si="1281"/>
        <v>779.97284771312172</v>
      </c>
      <c r="G679" s="449">
        <f t="shared" si="1281"/>
        <v>827.24597541976811</v>
      </c>
      <c r="H679" s="449">
        <f t="shared" si="1281"/>
        <v>1073.3961646228304</v>
      </c>
      <c r="I679" s="449">
        <f t="shared" si="1281"/>
        <v>1305.2676517325617</v>
      </c>
      <c r="J679" s="449">
        <f t="shared" si="1281"/>
        <v>1169.7752706760079</v>
      </c>
      <c r="K679" s="449">
        <f t="shared" si="1281"/>
        <v>924.26350800977468</v>
      </c>
      <c r="L679" s="449">
        <v>1003</v>
      </c>
      <c r="M679" s="449">
        <f t="shared" ref="M679:T679" si="1282">M659/(M677/10^3)</f>
        <v>1071.4824896493355</v>
      </c>
      <c r="N679" s="449">
        <f t="shared" si="1282"/>
        <v>854.47998770500783</v>
      </c>
      <c r="O679" s="449">
        <f t="shared" si="1282"/>
        <v>1401.4769929937511</v>
      </c>
      <c r="P679" s="449">
        <f t="shared" si="1282"/>
        <v>1025.0133049494411</v>
      </c>
      <c r="Q679" s="449">
        <f t="shared" si="1282"/>
        <v>1059.4506685941453</v>
      </c>
      <c r="R679" s="449">
        <f t="shared" si="1282"/>
        <v>1282.1515786743889</v>
      </c>
      <c r="S679" s="449">
        <f t="shared" si="1282"/>
        <v>1168.7555815600651</v>
      </c>
      <c r="T679" s="449">
        <f t="shared" si="1282"/>
        <v>1149.0939917346618</v>
      </c>
      <c r="U679" s="449">
        <f t="shared" ref="U679:X679" si="1283">U659/(U677/10^3)</f>
        <v>1521.3955026455026</v>
      </c>
      <c r="V679" s="449">
        <f t="shared" si="1283"/>
        <v>1134.1484702780695</v>
      </c>
      <c r="W679" s="449">
        <f t="shared" si="1283"/>
        <v>1140.4490389666512</v>
      </c>
      <c r="X679" s="449">
        <f t="shared" si="1283"/>
        <v>1056.668478277631</v>
      </c>
      <c r="Y679" s="283"/>
      <c r="Z679" s="449">
        <f t="shared" ref="Z679:AE679" si="1284">Z659/(Z677/10^3)</f>
        <v>767.89861277616035</v>
      </c>
      <c r="AA679" s="449">
        <f t="shared" si="1284"/>
        <v>823.52077521656156</v>
      </c>
      <c r="AB679" s="449">
        <f t="shared" si="1284"/>
        <v>886.75618894755928</v>
      </c>
      <c r="AC679" s="449">
        <f t="shared" si="1284"/>
        <v>1082.732145082887</v>
      </c>
      <c r="AD679" s="449">
        <f t="shared" si="1284"/>
        <v>1052.4505869532591</v>
      </c>
      <c r="AE679" s="449">
        <f t="shared" si="1284"/>
        <v>1170.4996392496394</v>
      </c>
      <c r="AF679" s="449">
        <f>AF659/(AF677/10^3)</f>
        <v>1204.2801556420234</v>
      </c>
      <c r="AG679" s="449">
        <f>AG659/(AG677/10^3)</f>
        <v>1209.4855214007782</v>
      </c>
      <c r="AH679" s="449">
        <f>AH659/(AH677/10^3)</f>
        <v>1248.2755668314228</v>
      </c>
    </row>
    <row r="680" spans="1:34">
      <c r="B680" s="475"/>
      <c r="C680" s="514" t="s">
        <v>596</v>
      </c>
      <c r="D680" s="515" t="s">
        <v>588</v>
      </c>
      <c r="E680" s="449">
        <f t="shared" ref="E680:T680" si="1285">E672/(E677/10^3)</f>
        <v>3.6836996291410511</v>
      </c>
      <c r="F680" s="449">
        <f t="shared" si="1285"/>
        <v>4.7048359159215396</v>
      </c>
      <c r="G680" s="449">
        <f t="shared" si="1285"/>
        <v>23.783970919162194</v>
      </c>
      <c r="H680" s="449">
        <f t="shared" si="1285"/>
        <v>25.217422946763218</v>
      </c>
      <c r="I680" s="449">
        <f t="shared" si="1285"/>
        <v>28.057775774968572</v>
      </c>
      <c r="J680" s="449">
        <f t="shared" si="1285"/>
        <v>18.879082885997637</v>
      </c>
      <c r="K680" s="449">
        <f t="shared" si="1285"/>
        <v>14.695900081455337</v>
      </c>
      <c r="L680" s="449">
        <f t="shared" si="1285"/>
        <v>9.9243515850144099</v>
      </c>
      <c r="M680" s="449">
        <f t="shared" si="1285"/>
        <v>10.362101699567674</v>
      </c>
      <c r="N680" s="449">
        <f t="shared" si="1285"/>
        <v>8.2112982194216961</v>
      </c>
      <c r="O680" s="449">
        <f t="shared" si="1285"/>
        <v>3.5220602158682066</v>
      </c>
      <c r="P680" s="449">
        <f t="shared" si="1285"/>
        <v>5.6945183608302292</v>
      </c>
      <c r="Q680" s="449">
        <f t="shared" si="1285"/>
        <v>7.1764159223501478</v>
      </c>
      <c r="R680" s="449">
        <f t="shared" si="1285"/>
        <v>28.353467464828306</v>
      </c>
      <c r="S680" s="449">
        <f t="shared" si="1285"/>
        <v>5.3890924768269022</v>
      </c>
      <c r="T680" s="449">
        <f t="shared" si="1285"/>
        <v>5.4042598283352765</v>
      </c>
      <c r="U680" s="449">
        <f t="shared" ref="U680:X680" si="1286">U672/(U677/10^3)</f>
        <v>5.4894179894179898</v>
      </c>
      <c r="V680" s="449">
        <f t="shared" si="1286"/>
        <v>6.7101167620300455</v>
      </c>
      <c r="W680" s="449">
        <f t="shared" si="1286"/>
        <v>5.7199791363754171</v>
      </c>
      <c r="X680" s="449">
        <f t="shared" si="1286"/>
        <v>4.9399673671984701</v>
      </c>
      <c r="Y680" s="283"/>
      <c r="Z680" s="449">
        <f t="shared" ref="Z680:AE680" si="1287">Z672/(Z677/10^3)</f>
        <v>3.9184791916424042</v>
      </c>
      <c r="AA680" s="449">
        <f t="shared" si="1287"/>
        <v>3.9194908492017393</v>
      </c>
      <c r="AB680" s="449">
        <f t="shared" si="1287"/>
        <v>15.892164329784134</v>
      </c>
      <c r="AC680" s="449">
        <f t="shared" si="1287"/>
        <v>17.100835099090116</v>
      </c>
      <c r="AD680" s="449">
        <f t="shared" si="1287"/>
        <v>7.3997220210246066</v>
      </c>
      <c r="AE680" s="449">
        <f t="shared" si="1287"/>
        <v>12.68424036281179</v>
      </c>
      <c r="AF680" s="449">
        <f>AF672/(AF677/10^3)</f>
        <v>5.6809338521400781</v>
      </c>
      <c r="AG680" s="449">
        <f>AG672/(AG677/10^3)</f>
        <v>5.3591771206225687</v>
      </c>
      <c r="AH680" s="449">
        <f>AH672/(AH677/10^3)</f>
        <v>5.0694918708591858</v>
      </c>
    </row>
    <row r="681" spans="1:34">
      <c r="B681" s="475"/>
      <c r="C681" s="532" t="s">
        <v>433</v>
      </c>
      <c r="D681" s="515" t="s">
        <v>588</v>
      </c>
      <c r="E681" s="461">
        <f t="shared" ref="E681:T681" si="1288">E679-E680</f>
        <v>826.86611743037042</v>
      </c>
      <c r="F681" s="461">
        <f t="shared" si="1288"/>
        <v>775.26801179720019</v>
      </c>
      <c r="G681" s="461">
        <f t="shared" si="1288"/>
        <v>803.46200450060587</v>
      </c>
      <c r="H681" s="461">
        <f t="shared" si="1288"/>
        <v>1048.1787416760671</v>
      </c>
      <c r="I681" s="461">
        <f t="shared" si="1288"/>
        <v>1277.2098759575931</v>
      </c>
      <c r="J681" s="461">
        <f t="shared" si="1288"/>
        <v>1150.8961877900103</v>
      </c>
      <c r="K681" s="461">
        <f t="shared" si="1288"/>
        <v>909.56760792831938</v>
      </c>
      <c r="L681" s="461">
        <f t="shared" si="1288"/>
        <v>993.07564841498561</v>
      </c>
      <c r="M681" s="461">
        <f t="shared" si="1288"/>
        <v>1061.120387949768</v>
      </c>
      <c r="N681" s="461">
        <f t="shared" si="1288"/>
        <v>846.26868948558615</v>
      </c>
      <c r="O681" s="461">
        <f t="shared" si="1288"/>
        <v>1397.954932777883</v>
      </c>
      <c r="P681" s="461">
        <f t="shared" si="1288"/>
        <v>1019.3187865886109</v>
      </c>
      <c r="Q681" s="461">
        <f t="shared" si="1288"/>
        <v>1052.2742526717952</v>
      </c>
      <c r="R681" s="461">
        <f t="shared" si="1288"/>
        <v>1253.7981112095606</v>
      </c>
      <c r="S681" s="461">
        <f t="shared" si="1288"/>
        <v>1163.3664890832383</v>
      </c>
      <c r="T681" s="461">
        <f t="shared" si="1288"/>
        <v>1143.6897319063266</v>
      </c>
      <c r="U681" s="461">
        <f t="shared" ref="U681:X681" si="1289">U679-U680</f>
        <v>1515.9060846560847</v>
      </c>
      <c r="V681" s="461">
        <f t="shared" si="1289"/>
        <v>1127.4383535160393</v>
      </c>
      <c r="W681" s="461">
        <f t="shared" si="1289"/>
        <v>1134.7290598302757</v>
      </c>
      <c r="X681" s="461">
        <f t="shared" si="1289"/>
        <v>1051.7285109104325</v>
      </c>
      <c r="Y681" s="283"/>
      <c r="Z681" s="461">
        <f>Z679-Z680</f>
        <v>763.98013358451794</v>
      </c>
      <c r="AA681" s="461">
        <f t="shared" ref="AA681:AG681" si="1290">AA679-AA680</f>
        <v>819.60128436735977</v>
      </c>
      <c r="AB681" s="461">
        <f t="shared" si="1290"/>
        <v>870.86402461777516</v>
      </c>
      <c r="AC681" s="461">
        <f t="shared" si="1290"/>
        <v>1065.6313099837969</v>
      </c>
      <c r="AD681" s="461">
        <f t="shared" si="1290"/>
        <v>1045.0508649322344</v>
      </c>
      <c r="AE681" s="461">
        <f t="shared" si="1290"/>
        <v>1157.8153988868276</v>
      </c>
      <c r="AF681" s="461">
        <f t="shared" si="1290"/>
        <v>1198.5992217898834</v>
      </c>
      <c r="AG681" s="461">
        <f t="shared" si="1290"/>
        <v>1204.1263442801558</v>
      </c>
      <c r="AH681" s="461">
        <f t="shared" ref="AH681" si="1291">AH679-AH680</f>
        <v>1243.2060749605637</v>
      </c>
    </row>
    <row r="682" spans="1:34">
      <c r="B682" s="475"/>
      <c r="C682" s="533"/>
      <c r="D682" s="515"/>
      <c r="E682" s="449"/>
      <c r="F682" s="449"/>
      <c r="G682" s="449"/>
      <c r="H682" s="449"/>
      <c r="I682" s="449"/>
      <c r="J682" s="449"/>
      <c r="K682" s="449"/>
      <c r="L682" s="449"/>
      <c r="M682" s="449"/>
      <c r="N682" s="449"/>
      <c r="O682" s="449"/>
      <c r="P682" s="449"/>
      <c r="Q682" s="449"/>
      <c r="R682" s="449"/>
      <c r="S682" s="449"/>
      <c r="T682" s="449"/>
      <c r="U682" s="449"/>
      <c r="V682" s="449"/>
      <c r="W682" s="449"/>
      <c r="X682" s="449"/>
      <c r="Y682" s="283"/>
      <c r="Z682" s="449"/>
      <c r="AA682" s="449"/>
      <c r="AB682" s="449"/>
      <c r="AC682" s="449"/>
      <c r="AD682" s="449"/>
      <c r="AE682" s="449"/>
      <c r="AF682" s="449"/>
      <c r="AG682" s="449"/>
      <c r="AH682" s="449"/>
    </row>
    <row r="683" spans="1:34">
      <c r="B683" s="475"/>
      <c r="C683" s="514" t="s">
        <v>566</v>
      </c>
      <c r="D683" s="515" t="s">
        <v>588</v>
      </c>
      <c r="E683" s="449">
        <f t="shared" ref="E683:K683" si="1292">E665/(E677/10^3)</f>
        <v>1089.4043855937475</v>
      </c>
      <c r="F683" s="449">
        <f t="shared" si="1292"/>
        <v>1043.9820233135149</v>
      </c>
      <c r="G683" s="449">
        <f t="shared" si="1292"/>
        <v>1166.8513069066989</v>
      </c>
      <c r="H683" s="449">
        <f t="shared" si="1292"/>
        <v>1606.8010625523091</v>
      </c>
      <c r="I683" s="449">
        <f t="shared" si="1292"/>
        <v>1788.392666555985</v>
      </c>
      <c r="J683" s="449">
        <f t="shared" si="1292"/>
        <v>1718.5879355836598</v>
      </c>
      <c r="K683" s="449">
        <f t="shared" si="1292"/>
        <v>1227.7694814010317</v>
      </c>
      <c r="L683" s="449">
        <v>1197</v>
      </c>
      <c r="M683" s="449">
        <f t="shared" ref="M683:T683" si="1293">M665/(M677/10^3)</f>
        <v>1312.3727611684242</v>
      </c>
      <c r="N683" s="449">
        <f t="shared" si="1293"/>
        <v>984.89472413111707</v>
      </c>
      <c r="O683" s="449">
        <f t="shared" si="1293"/>
        <v>1858.2465442151106</v>
      </c>
      <c r="P683" s="449">
        <f t="shared" si="1293"/>
        <v>1335.4443853113357</v>
      </c>
      <c r="Q683" s="449">
        <f t="shared" si="1293"/>
        <v>1291.496721565388</v>
      </c>
      <c r="R683" s="449">
        <f t="shared" si="1293"/>
        <v>1447.3451040563614</v>
      </c>
      <c r="S683" s="449">
        <f t="shared" si="1293"/>
        <v>1455.5784805838696</v>
      </c>
      <c r="T683" s="449">
        <f t="shared" si="1293"/>
        <v>1495.7613648405218</v>
      </c>
      <c r="U683" s="449">
        <f t="shared" ref="U683:X683" si="1294">U665/(U677/10^3)</f>
        <v>1815.2116402116401</v>
      </c>
      <c r="V683" s="449">
        <f t="shared" si="1294"/>
        <v>1405.0372154413287</v>
      </c>
      <c r="W683" s="449">
        <f t="shared" si="1294"/>
        <v>1537.6501479008039</v>
      </c>
      <c r="X683" s="449">
        <f t="shared" si="1294"/>
        <v>1264.3382940560887</v>
      </c>
      <c r="Y683" s="283"/>
      <c r="Z683" s="449">
        <f t="shared" ref="Z683:AE683" si="1295">Z665/(Z677/10^3)</f>
        <v>1248.2205857167323</v>
      </c>
      <c r="AA683" s="449">
        <f t="shared" si="1295"/>
        <v>1177.7431648292725</v>
      </c>
      <c r="AB683" s="449">
        <f t="shared" si="1295"/>
        <v>1247.7163639709452</v>
      </c>
      <c r="AC683" s="449">
        <f t="shared" si="1295"/>
        <v>1443.5946653371561</v>
      </c>
      <c r="AD683" s="449">
        <f t="shared" si="1295"/>
        <v>1314.7557243440413</v>
      </c>
      <c r="AE683" s="449">
        <f t="shared" si="1295"/>
        <v>1421.9490826633685</v>
      </c>
      <c r="AF683" s="449">
        <f>AF665/(AF677/10^3)</f>
        <v>1491.4396887159533</v>
      </c>
      <c r="AG683" s="449">
        <f>AG665/(AG677/10^3)</f>
        <v>1480.3809128404671</v>
      </c>
      <c r="AH683" s="449">
        <f>AH665/(AH677/10^3)</f>
        <v>1504.5279641392365</v>
      </c>
    </row>
    <row r="684" spans="1:34">
      <c r="B684" s="475"/>
      <c r="C684" s="514" t="s">
        <v>596</v>
      </c>
      <c r="D684" s="515" t="s">
        <v>588</v>
      </c>
      <c r="E684" s="449">
        <f t="shared" ref="E684:T684" si="1296">E672/(E677/10^3)</f>
        <v>3.6836996291410511</v>
      </c>
      <c r="F684" s="449">
        <f t="shared" si="1296"/>
        <v>4.7048359159215396</v>
      </c>
      <c r="G684" s="449">
        <f t="shared" si="1296"/>
        <v>23.783970919162194</v>
      </c>
      <c r="H684" s="449">
        <f t="shared" si="1296"/>
        <v>25.217422946763218</v>
      </c>
      <c r="I684" s="449">
        <f t="shared" si="1296"/>
        <v>28.057775774968572</v>
      </c>
      <c r="J684" s="449">
        <f t="shared" si="1296"/>
        <v>18.879082885997637</v>
      </c>
      <c r="K684" s="449">
        <f t="shared" si="1296"/>
        <v>14.695900081455337</v>
      </c>
      <c r="L684" s="449">
        <f t="shared" si="1296"/>
        <v>9.9243515850144099</v>
      </c>
      <c r="M684" s="449">
        <f t="shared" si="1296"/>
        <v>10.362101699567674</v>
      </c>
      <c r="N684" s="449">
        <f t="shared" si="1296"/>
        <v>8.2112982194216961</v>
      </c>
      <c r="O684" s="449">
        <f t="shared" si="1296"/>
        <v>3.5220602158682066</v>
      </c>
      <c r="P684" s="449">
        <f t="shared" si="1296"/>
        <v>5.6945183608302292</v>
      </c>
      <c r="Q684" s="449">
        <f t="shared" si="1296"/>
        <v>7.1764159223501478</v>
      </c>
      <c r="R684" s="449">
        <f t="shared" si="1296"/>
        <v>28.353467464828306</v>
      </c>
      <c r="S684" s="449">
        <f t="shared" si="1296"/>
        <v>5.3890924768269022</v>
      </c>
      <c r="T684" s="449">
        <f t="shared" si="1296"/>
        <v>5.4042598283352765</v>
      </c>
      <c r="U684" s="449">
        <f t="shared" ref="U684:X684" si="1297">U672/(U677/10^3)</f>
        <v>5.4894179894179898</v>
      </c>
      <c r="V684" s="449">
        <f t="shared" si="1297"/>
        <v>6.7101167620300455</v>
      </c>
      <c r="W684" s="449">
        <f t="shared" si="1297"/>
        <v>5.7199791363754171</v>
      </c>
      <c r="X684" s="449">
        <f t="shared" si="1297"/>
        <v>4.9399673671984701</v>
      </c>
      <c r="Y684" s="283"/>
      <c r="Z684" s="449">
        <f t="shared" ref="Z684:AE684" si="1298">Z672/(Z677/10^3)</f>
        <v>3.9184791916424042</v>
      </c>
      <c r="AA684" s="449">
        <f t="shared" si="1298"/>
        <v>3.9194908492017393</v>
      </c>
      <c r="AB684" s="449">
        <f t="shared" si="1298"/>
        <v>15.892164329784134</v>
      </c>
      <c r="AC684" s="449">
        <f t="shared" si="1298"/>
        <v>17.100835099090116</v>
      </c>
      <c r="AD684" s="449">
        <f t="shared" si="1298"/>
        <v>7.3997220210246066</v>
      </c>
      <c r="AE684" s="449">
        <f t="shared" si="1298"/>
        <v>12.68424036281179</v>
      </c>
      <c r="AF684" s="449">
        <f>AF672/(AF677/10^3)</f>
        <v>5.6809338521400781</v>
      </c>
      <c r="AG684" s="449">
        <f>AG672/(AG677/10^3)</f>
        <v>5.3591771206225687</v>
      </c>
      <c r="AH684" s="449">
        <f>AH672/(AH677/10^3)</f>
        <v>5.0694918708591858</v>
      </c>
    </row>
    <row r="685" spans="1:34">
      <c r="B685" s="475"/>
      <c r="C685" s="532" t="s">
        <v>434</v>
      </c>
      <c r="D685" s="515" t="s">
        <v>588</v>
      </c>
      <c r="E685" s="461">
        <f>E683-E684</f>
        <v>1085.7206859646064</v>
      </c>
      <c r="F685" s="461">
        <f t="shared" ref="F685:T685" si="1299">F683-F684</f>
        <v>1039.2771873975933</v>
      </c>
      <c r="G685" s="461">
        <f t="shared" si="1299"/>
        <v>1143.0673359875368</v>
      </c>
      <c r="H685" s="461">
        <f t="shared" si="1299"/>
        <v>1581.5836396055458</v>
      </c>
      <c r="I685" s="461">
        <f t="shared" si="1299"/>
        <v>1760.3348907810164</v>
      </c>
      <c r="J685" s="461">
        <f t="shared" si="1299"/>
        <v>1699.7088526976622</v>
      </c>
      <c r="K685" s="461">
        <f t="shared" si="1299"/>
        <v>1213.0735813195763</v>
      </c>
      <c r="L685" s="461">
        <f t="shared" si="1299"/>
        <v>1187.0756484149856</v>
      </c>
      <c r="M685" s="461">
        <f t="shared" si="1299"/>
        <v>1302.0106594688566</v>
      </c>
      <c r="N685" s="461">
        <f t="shared" si="1299"/>
        <v>976.68342591169539</v>
      </c>
      <c r="O685" s="461">
        <f t="shared" si="1299"/>
        <v>1854.7244839992425</v>
      </c>
      <c r="P685" s="461">
        <f t="shared" si="1299"/>
        <v>1329.7498669505055</v>
      </c>
      <c r="Q685" s="461">
        <f t="shared" si="1299"/>
        <v>1284.320305643038</v>
      </c>
      <c r="R685" s="461">
        <f t="shared" si="1299"/>
        <v>1418.9916365915331</v>
      </c>
      <c r="S685" s="461">
        <f t="shared" si="1299"/>
        <v>1450.1893881070428</v>
      </c>
      <c r="T685" s="461">
        <f t="shared" si="1299"/>
        <v>1490.3571050121866</v>
      </c>
      <c r="U685" s="461">
        <f t="shared" ref="U685:X685" si="1300">U683-U684</f>
        <v>1809.7222222222222</v>
      </c>
      <c r="V685" s="461">
        <f t="shared" si="1300"/>
        <v>1398.3270986792986</v>
      </c>
      <c r="W685" s="461">
        <f t="shared" si="1300"/>
        <v>1531.9301687644283</v>
      </c>
      <c r="X685" s="461">
        <f t="shared" si="1300"/>
        <v>1259.3983266888902</v>
      </c>
      <c r="Y685" s="283"/>
      <c r="Z685" s="461">
        <f t="shared" ref="Z685:AG685" si="1301">Z683-Z684</f>
        <v>1244.30210652509</v>
      </c>
      <c r="AA685" s="461">
        <f t="shared" si="1301"/>
        <v>1173.8236739800707</v>
      </c>
      <c r="AB685" s="461">
        <f t="shared" si="1301"/>
        <v>1231.8241996411609</v>
      </c>
      <c r="AC685" s="461">
        <f t="shared" si="1301"/>
        <v>1426.493830238066</v>
      </c>
      <c r="AD685" s="461">
        <f t="shared" si="1301"/>
        <v>1307.3560023230166</v>
      </c>
      <c r="AE685" s="461">
        <f t="shared" si="1301"/>
        <v>1409.2648423005567</v>
      </c>
      <c r="AF685" s="461">
        <f t="shared" si="1301"/>
        <v>1485.7587548638132</v>
      </c>
      <c r="AG685" s="461">
        <f t="shared" si="1301"/>
        <v>1475.0217357198446</v>
      </c>
      <c r="AH685" s="461">
        <f t="shared" ref="AH685" si="1302">AH683-AH684</f>
        <v>1499.4584722683774</v>
      </c>
    </row>
    <row r="686" spans="1:34">
      <c r="Y686" s="283"/>
    </row>
    <row r="687" spans="1:34" s="283" customFormat="1">
      <c r="A687" s="286" t="s">
        <v>137</v>
      </c>
      <c r="B687" s="286" t="s">
        <v>137</v>
      </c>
      <c r="C687" s="287" t="s">
        <v>445</v>
      </c>
      <c r="D687" s="485"/>
      <c r="E687" s="286"/>
      <c r="F687" s="286"/>
      <c r="G687" s="286"/>
      <c r="H687" s="286"/>
      <c r="I687" s="286"/>
      <c r="J687" s="286"/>
      <c r="K687" s="286"/>
      <c r="L687" s="286"/>
      <c r="M687" s="286"/>
      <c r="N687" s="286"/>
      <c r="O687" s="286"/>
      <c r="P687" s="286"/>
      <c r="Q687" s="286"/>
      <c r="R687" s="286"/>
      <c r="S687" s="286"/>
      <c r="T687" s="286"/>
      <c r="U687" s="286"/>
      <c r="V687" s="286"/>
      <c r="W687" s="286"/>
      <c r="X687" s="286"/>
      <c r="Z687" s="286"/>
      <c r="AA687" s="286"/>
      <c r="AB687" s="286"/>
      <c r="AC687" s="286"/>
      <c r="AD687" s="286"/>
      <c r="AE687" s="286"/>
      <c r="AF687" s="286"/>
      <c r="AG687" s="286"/>
      <c r="AH687" s="286"/>
    </row>
    <row r="688" spans="1:34">
      <c r="Y688" s="283"/>
    </row>
    <row r="689" spans="1:34">
      <c r="C689" s="414" t="s">
        <v>499</v>
      </c>
      <c r="E689" s="282">
        <f t="shared" ref="E689:T689" si="1303">E431+E649</f>
        <v>2591.9029999999998</v>
      </c>
      <c r="F689" s="282">
        <f t="shared" si="1303"/>
        <v>2656.7359999999999</v>
      </c>
      <c r="G689" s="282">
        <f t="shared" si="1303"/>
        <v>2596.6860000000001</v>
      </c>
      <c r="H689" s="282">
        <f t="shared" si="1303"/>
        <v>2786.3720000000003</v>
      </c>
      <c r="I689" s="282">
        <f t="shared" si="1303"/>
        <v>2983.152</v>
      </c>
      <c r="J689" s="282">
        <f t="shared" si="1303"/>
        <v>3079.5330000000004</v>
      </c>
      <c r="K689" s="282">
        <f t="shared" si="1303"/>
        <v>3328.6610000000001</v>
      </c>
      <c r="L689" s="282">
        <f t="shared" si="1303"/>
        <v>3486.761</v>
      </c>
      <c r="M689" s="282">
        <f t="shared" si="1303"/>
        <v>3304.261</v>
      </c>
      <c r="N689" s="282">
        <f t="shared" si="1303"/>
        <v>3463.7629999999995</v>
      </c>
      <c r="O689" s="282">
        <f t="shared" si="1303"/>
        <v>3582.5450000000001</v>
      </c>
      <c r="P689" s="282">
        <f t="shared" si="1303"/>
        <v>3401.3510000000006</v>
      </c>
      <c r="Q689" s="282">
        <f t="shared" si="1303"/>
        <v>3511.45</v>
      </c>
      <c r="R689" s="282">
        <f t="shared" si="1303"/>
        <v>3583.915</v>
      </c>
      <c r="S689" s="282">
        <f t="shared" si="1303"/>
        <v>2718.2909999999997</v>
      </c>
      <c r="T689" s="282">
        <f t="shared" si="1303"/>
        <v>3275.174</v>
      </c>
      <c r="U689" s="282">
        <f t="shared" ref="U689:X689" si="1304">U431+U649</f>
        <v>3366.3500000000004</v>
      </c>
      <c r="V689" s="282">
        <f t="shared" si="1304"/>
        <v>3676.3234645023613</v>
      </c>
      <c r="W689" s="282">
        <f t="shared" si="1304"/>
        <v>2879.8010896448081</v>
      </c>
      <c r="X689" s="282">
        <f t="shared" si="1304"/>
        <v>3454.59344585283</v>
      </c>
      <c r="Y689" s="283"/>
      <c r="Z689" s="282">
        <f t="shared" ref="Z689:AG690" si="1305">Z431+Z649</f>
        <v>17411.245999999999</v>
      </c>
      <c r="AA689" s="282">
        <f t="shared" si="1305"/>
        <v>12717.527999999998</v>
      </c>
      <c r="AB689" s="282">
        <f t="shared" si="1305"/>
        <v>10631.697</v>
      </c>
      <c r="AC689" s="282">
        <f t="shared" si="1305"/>
        <v>12878.107</v>
      </c>
      <c r="AD689" s="282">
        <f t="shared" si="1305"/>
        <v>13751.92</v>
      </c>
      <c r="AE689" s="282">
        <f t="shared" si="1305"/>
        <v>13088.829999999998</v>
      </c>
      <c r="AF689" s="282">
        <f t="shared" si="1305"/>
        <v>13377.067999999999</v>
      </c>
      <c r="AG689" s="282">
        <f t="shared" si="1305"/>
        <v>14172.714186070672</v>
      </c>
      <c r="AH689" s="282">
        <f t="shared" ref="AH689" si="1306">AH431+AH649</f>
        <v>14982.583568131853</v>
      </c>
    </row>
    <row r="690" spans="1:34">
      <c r="C690" s="414" t="s">
        <v>500</v>
      </c>
      <c r="E690" s="282">
        <f t="shared" ref="E690:T690" si="1307">E432+E650</f>
        <v>2146.3029999999999</v>
      </c>
      <c r="F690" s="282">
        <f t="shared" si="1307"/>
        <v>2373.3969999999999</v>
      </c>
      <c r="G690" s="282">
        <f t="shared" si="1307"/>
        <v>2657.0459999999998</v>
      </c>
      <c r="H690" s="282">
        <f t="shared" si="1307"/>
        <v>2325.1670000000004</v>
      </c>
      <c r="I690" s="282">
        <f t="shared" si="1307"/>
        <v>2959.0190000000002</v>
      </c>
      <c r="J690" s="282">
        <f t="shared" si="1307"/>
        <v>2477.7130000000002</v>
      </c>
      <c r="K690" s="282">
        <f t="shared" si="1307"/>
        <v>2302.451</v>
      </c>
      <c r="L690" s="282">
        <f t="shared" si="1307"/>
        <v>4084.2489999999998</v>
      </c>
      <c r="M690" s="282">
        <f t="shared" si="1307"/>
        <v>2639.3829999999994</v>
      </c>
      <c r="N690" s="282">
        <f t="shared" si="1307"/>
        <v>3400.0359999999996</v>
      </c>
      <c r="O690" s="282">
        <f t="shared" si="1307"/>
        <v>3198.098</v>
      </c>
      <c r="P690" s="282">
        <f t="shared" si="1307"/>
        <v>3271.094000000001</v>
      </c>
      <c r="Q690" s="282">
        <f t="shared" si="1307"/>
        <v>3087.3109999999997</v>
      </c>
      <c r="R690" s="282">
        <f t="shared" si="1307"/>
        <v>3462.6310000000003</v>
      </c>
      <c r="S690" s="282">
        <f t="shared" si="1307"/>
        <v>2634.6910000000003</v>
      </c>
      <c r="T690" s="282">
        <f t="shared" si="1307"/>
        <v>2650.7779999999993</v>
      </c>
      <c r="U690" s="282">
        <f t="shared" ref="U690:X690" si="1308">U432+U650</f>
        <v>2728.3150000000001</v>
      </c>
      <c r="V690" s="282">
        <f t="shared" si="1308"/>
        <v>3676.3234645023613</v>
      </c>
      <c r="W690" s="282">
        <f t="shared" si="1308"/>
        <v>2879.8010896448081</v>
      </c>
      <c r="X690" s="282">
        <f t="shared" si="1308"/>
        <v>3454.59344585283</v>
      </c>
      <c r="Y690" s="283"/>
      <c r="Z690" s="282">
        <f t="shared" si="1305"/>
        <v>16219.191000000001</v>
      </c>
      <c r="AA690" s="282">
        <f t="shared" si="1305"/>
        <v>11528.887000000001</v>
      </c>
      <c r="AB690" s="282">
        <f t="shared" si="1305"/>
        <v>9501.9130000000005</v>
      </c>
      <c r="AC690" s="282">
        <f t="shared" si="1305"/>
        <v>11823.431999999999</v>
      </c>
      <c r="AD690" s="282">
        <f t="shared" si="1305"/>
        <v>12508.610999999999</v>
      </c>
      <c r="AE690" s="282">
        <f t="shared" si="1305"/>
        <v>11835.411</v>
      </c>
      <c r="AF690" s="282">
        <f t="shared" si="1305"/>
        <v>12739.032999999999</v>
      </c>
      <c r="AG690" s="282">
        <f t="shared" si="1305"/>
        <v>13240.781375548304</v>
      </c>
      <c r="AH690" s="282">
        <f t="shared" ref="AH690" si="1309">AH432+AH650</f>
        <v>13997.397454151065</v>
      </c>
    </row>
    <row r="691" spans="1:34">
      <c r="Y691" s="283"/>
    </row>
    <row r="692" spans="1:34" s="415" customFormat="1">
      <c r="A692" s="282"/>
      <c r="B692" s="800"/>
      <c r="C692" s="800" t="s">
        <v>453</v>
      </c>
      <c r="D692" s="801"/>
      <c r="E692" s="510">
        <f t="shared" ref="E692:T692" si="1310">E434+E652</f>
        <v>108.26599999999999</v>
      </c>
      <c r="F692" s="510">
        <f t="shared" si="1310"/>
        <v>116.06</v>
      </c>
      <c r="G692" s="510">
        <f t="shared" si="1310"/>
        <v>120.637</v>
      </c>
      <c r="H692" s="510">
        <f t="shared" si="1310"/>
        <v>112.72200000000004</v>
      </c>
      <c r="I692" s="510">
        <f t="shared" si="1310"/>
        <v>125.185</v>
      </c>
      <c r="J692" s="510">
        <f t="shared" si="1310"/>
        <v>114.464</v>
      </c>
      <c r="K692" s="510">
        <f t="shared" si="1310"/>
        <v>144.47700000000003</v>
      </c>
      <c r="L692" s="510">
        <f t="shared" si="1310"/>
        <v>196.71100000000001</v>
      </c>
      <c r="M692" s="510">
        <f t="shared" si="1310"/>
        <v>128.26600000000002</v>
      </c>
      <c r="N692" s="510">
        <f t="shared" si="1310"/>
        <v>150.96800000000002</v>
      </c>
      <c r="O692" s="510">
        <f t="shared" si="1310"/>
        <v>178.14099999999999</v>
      </c>
      <c r="P692" s="510">
        <f t="shared" si="1310"/>
        <v>159.01799999999997</v>
      </c>
      <c r="Q692" s="510">
        <f t="shared" si="1310"/>
        <v>229.11200000000002</v>
      </c>
      <c r="R692" s="802">
        <f t="shared" si="1310"/>
        <v>239.48899999999998</v>
      </c>
      <c r="S692" s="802">
        <f t="shared" si="1310"/>
        <v>209.57299999999998</v>
      </c>
      <c r="T692" s="802">
        <f t="shared" si="1310"/>
        <v>200.36999999999995</v>
      </c>
      <c r="U692" s="802">
        <f t="shared" ref="U692:X692" si="1311">U434+U652</f>
        <v>201.298</v>
      </c>
      <c r="V692" s="802">
        <f t="shared" ca="1" si="1311"/>
        <v>245.136767730321</v>
      </c>
      <c r="W692" s="802">
        <f t="shared" ca="1" si="1311"/>
        <v>209.43839668978671</v>
      </c>
      <c r="X692" s="802">
        <f t="shared" ca="1" si="1311"/>
        <v>239.3540414642506</v>
      </c>
      <c r="Y692" s="283"/>
      <c r="Z692" s="510">
        <f t="shared" ref="Z692:AG692" si="1312">Z434+Z652</f>
        <v>745.44399999999996</v>
      </c>
      <c r="AA692" s="510">
        <f t="shared" si="1312"/>
        <v>663.03099999999995</v>
      </c>
      <c r="AB692" s="510">
        <f t="shared" si="1312"/>
        <v>638.69999999999993</v>
      </c>
      <c r="AC692" s="510">
        <f t="shared" si="1312"/>
        <v>761.15499999999997</v>
      </c>
      <c r="AD692" s="510">
        <f t="shared" si="1312"/>
        <v>779.91699999999992</v>
      </c>
      <c r="AE692" s="510">
        <f t="shared" si="1312"/>
        <v>878.54399999999998</v>
      </c>
      <c r="AF692" s="802">
        <f t="shared" ca="1" si="1312"/>
        <v>895.22720588435834</v>
      </c>
      <c r="AG692" s="802">
        <f t="shared" ca="1" si="1312"/>
        <v>939.44285336338794</v>
      </c>
      <c r="AH692" s="802">
        <f t="shared" ref="AH692" ca="1" si="1313">AH434+AH652</f>
        <v>1010.1007418197124</v>
      </c>
    </row>
    <row r="693" spans="1:34">
      <c r="E693" s="282"/>
      <c r="F693" s="282"/>
      <c r="G693" s="282"/>
      <c r="H693" s="282"/>
      <c r="I693" s="282"/>
      <c r="J693" s="282"/>
      <c r="K693" s="282"/>
      <c r="L693" s="282"/>
      <c r="M693" s="282"/>
      <c r="N693" s="282"/>
      <c r="O693" s="282"/>
      <c r="P693" s="282"/>
      <c r="Q693" s="282"/>
      <c r="R693" s="282"/>
      <c r="S693" s="282"/>
      <c r="T693" s="282"/>
      <c r="U693" s="282"/>
      <c r="V693" s="282"/>
      <c r="W693" s="282"/>
      <c r="X693" s="282"/>
      <c r="Y693" s="283"/>
      <c r="Z693" s="282"/>
      <c r="AA693" s="282"/>
      <c r="AB693" s="282"/>
      <c r="AC693" s="282"/>
      <c r="AD693" s="282"/>
      <c r="AE693" s="282"/>
      <c r="AF693" s="282"/>
      <c r="AG693" s="282"/>
      <c r="AH693" s="282"/>
    </row>
    <row r="694" spans="1:34">
      <c r="C694" s="281" t="s">
        <v>311</v>
      </c>
      <c r="E694" s="282">
        <f t="shared" ref="E694:T694" si="1314">E436+E654</f>
        <v>72.869</v>
      </c>
      <c r="F694" s="282">
        <f t="shared" si="1314"/>
        <v>80.44</v>
      </c>
      <c r="G694" s="282">
        <f t="shared" si="1314"/>
        <v>93.608999999999995</v>
      </c>
      <c r="H694" s="282">
        <f t="shared" si="1314"/>
        <v>102.19200000000001</v>
      </c>
      <c r="I694" s="282">
        <f t="shared" si="1314"/>
        <v>110.38600000000001</v>
      </c>
      <c r="J694" s="282">
        <f t="shared" si="1314"/>
        <v>104.93799999999999</v>
      </c>
      <c r="K694" s="282">
        <f t="shared" si="1314"/>
        <v>95.877999999999986</v>
      </c>
      <c r="L694" s="282">
        <f t="shared" si="1314"/>
        <v>139.14700000000002</v>
      </c>
      <c r="M694" s="282">
        <f t="shared" si="1314"/>
        <v>85.72</v>
      </c>
      <c r="N694" s="282">
        <f t="shared" si="1314"/>
        <v>91.557999999999993</v>
      </c>
      <c r="O694" s="282">
        <f t="shared" si="1314"/>
        <v>103.02500000000001</v>
      </c>
      <c r="P694" s="282">
        <f t="shared" si="1314"/>
        <v>102.35999999999997</v>
      </c>
      <c r="Q694" s="282">
        <f t="shared" si="1314"/>
        <v>96.709000000000003</v>
      </c>
      <c r="R694" s="282">
        <f t="shared" si="1314"/>
        <v>110.32</v>
      </c>
      <c r="S694" s="282">
        <f t="shared" si="1314"/>
        <v>112.542</v>
      </c>
      <c r="T694" s="282">
        <f t="shared" si="1314"/>
        <v>98.961999999999989</v>
      </c>
      <c r="U694" s="282">
        <f t="shared" ref="U694:X694" si="1315">U436+U654</f>
        <v>105.77200000000001</v>
      </c>
      <c r="V694" s="282">
        <f t="shared" si="1315"/>
        <v>101.7010419640813</v>
      </c>
      <c r="W694" s="282">
        <f t="shared" si="1315"/>
        <v>101.0947013502539</v>
      </c>
      <c r="X694" s="282">
        <f t="shared" si="1315"/>
        <v>101.1322566856648</v>
      </c>
      <c r="Y694" s="283"/>
      <c r="Z694" s="282">
        <f t="shared" ref="Z694:AG698" si="1316">Z436+Z654</f>
        <v>338.32499999999999</v>
      </c>
      <c r="AA694" s="282">
        <f t="shared" si="1316"/>
        <v>304.72699999999998</v>
      </c>
      <c r="AB694" s="282">
        <f t="shared" si="1316"/>
        <v>349.11</v>
      </c>
      <c r="AC694" s="282">
        <f t="shared" si="1316"/>
        <v>450.34900000000005</v>
      </c>
      <c r="AD694" s="282">
        <f t="shared" si="1316"/>
        <v>382.66299999999995</v>
      </c>
      <c r="AE694" s="282">
        <f t="shared" si="1316"/>
        <v>418.53300000000002</v>
      </c>
      <c r="AF694" s="282">
        <f t="shared" si="1316"/>
        <v>409.7</v>
      </c>
      <c r="AG694" s="282">
        <f t="shared" si="1316"/>
        <v>432.2</v>
      </c>
      <c r="AH694" s="282">
        <f t="shared" ref="AH694" si="1317">AH436+AH654</f>
        <v>466.2</v>
      </c>
    </row>
    <row r="695" spans="1:34">
      <c r="C695" s="281" t="s">
        <v>427</v>
      </c>
      <c r="E695" s="282">
        <f t="shared" ref="E695:T695" si="1318">E437+E655</f>
        <v>12.699</v>
      </c>
      <c r="F695" s="282">
        <f t="shared" si="1318"/>
        <v>10.210999999999999</v>
      </c>
      <c r="G695" s="282">
        <f t="shared" si="1318"/>
        <v>9.1829999999999998</v>
      </c>
      <c r="H695" s="282">
        <f t="shared" si="1318"/>
        <v>9.7839999999999989</v>
      </c>
      <c r="I695" s="282">
        <f t="shared" si="1318"/>
        <v>11.773000000000001</v>
      </c>
      <c r="J695" s="282">
        <f t="shared" si="1318"/>
        <v>12.188999999999998</v>
      </c>
      <c r="K695" s="282">
        <f t="shared" si="1318"/>
        <v>14.172000000000001</v>
      </c>
      <c r="L695" s="282">
        <f t="shared" si="1318"/>
        <v>16.032</v>
      </c>
      <c r="M695" s="282">
        <f t="shared" si="1318"/>
        <v>16.962</v>
      </c>
      <c r="N695" s="282">
        <f t="shared" si="1318"/>
        <v>23.672000000000001</v>
      </c>
      <c r="O695" s="282">
        <f t="shared" si="1318"/>
        <v>27.356000000000002</v>
      </c>
      <c r="P695" s="282">
        <f t="shared" si="1318"/>
        <v>24.148</v>
      </c>
      <c r="Q695" s="282">
        <f t="shared" si="1318"/>
        <v>16.244</v>
      </c>
      <c r="R695" s="282">
        <f t="shared" si="1318"/>
        <v>15.863999999999999</v>
      </c>
      <c r="S695" s="282">
        <f t="shared" si="1318"/>
        <v>11.882000000000001</v>
      </c>
      <c r="T695" s="282">
        <f t="shared" si="1318"/>
        <v>12.714</v>
      </c>
      <c r="U695" s="282">
        <f t="shared" ref="U695:X695" si="1319">U437+U655</f>
        <v>13.231</v>
      </c>
      <c r="V695" s="282">
        <f t="shared" si="1319"/>
        <v>13.748541094375932</v>
      </c>
      <c r="W695" s="282">
        <f t="shared" si="1319"/>
        <v>11.51522956781216</v>
      </c>
      <c r="X695" s="282">
        <f t="shared" si="1319"/>
        <v>12.40522933781191</v>
      </c>
      <c r="Y695" s="283"/>
      <c r="Z695" s="282">
        <f t="shared" si="1316"/>
        <v>85.799000000000007</v>
      </c>
      <c r="AA695" s="282">
        <f t="shared" si="1316"/>
        <v>56.150000000000006</v>
      </c>
      <c r="AB695" s="282">
        <f t="shared" si="1316"/>
        <v>41.876999999999995</v>
      </c>
      <c r="AC695" s="282">
        <f t="shared" si="1316"/>
        <v>54.165999999999997</v>
      </c>
      <c r="AD695" s="282">
        <f t="shared" si="1316"/>
        <v>92.137999999999991</v>
      </c>
      <c r="AE695" s="282">
        <f t="shared" si="1316"/>
        <v>56.703999999999994</v>
      </c>
      <c r="AF695" s="282">
        <f t="shared" si="1316"/>
        <v>50.900000000000006</v>
      </c>
      <c r="AG695" s="282">
        <f t="shared" si="1316"/>
        <v>50.9</v>
      </c>
      <c r="AH695" s="282">
        <f t="shared" ref="AH695" si="1320">AH437+AH655</f>
        <v>50.9</v>
      </c>
    </row>
    <row r="696" spans="1:34">
      <c r="C696" s="281" t="s">
        <v>428</v>
      </c>
      <c r="E696" s="282">
        <f t="shared" ref="E696:T696" si="1321">E438+E656</f>
        <v>6.6689999999999996</v>
      </c>
      <c r="F696" s="282">
        <f t="shared" si="1321"/>
        <v>-0.14799999999999996</v>
      </c>
      <c r="G696" s="282">
        <f t="shared" si="1321"/>
        <v>-2.0999999999999908E-2</v>
      </c>
      <c r="H696" s="282">
        <f t="shared" si="1321"/>
        <v>9.8680000000000003</v>
      </c>
      <c r="I696" s="282">
        <f t="shared" si="1321"/>
        <v>-4.213000000000001</v>
      </c>
      <c r="J696" s="282">
        <f t="shared" si="1321"/>
        <v>-0.5900000000000003</v>
      </c>
      <c r="K696" s="282">
        <f t="shared" si="1321"/>
        <v>11.174999999999999</v>
      </c>
      <c r="L696" s="282">
        <f t="shared" si="1321"/>
        <v>-21.829000000000001</v>
      </c>
      <c r="M696" s="282">
        <f t="shared" si="1321"/>
        <v>10.925000000000001</v>
      </c>
      <c r="N696" s="282">
        <f t="shared" si="1321"/>
        <v>-1.2669999999999995</v>
      </c>
      <c r="O696" s="282">
        <f t="shared" si="1321"/>
        <v>11.199</v>
      </c>
      <c r="P696" s="282">
        <f t="shared" si="1321"/>
        <v>-5.9089999999999998</v>
      </c>
      <c r="Q696" s="282">
        <f t="shared" si="1321"/>
        <v>-0.82299999999999995</v>
      </c>
      <c r="R696" s="282">
        <f t="shared" si="1321"/>
        <v>11.567</v>
      </c>
      <c r="S696" s="282">
        <f t="shared" si="1321"/>
        <v>-15.947999999999999</v>
      </c>
      <c r="T696" s="282">
        <f t="shared" si="1321"/>
        <v>5.4700000000000006</v>
      </c>
      <c r="U696" s="282">
        <f t="shared" ref="U696:X696" si="1322">U438+U656</f>
        <v>5.07</v>
      </c>
      <c r="V696" s="282">
        <f t="shared" si="1322"/>
        <v>-2.116723004694836</v>
      </c>
      <c r="W696" s="282">
        <f t="shared" si="1322"/>
        <v>-5.4033998658618376</v>
      </c>
      <c r="X696" s="282">
        <f t="shared" si="1322"/>
        <v>0.75012287055667315</v>
      </c>
      <c r="Y696" s="283"/>
      <c r="Z696" s="282">
        <f t="shared" si="1316"/>
        <v>2.1189999999999998</v>
      </c>
      <c r="AA696" s="282">
        <f t="shared" si="1316"/>
        <v>1.0170000000000001</v>
      </c>
      <c r="AB696" s="282">
        <f t="shared" si="1316"/>
        <v>16.367999999999999</v>
      </c>
      <c r="AC696" s="282">
        <f t="shared" si="1316"/>
        <v>-15.457000000000003</v>
      </c>
      <c r="AD696" s="282">
        <f t="shared" si="1316"/>
        <v>14.948000000000002</v>
      </c>
      <c r="AE696" s="282">
        <f t="shared" si="1316"/>
        <v>0.26600000000000179</v>
      </c>
      <c r="AF696" s="282">
        <f t="shared" si="1316"/>
        <v>-1.7000000000000002</v>
      </c>
      <c r="AG696" s="282">
        <f t="shared" si="1316"/>
        <v>-1.7</v>
      </c>
      <c r="AH696" s="282">
        <f t="shared" ref="AH696" si="1323">AH438+AH656</f>
        <v>-1.7</v>
      </c>
    </row>
    <row r="697" spans="1:34">
      <c r="C697" s="281" t="s">
        <v>429</v>
      </c>
      <c r="E697" s="282">
        <f t="shared" ref="E697:T697" si="1324">E439+E657</f>
        <v>-1.593</v>
      </c>
      <c r="F697" s="282">
        <f t="shared" si="1324"/>
        <v>-0.96500000000000008</v>
      </c>
      <c r="G697" s="282">
        <f t="shared" si="1324"/>
        <v>-1.46</v>
      </c>
      <c r="H697" s="282">
        <f t="shared" si="1324"/>
        <v>-1.863</v>
      </c>
      <c r="I697" s="282">
        <f t="shared" si="1324"/>
        <v>-1.2349999999999999</v>
      </c>
      <c r="J697" s="282">
        <f t="shared" si="1324"/>
        <v>-2.3679999999999999</v>
      </c>
      <c r="K697" s="282">
        <f t="shared" si="1324"/>
        <v>-0.89200000000000002</v>
      </c>
      <c r="L697" s="282">
        <f t="shared" si="1324"/>
        <v>-2.149</v>
      </c>
      <c r="M697" s="282">
        <f t="shared" si="1324"/>
        <v>-0.46500000000000002</v>
      </c>
      <c r="N697" s="282">
        <f t="shared" si="1324"/>
        <v>-0.623</v>
      </c>
      <c r="O697" s="282">
        <f t="shared" si="1324"/>
        <v>-2.056</v>
      </c>
      <c r="P697" s="282">
        <f t="shared" si="1324"/>
        <v>-1.6869999999999998</v>
      </c>
      <c r="Q697" s="282">
        <f t="shared" si="1324"/>
        <v>-0.82299999999999995</v>
      </c>
      <c r="R697" s="282">
        <f t="shared" si="1324"/>
        <v>-1.431</v>
      </c>
      <c r="S697" s="282">
        <f t="shared" si="1324"/>
        <v>-1.2770000000000001</v>
      </c>
      <c r="T697" s="282">
        <f t="shared" si="1324"/>
        <v>-2.0950000000000002</v>
      </c>
      <c r="U697" s="282">
        <f t="shared" ref="U697:X697" si="1325">U439+U657</f>
        <v>-1.4209999999999998</v>
      </c>
      <c r="V697" s="282">
        <f t="shared" si="1325"/>
        <v>1.4377745619062341</v>
      </c>
      <c r="W697" s="282">
        <f t="shared" si="1325"/>
        <v>1.3847532613346902</v>
      </c>
      <c r="X697" s="282">
        <f t="shared" si="1325"/>
        <v>1.5984721767590755</v>
      </c>
      <c r="Y697" s="283"/>
      <c r="Z697" s="282">
        <f t="shared" si="1316"/>
        <v>-5.8650000000000002</v>
      </c>
      <c r="AA697" s="282">
        <f t="shared" si="1316"/>
        <v>-4.774</v>
      </c>
      <c r="AB697" s="282">
        <f t="shared" si="1316"/>
        <v>-5.8810000000000002</v>
      </c>
      <c r="AC697" s="282">
        <f t="shared" si="1316"/>
        <v>-6.6440000000000001</v>
      </c>
      <c r="AD697" s="282">
        <f t="shared" si="1316"/>
        <v>-4.8309999999999995</v>
      </c>
      <c r="AE697" s="282">
        <f t="shared" si="1316"/>
        <v>-5.6260000000000003</v>
      </c>
      <c r="AF697" s="282">
        <f t="shared" si="1316"/>
        <v>3</v>
      </c>
      <c r="AG697" s="282">
        <f t="shared" si="1316"/>
        <v>3</v>
      </c>
      <c r="AH697" s="282">
        <f t="shared" ref="AH697" si="1326">AH439+AH657</f>
        <v>3</v>
      </c>
    </row>
    <row r="698" spans="1:34">
      <c r="C698" s="281" t="s">
        <v>443</v>
      </c>
      <c r="E698" s="282">
        <f t="shared" ref="E698:T698" si="1327">E440+E658</f>
        <v>-2.984</v>
      </c>
      <c r="F698" s="282">
        <f t="shared" si="1327"/>
        <v>-0.39900000000000002</v>
      </c>
      <c r="G698" s="282">
        <f t="shared" si="1327"/>
        <v>-0.23799999999999999</v>
      </c>
      <c r="H698" s="282">
        <f t="shared" si="1327"/>
        <v>-3.6259999999999999</v>
      </c>
      <c r="I698" s="282">
        <f t="shared" si="1327"/>
        <v>-4.3049999999999997</v>
      </c>
      <c r="J698" s="282">
        <f t="shared" si="1327"/>
        <v>-4.4119999999999999</v>
      </c>
      <c r="K698" s="282">
        <f t="shared" si="1327"/>
        <v>-4.0839999999999996</v>
      </c>
      <c r="L698" s="282">
        <f t="shared" si="1327"/>
        <v>-6.5449999999999999</v>
      </c>
      <c r="M698" s="282">
        <f t="shared" si="1327"/>
        <v>-3.8759999999999999</v>
      </c>
      <c r="N698" s="282">
        <f t="shared" si="1327"/>
        <v>-12.475</v>
      </c>
      <c r="O698" s="282">
        <f t="shared" si="1327"/>
        <v>-35.771000000000001</v>
      </c>
      <c r="P698" s="282">
        <f t="shared" si="1327"/>
        <v>-0.34799999999999998</v>
      </c>
      <c r="Q698" s="282">
        <f t="shared" si="1327"/>
        <v>-0.115</v>
      </c>
      <c r="R698" s="282">
        <f t="shared" si="1327"/>
        <v>-4.9139999999999997</v>
      </c>
      <c r="S698" s="282">
        <f t="shared" si="1327"/>
        <v>0</v>
      </c>
      <c r="T698" s="282">
        <f t="shared" si="1327"/>
        <v>0</v>
      </c>
      <c r="U698" s="282">
        <f t="shared" ref="U698:X698" si="1328">U440+U658</f>
        <v>0</v>
      </c>
      <c r="V698" s="282">
        <f t="shared" si="1328"/>
        <v>0</v>
      </c>
      <c r="W698" s="282">
        <f t="shared" si="1328"/>
        <v>0</v>
      </c>
      <c r="X698" s="282">
        <f t="shared" si="1328"/>
        <v>0</v>
      </c>
      <c r="Y698" s="283"/>
      <c r="Z698" s="282">
        <f t="shared" si="1316"/>
        <v>0</v>
      </c>
      <c r="AA698" s="282">
        <f t="shared" si="1316"/>
        <v>0</v>
      </c>
      <c r="AB698" s="282">
        <f t="shared" si="1316"/>
        <v>-7.2469999999999999</v>
      </c>
      <c r="AC698" s="282">
        <f t="shared" si="1316"/>
        <v>-19.345999999999997</v>
      </c>
      <c r="AD698" s="282">
        <f t="shared" si="1316"/>
        <v>-52.470000000000006</v>
      </c>
      <c r="AE698" s="282">
        <f t="shared" si="1316"/>
        <v>-5.0289999999999999</v>
      </c>
      <c r="AF698" s="282">
        <f t="shared" si="1316"/>
        <v>0</v>
      </c>
      <c r="AG698" s="282">
        <f t="shared" si="1316"/>
        <v>0</v>
      </c>
      <c r="AH698" s="282">
        <f t="shared" ref="AH698" si="1329">AH440+AH658</f>
        <v>0</v>
      </c>
    </row>
    <row r="699" spans="1:34">
      <c r="C699" s="320" t="s">
        <v>446</v>
      </c>
      <c r="E699" s="382">
        <f t="shared" ref="E699:T699" si="1330">SUM(E694:E698)</f>
        <v>87.66</v>
      </c>
      <c r="F699" s="382">
        <f t="shared" si="1330"/>
        <v>89.138999999999996</v>
      </c>
      <c r="G699" s="382">
        <f t="shared" si="1330"/>
        <v>101.07300000000001</v>
      </c>
      <c r="H699" s="382">
        <f t="shared" si="1330"/>
        <v>116.35499999999999</v>
      </c>
      <c r="I699" s="382">
        <f t="shared" si="1330"/>
        <v>112.40600000000001</v>
      </c>
      <c r="J699" s="382">
        <f t="shared" si="1330"/>
        <v>109.75699999999998</v>
      </c>
      <c r="K699" s="382">
        <f t="shared" si="1330"/>
        <v>116.24899999999998</v>
      </c>
      <c r="L699" s="382">
        <f t="shared" si="1330"/>
        <v>124.65600000000002</v>
      </c>
      <c r="M699" s="382">
        <f t="shared" si="1330"/>
        <v>109.26599999999999</v>
      </c>
      <c r="N699" s="382">
        <f t="shared" si="1330"/>
        <v>100.86499999999999</v>
      </c>
      <c r="O699" s="382">
        <f t="shared" si="1330"/>
        <v>103.753</v>
      </c>
      <c r="P699" s="382">
        <f t="shared" si="1330"/>
        <v>118.56399999999996</v>
      </c>
      <c r="Q699" s="382">
        <f t="shared" si="1330"/>
        <v>111.19200000000002</v>
      </c>
      <c r="R699" s="382">
        <f t="shared" si="1330"/>
        <v>131.40600000000001</v>
      </c>
      <c r="S699" s="382">
        <f t="shared" si="1330"/>
        <v>107.19900000000001</v>
      </c>
      <c r="T699" s="382">
        <f t="shared" si="1330"/>
        <v>115.05099999999999</v>
      </c>
      <c r="U699" s="382">
        <f t="shared" ref="U699:X699" si="1331">SUM(U694:U698)</f>
        <v>122.652</v>
      </c>
      <c r="V699" s="382">
        <f t="shared" si="1331"/>
        <v>114.77063461566864</v>
      </c>
      <c r="W699" s="382">
        <f t="shared" si="1331"/>
        <v>108.59128431353891</v>
      </c>
      <c r="X699" s="382">
        <f t="shared" si="1331"/>
        <v>115.88608107079246</v>
      </c>
      <c r="Y699" s="283"/>
      <c r="Z699" s="382">
        <f t="shared" ref="Z699:AE699" si="1332">SUM(Z694:Z698)</f>
        <v>420.37800000000004</v>
      </c>
      <c r="AA699" s="382">
        <f t="shared" si="1332"/>
        <v>357.11999999999995</v>
      </c>
      <c r="AB699" s="382">
        <f t="shared" si="1332"/>
        <v>394.22700000000003</v>
      </c>
      <c r="AC699" s="382">
        <f t="shared" si="1332"/>
        <v>463.06800000000004</v>
      </c>
      <c r="AD699" s="382">
        <f t="shared" si="1332"/>
        <v>432.44799999999987</v>
      </c>
      <c r="AE699" s="382">
        <f t="shared" si="1332"/>
        <v>464.84800000000007</v>
      </c>
      <c r="AF699" s="382">
        <f>SUM(AF694:AF698)</f>
        <v>461.90000000000003</v>
      </c>
      <c r="AG699" s="382">
        <f>SUM(AG694:AG698)</f>
        <v>484.4</v>
      </c>
      <c r="AH699" s="382">
        <f>SUM(AH694:AH698)</f>
        <v>518.4</v>
      </c>
    </row>
    <row r="700" spans="1:34">
      <c r="E700" s="282"/>
      <c r="F700" s="282"/>
      <c r="G700" s="282"/>
      <c r="H700" s="282"/>
      <c r="I700" s="282"/>
      <c r="J700" s="282"/>
      <c r="K700" s="282"/>
      <c r="L700" s="282"/>
      <c r="M700" s="282"/>
      <c r="N700" s="282"/>
      <c r="O700" s="282"/>
      <c r="P700" s="282"/>
      <c r="Q700" s="282"/>
      <c r="R700" s="282"/>
      <c r="S700" s="282"/>
      <c r="T700" s="282"/>
      <c r="U700" s="282"/>
      <c r="V700" s="282"/>
      <c r="W700" s="282"/>
      <c r="X700" s="282"/>
      <c r="Y700" s="283"/>
      <c r="Z700" s="282"/>
      <c r="AA700" s="282"/>
      <c r="AB700" s="282"/>
      <c r="AC700" s="282"/>
      <c r="AD700" s="282"/>
      <c r="AE700" s="282"/>
      <c r="AF700" s="282"/>
      <c r="AG700" s="282"/>
      <c r="AH700" s="282"/>
    </row>
    <row r="701" spans="1:34">
      <c r="C701" s="281" t="s">
        <v>429</v>
      </c>
      <c r="E701" s="282">
        <f t="shared" ref="E701:T701" si="1333">E443+E661</f>
        <v>1.0979999999999999</v>
      </c>
      <c r="F701" s="282">
        <f t="shared" si="1333"/>
        <v>1.093</v>
      </c>
      <c r="G701" s="282">
        <f t="shared" si="1333"/>
        <v>1.0920000000000001</v>
      </c>
      <c r="H701" s="282">
        <f t="shared" si="1333"/>
        <v>1.6579999999999999</v>
      </c>
      <c r="I701" s="282">
        <f t="shared" si="1333"/>
        <v>1.367</v>
      </c>
      <c r="J701" s="282">
        <f t="shared" si="1333"/>
        <v>1.3660000000000001</v>
      </c>
      <c r="K701" s="282">
        <f t="shared" si="1333"/>
        <v>1.3679999999999999</v>
      </c>
      <c r="L701" s="282">
        <f t="shared" si="1333"/>
        <v>1.367</v>
      </c>
      <c r="M701" s="282">
        <f t="shared" si="1333"/>
        <v>1.3250000000000002</v>
      </c>
      <c r="N701" s="282">
        <f t="shared" si="1333"/>
        <v>1.3240000000000001</v>
      </c>
      <c r="O701" s="282">
        <f t="shared" si="1333"/>
        <v>0.999</v>
      </c>
      <c r="P701" s="282">
        <f t="shared" si="1333"/>
        <v>1.1860000000000002</v>
      </c>
      <c r="Q701" s="282">
        <f t="shared" si="1333"/>
        <v>1.347</v>
      </c>
      <c r="R701" s="282">
        <f t="shared" si="1333"/>
        <v>1.544</v>
      </c>
      <c r="S701" s="282">
        <f t="shared" si="1333"/>
        <v>1.6480000000000001</v>
      </c>
      <c r="T701" s="282">
        <f t="shared" si="1333"/>
        <v>1.647</v>
      </c>
      <c r="U701" s="282">
        <f t="shared" ref="U701:X701" si="1334">U443+U661</f>
        <v>1.1969999999999998</v>
      </c>
      <c r="V701" s="282">
        <f t="shared" si="1334"/>
        <v>1.3716734599642282</v>
      </c>
      <c r="W701" s="282">
        <f t="shared" si="1334"/>
        <v>1.3661933644317332</v>
      </c>
      <c r="X701" s="282">
        <f t="shared" si="1334"/>
        <v>1.3651331756040386</v>
      </c>
      <c r="Y701" s="283"/>
      <c r="Z701" s="282">
        <f t="shared" ref="Z701:AG704" si="1335">Z443+Z661</f>
        <v>4.1379999999999999</v>
      </c>
      <c r="AA701" s="282">
        <f t="shared" si="1335"/>
        <v>3.8260000000000001</v>
      </c>
      <c r="AB701" s="282">
        <f t="shared" si="1335"/>
        <v>4.9409999999999998</v>
      </c>
      <c r="AC701" s="282">
        <f t="shared" si="1335"/>
        <v>5.468</v>
      </c>
      <c r="AD701" s="282">
        <f t="shared" si="1335"/>
        <v>4.8340000000000005</v>
      </c>
      <c r="AE701" s="282">
        <f t="shared" si="1335"/>
        <v>6.1859999999999999</v>
      </c>
      <c r="AF701" s="282">
        <f t="shared" si="1335"/>
        <v>5.2999999999999989</v>
      </c>
      <c r="AG701" s="282">
        <f t="shared" si="1335"/>
        <v>5.3000000000000007</v>
      </c>
      <c r="AH701" s="282">
        <f t="shared" ref="AH701" si="1336">AH443+AH661</f>
        <v>5.3000000000000007</v>
      </c>
    </row>
    <row r="702" spans="1:34">
      <c r="C702" s="281" t="s">
        <v>314</v>
      </c>
      <c r="E702" s="282">
        <f t="shared" ref="E702:T702" si="1337">E444+E662</f>
        <v>4.3059999999999992</v>
      </c>
      <c r="F702" s="282">
        <f t="shared" si="1337"/>
        <v>4.8760000000000003</v>
      </c>
      <c r="G702" s="282">
        <f t="shared" si="1337"/>
        <v>8.402000000000001</v>
      </c>
      <c r="H702" s="282">
        <f t="shared" si="1337"/>
        <v>7.0179999999999989</v>
      </c>
      <c r="I702" s="282">
        <f t="shared" si="1337"/>
        <v>3.7029999999999998</v>
      </c>
      <c r="J702" s="282">
        <f t="shared" si="1337"/>
        <v>3.698</v>
      </c>
      <c r="K702" s="282">
        <f t="shared" si="1337"/>
        <v>3.7190000000000003</v>
      </c>
      <c r="L702" s="282">
        <f t="shared" si="1337"/>
        <v>1.6439999999999999</v>
      </c>
      <c r="M702" s="282">
        <f t="shared" si="1337"/>
        <v>1.8969999999999998</v>
      </c>
      <c r="N702" s="282">
        <f t="shared" si="1337"/>
        <v>0.78100000000000003</v>
      </c>
      <c r="O702" s="282">
        <f t="shared" si="1337"/>
        <v>1.1339999999999999</v>
      </c>
      <c r="P702" s="282">
        <f t="shared" si="1337"/>
        <v>1.1439999999999999</v>
      </c>
      <c r="Q702" s="282">
        <f t="shared" si="1337"/>
        <v>1.4650000000000001</v>
      </c>
      <c r="R702" s="282">
        <f t="shared" si="1337"/>
        <v>2.8529999999999998</v>
      </c>
      <c r="S702" s="282">
        <f t="shared" si="1337"/>
        <v>4.4870000000000001</v>
      </c>
      <c r="T702" s="282">
        <f t="shared" si="1337"/>
        <v>3.3380000000000001</v>
      </c>
      <c r="U702" s="282">
        <f t="shared" ref="U702:X702" si="1338">U444+U662</f>
        <v>2.2749999999999999</v>
      </c>
      <c r="V702" s="282">
        <f t="shared" si="1338"/>
        <v>2.9265082689996307</v>
      </c>
      <c r="W702" s="282">
        <f t="shared" si="1338"/>
        <v>4.5863040891106506</v>
      </c>
      <c r="X702" s="282">
        <f t="shared" si="1338"/>
        <v>3.4121876418897186</v>
      </c>
      <c r="Y702" s="283"/>
      <c r="Z702" s="282">
        <f t="shared" si="1335"/>
        <v>11</v>
      </c>
      <c r="AA702" s="282">
        <f t="shared" si="1335"/>
        <v>17.318999999999999</v>
      </c>
      <c r="AB702" s="282">
        <f t="shared" si="1335"/>
        <v>24.601999999999997</v>
      </c>
      <c r="AC702" s="282">
        <f t="shared" si="1335"/>
        <v>12.763999999999999</v>
      </c>
      <c r="AD702" s="282">
        <f t="shared" si="1335"/>
        <v>4.9559999999999995</v>
      </c>
      <c r="AE702" s="282">
        <f t="shared" si="1335"/>
        <v>12.142999999999999</v>
      </c>
      <c r="AF702" s="282">
        <f t="shared" si="1335"/>
        <v>13.2</v>
      </c>
      <c r="AG702" s="282">
        <f t="shared" si="1335"/>
        <v>13.2</v>
      </c>
      <c r="AH702" s="282">
        <f t="shared" ref="AH702" si="1339">AH444+AH662</f>
        <v>13.2</v>
      </c>
    </row>
    <row r="703" spans="1:34">
      <c r="C703" s="281" t="s">
        <v>430</v>
      </c>
      <c r="E703" s="282">
        <f t="shared" ref="E703:T703" si="1340">E445+E663</f>
        <v>19.096</v>
      </c>
      <c r="F703" s="282">
        <f t="shared" si="1340"/>
        <v>26.189</v>
      </c>
      <c r="G703" s="282">
        <f t="shared" si="1340"/>
        <v>27.524000000000001</v>
      </c>
      <c r="H703" s="282">
        <f t="shared" si="1340"/>
        <v>36.764000000000003</v>
      </c>
      <c r="I703" s="282">
        <f t="shared" si="1340"/>
        <v>24.278000000000002</v>
      </c>
      <c r="J703" s="282">
        <f t="shared" si="1340"/>
        <v>31.969000000000001</v>
      </c>
      <c r="K703" s="282">
        <f t="shared" si="1340"/>
        <v>25.036000000000001</v>
      </c>
      <c r="L703" s="282">
        <f t="shared" si="1340"/>
        <v>22.45</v>
      </c>
      <c r="M703" s="282">
        <f t="shared" si="1340"/>
        <v>14.898</v>
      </c>
      <c r="N703" s="282">
        <f t="shared" si="1340"/>
        <v>9.5519999999999996</v>
      </c>
      <c r="O703" s="282">
        <f t="shared" si="1340"/>
        <v>20.176000000000002</v>
      </c>
      <c r="P703" s="282">
        <f t="shared" si="1340"/>
        <v>28.504000000000001</v>
      </c>
      <c r="Q703" s="282">
        <f t="shared" si="1340"/>
        <v>18.193000000000001</v>
      </c>
      <c r="R703" s="282">
        <f t="shared" si="1340"/>
        <v>17.690999999999999</v>
      </c>
      <c r="S703" s="282">
        <f>S445+S663</f>
        <v>21.871000000000002</v>
      </c>
      <c r="T703" s="282">
        <f t="shared" si="1340"/>
        <v>28.483000000000004</v>
      </c>
      <c r="U703" s="282">
        <f t="shared" ref="U703:W703" si="1341">U445+U663</f>
        <v>18.798999999999999</v>
      </c>
      <c r="V703" s="282">
        <f t="shared" si="1341"/>
        <v>26.075998758594825</v>
      </c>
      <c r="W703" s="282">
        <f t="shared" si="1341"/>
        <v>29.625467403122308</v>
      </c>
      <c r="X703" s="282">
        <f>X445+X663</f>
        <v>25.299533838282866</v>
      </c>
      <c r="Y703" s="283"/>
      <c r="Z703" s="282">
        <f t="shared" si="1335"/>
        <v>157.041</v>
      </c>
      <c r="AA703" s="282">
        <f t="shared" si="1335"/>
        <v>96.782000000000011</v>
      </c>
      <c r="AB703" s="282">
        <f t="shared" si="1335"/>
        <v>109.57300000000001</v>
      </c>
      <c r="AC703" s="282">
        <f t="shared" si="1335"/>
        <v>103.733</v>
      </c>
      <c r="AD703" s="282">
        <f t="shared" si="1335"/>
        <v>73.13</v>
      </c>
      <c r="AE703" s="282">
        <f t="shared" si="1335"/>
        <v>86.238</v>
      </c>
      <c r="AF703" s="282">
        <f t="shared" si="1335"/>
        <v>99.8</v>
      </c>
      <c r="AG703" s="282">
        <f t="shared" si="1335"/>
        <v>99.8</v>
      </c>
      <c r="AH703" s="282">
        <f t="shared" ref="AH703" si="1342">AH445+AH663</f>
        <v>99.8</v>
      </c>
    </row>
    <row r="704" spans="1:34">
      <c r="C704" s="281" t="s">
        <v>313</v>
      </c>
      <c r="E704" s="282">
        <f t="shared" ref="E704:T704" si="1343">E446+E664</f>
        <v>7.7350000000000003</v>
      </c>
      <c r="F704" s="282">
        <f t="shared" si="1343"/>
        <v>9.7870000000000008</v>
      </c>
      <c r="G704" s="282">
        <f t="shared" si="1343"/>
        <v>10.327</v>
      </c>
      <c r="H704" s="282">
        <f t="shared" si="1343"/>
        <v>8.6929999999999996</v>
      </c>
      <c r="I704" s="282">
        <f t="shared" si="1343"/>
        <v>9.9589999999999996</v>
      </c>
      <c r="J704" s="282">
        <f t="shared" si="1343"/>
        <v>8.9179999999999993</v>
      </c>
      <c r="K704" s="282">
        <f t="shared" si="1343"/>
        <v>7.9779999999999998</v>
      </c>
      <c r="L704" s="282">
        <f t="shared" si="1343"/>
        <v>8.9770000000000003</v>
      </c>
      <c r="M704" s="282">
        <f t="shared" si="1343"/>
        <v>8.9390000000000001</v>
      </c>
      <c r="N704" s="282">
        <f t="shared" si="1343"/>
        <v>6.9790000000000001</v>
      </c>
      <c r="O704" s="282">
        <f t="shared" si="1343"/>
        <v>10.345000000000001</v>
      </c>
      <c r="P704" s="282">
        <f t="shared" si="1343"/>
        <v>7.4960000000000004</v>
      </c>
      <c r="Q704" s="282">
        <f t="shared" si="1343"/>
        <v>8.0069999999999997</v>
      </c>
      <c r="R704" s="282">
        <f t="shared" si="1343"/>
        <v>11.103999999999999</v>
      </c>
      <c r="S704" s="282">
        <f t="shared" si="1343"/>
        <v>8.8740000000000006</v>
      </c>
      <c r="T704" s="282">
        <f t="shared" si="1343"/>
        <v>6.585</v>
      </c>
      <c r="U704" s="282">
        <f t="shared" ref="U704:X704" si="1344">U446+U664</f>
        <v>8.2940000000000005</v>
      </c>
      <c r="V704" s="282">
        <f t="shared" si="1344"/>
        <v>12.417852802770769</v>
      </c>
      <c r="W704" s="282">
        <f t="shared" si="1344"/>
        <v>9.9239936754131683</v>
      </c>
      <c r="X704" s="282">
        <f t="shared" si="1344"/>
        <v>7.3641535218160596</v>
      </c>
      <c r="Y704" s="283"/>
      <c r="Z704" s="282">
        <f t="shared" si="1335"/>
        <v>45.04</v>
      </c>
      <c r="AA704" s="282">
        <f t="shared" si="1335"/>
        <v>35.610999999999997</v>
      </c>
      <c r="AB704" s="282">
        <f t="shared" si="1335"/>
        <v>36.542000000000002</v>
      </c>
      <c r="AC704" s="282">
        <f t="shared" si="1335"/>
        <v>35.831999999999994</v>
      </c>
      <c r="AD704" s="282">
        <f t="shared" si="1335"/>
        <v>33.759</v>
      </c>
      <c r="AE704" s="282">
        <f t="shared" si="1335"/>
        <v>34.57</v>
      </c>
      <c r="AF704" s="282">
        <f t="shared" si="1335"/>
        <v>38</v>
      </c>
      <c r="AG704" s="282">
        <f t="shared" si="1335"/>
        <v>38</v>
      </c>
      <c r="AH704" s="282">
        <f t="shared" ref="AH704" si="1345">AH446+AH664</f>
        <v>38</v>
      </c>
    </row>
    <row r="705" spans="1:34">
      <c r="C705" s="320" t="s">
        <v>437</v>
      </c>
      <c r="E705" s="382">
        <f t="shared" ref="E705:T705" si="1346">E699+SUM(E701:E704)</f>
        <v>119.895</v>
      </c>
      <c r="F705" s="382">
        <f t="shared" si="1346"/>
        <v>131.084</v>
      </c>
      <c r="G705" s="382">
        <f t="shared" si="1346"/>
        <v>148.41800000000001</v>
      </c>
      <c r="H705" s="382">
        <f t="shared" si="1346"/>
        <v>170.488</v>
      </c>
      <c r="I705" s="382">
        <f t="shared" si="1346"/>
        <v>151.71300000000002</v>
      </c>
      <c r="J705" s="382">
        <f t="shared" si="1346"/>
        <v>155.70799999999997</v>
      </c>
      <c r="K705" s="382">
        <f t="shared" si="1346"/>
        <v>154.34999999999997</v>
      </c>
      <c r="L705" s="382">
        <f t="shared" si="1346"/>
        <v>159.09400000000002</v>
      </c>
      <c r="M705" s="382">
        <f t="shared" si="1346"/>
        <v>136.32499999999999</v>
      </c>
      <c r="N705" s="382">
        <f t="shared" si="1346"/>
        <v>119.50099999999999</v>
      </c>
      <c r="O705" s="382">
        <f t="shared" si="1346"/>
        <v>136.40700000000001</v>
      </c>
      <c r="P705" s="382">
        <f t="shared" si="1346"/>
        <v>156.89399999999998</v>
      </c>
      <c r="Q705" s="382">
        <f t="shared" si="1346"/>
        <v>140.20400000000001</v>
      </c>
      <c r="R705" s="382">
        <f t="shared" si="1346"/>
        <v>164.59800000000001</v>
      </c>
      <c r="S705" s="382">
        <f t="shared" si="1346"/>
        <v>144.07900000000001</v>
      </c>
      <c r="T705" s="382">
        <f t="shared" si="1346"/>
        <v>155.10399999999998</v>
      </c>
      <c r="U705" s="382">
        <f t="shared" ref="U705:X705" si="1347">U699+SUM(U701:U704)</f>
        <v>153.21700000000001</v>
      </c>
      <c r="V705" s="382">
        <f t="shared" si="1347"/>
        <v>157.5626679059981</v>
      </c>
      <c r="W705" s="382">
        <f t="shared" si="1347"/>
        <v>154.09324284561677</v>
      </c>
      <c r="X705" s="382">
        <f t="shared" si="1347"/>
        <v>153.32708924838514</v>
      </c>
      <c r="Y705" s="283"/>
      <c r="Z705" s="382">
        <f t="shared" ref="Z705:AE705" si="1348">Z699+SUM(Z701:Z704)</f>
        <v>637.59699999999998</v>
      </c>
      <c r="AA705" s="382">
        <f t="shared" si="1348"/>
        <v>510.65799999999996</v>
      </c>
      <c r="AB705" s="382">
        <f t="shared" si="1348"/>
        <v>569.88499999999999</v>
      </c>
      <c r="AC705" s="382">
        <f t="shared" si="1348"/>
        <v>620.86500000000001</v>
      </c>
      <c r="AD705" s="382">
        <f t="shared" si="1348"/>
        <v>549.12699999999984</v>
      </c>
      <c r="AE705" s="382">
        <f t="shared" si="1348"/>
        <v>603.98500000000013</v>
      </c>
      <c r="AF705" s="382">
        <f>AF699+SUM(AF701:AF704)</f>
        <v>618.20000000000005</v>
      </c>
      <c r="AG705" s="382">
        <f>AG699+SUM(AG701:AG704)</f>
        <v>640.70000000000005</v>
      </c>
      <c r="AH705" s="382">
        <f>AH699+SUM(AH701:AH704)</f>
        <v>674.7</v>
      </c>
    </row>
    <row r="706" spans="1:34">
      <c r="E706" s="282"/>
      <c r="F706" s="282"/>
      <c r="G706" s="282"/>
      <c r="H706" s="282"/>
      <c r="I706" s="282"/>
      <c r="J706" s="282"/>
      <c r="K706" s="282"/>
      <c r="L706" s="282"/>
      <c r="M706" s="282"/>
      <c r="N706" s="282"/>
      <c r="O706" s="282"/>
      <c r="P706" s="282"/>
      <c r="Q706" s="282"/>
      <c r="R706" s="282"/>
      <c r="S706" s="282"/>
      <c r="T706" s="282"/>
      <c r="U706" s="282"/>
      <c r="V706" s="282"/>
      <c r="W706" s="282"/>
      <c r="X706" s="282"/>
      <c r="Y706" s="283"/>
      <c r="Z706" s="282"/>
      <c r="AA706" s="282"/>
      <c r="AB706" s="282"/>
      <c r="AC706" s="282"/>
      <c r="AD706" s="282"/>
      <c r="AE706" s="282"/>
      <c r="AF706" s="282"/>
      <c r="AG706" s="282"/>
      <c r="AH706" s="282"/>
    </row>
    <row r="707" spans="1:34">
      <c r="C707" s="414" t="s">
        <v>431</v>
      </c>
      <c r="E707" s="282"/>
      <c r="F707" s="282"/>
      <c r="G707" s="282"/>
      <c r="H707" s="282"/>
      <c r="I707" s="282"/>
      <c r="J707" s="282"/>
      <c r="K707" s="282"/>
      <c r="L707" s="282"/>
      <c r="M707" s="282"/>
      <c r="N707" s="282"/>
      <c r="O707" s="282"/>
      <c r="P707" s="282"/>
      <c r="Q707" s="282"/>
      <c r="R707" s="282"/>
      <c r="S707" s="282"/>
      <c r="T707" s="282"/>
      <c r="U707" s="282"/>
      <c r="V707" s="282"/>
      <c r="W707" s="282"/>
      <c r="X707" s="282"/>
      <c r="Y707" s="283"/>
      <c r="Z707" s="282"/>
      <c r="AA707" s="282"/>
      <c r="AB707" s="282"/>
      <c r="AC707" s="282"/>
      <c r="AD707" s="282"/>
      <c r="AE707" s="282"/>
      <c r="AF707" s="282"/>
      <c r="AG707" s="282"/>
      <c r="AH707" s="282"/>
    </row>
    <row r="708" spans="1:34">
      <c r="C708" s="281" t="s">
        <v>444</v>
      </c>
      <c r="E708" s="282">
        <f t="shared" ref="E708:X708" si="1349">E225+E313+E401+E537+E625</f>
        <v>0.14799999999999999</v>
      </c>
      <c r="F708" s="282">
        <f t="shared" si="1349"/>
        <v>0.20100000000000001</v>
      </c>
      <c r="G708" s="282">
        <f t="shared" si="1349"/>
        <v>1.3739999999999999</v>
      </c>
      <c r="H708" s="282">
        <f t="shared" si="1349"/>
        <v>1.3860000000000001</v>
      </c>
      <c r="I708" s="282">
        <f t="shared" si="1349"/>
        <v>1.1829999999999998</v>
      </c>
      <c r="J708" s="282">
        <f t="shared" si="1349"/>
        <v>0.83</v>
      </c>
      <c r="K708" s="282">
        <f t="shared" si="1349"/>
        <v>0.86599999999999999</v>
      </c>
      <c r="L708" s="282">
        <f t="shared" si="1349"/>
        <v>0.55099999999999993</v>
      </c>
      <c r="M708" s="282">
        <f t="shared" si="1349"/>
        <v>0.45299999999999996</v>
      </c>
      <c r="N708" s="282">
        <f t="shared" si="1349"/>
        <v>0.374</v>
      </c>
      <c r="O708" s="282">
        <f t="shared" si="1349"/>
        <v>9.2999999999999999E-2</v>
      </c>
      <c r="P708" s="282">
        <f t="shared" si="1349"/>
        <v>0.214</v>
      </c>
      <c r="Q708" s="282">
        <f t="shared" si="1349"/>
        <v>0.27800000000000002</v>
      </c>
      <c r="R708" s="282">
        <f t="shared" si="1349"/>
        <v>1.3120000000000001</v>
      </c>
      <c r="S708" s="282">
        <f t="shared" si="1349"/>
        <v>0.17500000000000002</v>
      </c>
      <c r="T708" s="282">
        <f t="shared" si="1349"/>
        <v>0.20399999999999999</v>
      </c>
      <c r="U708" s="282">
        <f t="shared" si="1349"/>
        <v>0.16600000000000001</v>
      </c>
      <c r="V708" s="282">
        <f t="shared" si="1349"/>
        <v>0.21011764705882352</v>
      </c>
      <c r="W708" s="282">
        <f t="shared" si="1349"/>
        <v>0.16990374331550803</v>
      </c>
      <c r="X708" s="282">
        <f t="shared" si="1349"/>
        <v>0.18397860962566845</v>
      </c>
      <c r="Y708" s="283"/>
      <c r="Z708" s="282">
        <f t="shared" ref="Z708:AH708" si="1350">Z225+Z313+Z401+Z537+Z625</f>
        <v>0.57199999999999995</v>
      </c>
      <c r="AA708" s="282">
        <f t="shared" si="1350"/>
        <v>0.61399999999999999</v>
      </c>
      <c r="AB708" s="282">
        <f t="shared" si="1350"/>
        <v>3.109</v>
      </c>
      <c r="AC708" s="282">
        <f t="shared" si="1350"/>
        <v>3.4299999999999997</v>
      </c>
      <c r="AD708" s="282">
        <f t="shared" si="1350"/>
        <v>1.1339999999999999</v>
      </c>
      <c r="AE708" s="282">
        <f t="shared" si="1350"/>
        <v>1.9689999999999999</v>
      </c>
      <c r="AF708" s="282">
        <f t="shared" si="1350"/>
        <v>0.73</v>
      </c>
      <c r="AG708" s="282">
        <f t="shared" si="1350"/>
        <v>0.73</v>
      </c>
      <c r="AH708" s="282">
        <f t="shared" si="1350"/>
        <v>0.73</v>
      </c>
    </row>
    <row r="709" spans="1:34">
      <c r="C709" s="281" t="s">
        <v>440</v>
      </c>
      <c r="E709" s="282">
        <f t="shared" ref="E709:X709" si="1351">E226+E314+E402+E538+E626</f>
        <v>21.29</v>
      </c>
      <c r="F709" s="282">
        <f t="shared" si="1351"/>
        <v>20.773</v>
      </c>
      <c r="G709" s="282">
        <f t="shared" si="1351"/>
        <v>16.678999999999998</v>
      </c>
      <c r="H709" s="282">
        <f t="shared" si="1351"/>
        <v>17.673999999999999</v>
      </c>
      <c r="I709" s="282">
        <f t="shared" si="1351"/>
        <v>21.12</v>
      </c>
      <c r="J709" s="282">
        <f t="shared" si="1351"/>
        <v>19.994999999999997</v>
      </c>
      <c r="K709" s="282">
        <f t="shared" si="1351"/>
        <v>24.463000000000001</v>
      </c>
      <c r="L709" s="282">
        <f t="shared" si="1351"/>
        <v>25.773</v>
      </c>
      <c r="M709" s="282">
        <f t="shared" si="1351"/>
        <v>21.625999999999998</v>
      </c>
      <c r="N709" s="282">
        <f t="shared" si="1351"/>
        <v>21.713999999999999</v>
      </c>
      <c r="O709" s="282">
        <f t="shared" si="1351"/>
        <v>24.911999999999999</v>
      </c>
      <c r="P709" s="282">
        <f t="shared" si="1351"/>
        <v>18.949000000000002</v>
      </c>
      <c r="Q709" s="282">
        <f t="shared" si="1351"/>
        <v>20.995999999999999</v>
      </c>
      <c r="R709" s="282">
        <f t="shared" si="1351"/>
        <v>20.437999999999999</v>
      </c>
      <c r="S709" s="282">
        <f t="shared" si="1351"/>
        <v>14.864000000000001</v>
      </c>
      <c r="T709" s="282">
        <f t="shared" si="1351"/>
        <v>15.712</v>
      </c>
      <c r="U709" s="282">
        <f t="shared" si="1351"/>
        <v>18.582999999999998</v>
      </c>
      <c r="V709" s="282">
        <f t="shared" si="1351"/>
        <v>19.036978986160658</v>
      </c>
      <c r="W709" s="282">
        <f t="shared" si="1351"/>
        <v>13.845075626298664</v>
      </c>
      <c r="X709" s="282">
        <f t="shared" si="1351"/>
        <v>14.634945387540675</v>
      </c>
      <c r="Y709" s="283"/>
      <c r="Z709" s="282">
        <f t="shared" ref="Z709:AH709" si="1352">Z226+Z314+Z402+Z538+Z626</f>
        <v>99.905000000000001</v>
      </c>
      <c r="AA709" s="282">
        <f t="shared" si="1352"/>
        <v>87.319000000000003</v>
      </c>
      <c r="AB709" s="282">
        <f t="shared" si="1352"/>
        <v>76.415999999999997</v>
      </c>
      <c r="AC709" s="282">
        <f t="shared" si="1352"/>
        <v>91.350999999999999</v>
      </c>
      <c r="AD709" s="282">
        <f t="shared" si="1352"/>
        <v>87.200999999999993</v>
      </c>
      <c r="AE709" s="282">
        <f t="shared" si="1352"/>
        <v>72.010000000000005</v>
      </c>
      <c r="AF709" s="282">
        <f t="shared" si="1352"/>
        <v>66.099999999999994</v>
      </c>
      <c r="AG709" s="282">
        <f t="shared" si="1352"/>
        <v>69.599999999999994</v>
      </c>
      <c r="AH709" s="282">
        <f t="shared" si="1352"/>
        <v>72.199999999999989</v>
      </c>
    </row>
    <row r="710" spans="1:34">
      <c r="C710" s="281" t="s">
        <v>439</v>
      </c>
      <c r="E710" s="282">
        <f t="shared" ref="E710:X710" si="1353">E227+E315+E403+E539+E627</f>
        <v>32.142000000000003</v>
      </c>
      <c r="F710" s="282">
        <f t="shared" si="1353"/>
        <v>27.492000000000001</v>
      </c>
      <c r="G710" s="282">
        <f t="shared" si="1353"/>
        <v>20.673999999999999</v>
      </c>
      <c r="H710" s="282">
        <f t="shared" si="1353"/>
        <v>22.788</v>
      </c>
      <c r="I710" s="282">
        <f t="shared" si="1353"/>
        <v>23.285</v>
      </c>
      <c r="J710" s="282">
        <f t="shared" si="1353"/>
        <v>22.221</v>
      </c>
      <c r="K710" s="282">
        <f t="shared" si="1353"/>
        <v>22.452000000000002</v>
      </c>
      <c r="L710" s="282">
        <f t="shared" si="1353"/>
        <v>23.478000000000002</v>
      </c>
      <c r="M710" s="282">
        <f t="shared" si="1353"/>
        <v>16.026</v>
      </c>
      <c r="N710" s="282">
        <f t="shared" si="1353"/>
        <v>19.913</v>
      </c>
      <c r="O710" s="282">
        <f t="shared" si="1353"/>
        <v>23.771999999999998</v>
      </c>
      <c r="P710" s="282">
        <f t="shared" si="1353"/>
        <v>23.975000000000001</v>
      </c>
      <c r="Q710" s="282">
        <f t="shared" si="1353"/>
        <v>27.52</v>
      </c>
      <c r="R710" s="282">
        <f t="shared" si="1353"/>
        <v>31.603000000000002</v>
      </c>
      <c r="S710" s="282">
        <f t="shared" si="1353"/>
        <v>29.906000000000002</v>
      </c>
      <c r="T710" s="282">
        <f t="shared" si="1353"/>
        <v>30.664999999999999</v>
      </c>
      <c r="U710" s="282">
        <f t="shared" si="1353"/>
        <v>34.628</v>
      </c>
      <c r="V710" s="282">
        <f t="shared" si="1353"/>
        <v>36.493683109777905</v>
      </c>
      <c r="W710" s="282">
        <f t="shared" si="1353"/>
        <v>34.426402000533365</v>
      </c>
      <c r="X710" s="282">
        <f t="shared" si="1353"/>
        <v>35.45191488968873</v>
      </c>
      <c r="Y710" s="283"/>
      <c r="Z710" s="282">
        <f t="shared" ref="Z710:AH710" si="1354">Z227+Z315+Z403+Z539+Z627</f>
        <v>92.276999999999987</v>
      </c>
      <c r="AA710" s="282">
        <f t="shared" si="1354"/>
        <v>101.864</v>
      </c>
      <c r="AB710" s="282">
        <f t="shared" si="1354"/>
        <v>103.09599999999999</v>
      </c>
      <c r="AC710" s="282">
        <f t="shared" si="1354"/>
        <v>91.436000000000007</v>
      </c>
      <c r="AD710" s="282">
        <f t="shared" si="1354"/>
        <v>83.685999999999993</v>
      </c>
      <c r="AE710" s="282">
        <f t="shared" si="1354"/>
        <v>119.694</v>
      </c>
      <c r="AF710" s="282">
        <f t="shared" si="1354"/>
        <v>141</v>
      </c>
      <c r="AG710" s="282">
        <f t="shared" si="1354"/>
        <v>145.69999999999999</v>
      </c>
      <c r="AH710" s="282">
        <f t="shared" si="1354"/>
        <v>149.80000000000001</v>
      </c>
    </row>
    <row r="711" spans="1:34">
      <c r="C711" s="281" t="s">
        <v>441</v>
      </c>
      <c r="E711" s="282">
        <f t="shared" ref="E711:X711" si="1355">E228+E316+E404+E540+E628</f>
        <v>8.9740000000000002</v>
      </c>
      <c r="F711" s="282">
        <f t="shared" si="1355"/>
        <v>9.0220000000000002</v>
      </c>
      <c r="G711" s="282">
        <f t="shared" si="1355"/>
        <v>6.0410000000000004</v>
      </c>
      <c r="H711" s="282">
        <f t="shared" si="1355"/>
        <v>6.4749999999999996</v>
      </c>
      <c r="I711" s="282">
        <f t="shared" si="1355"/>
        <v>6.9169999999999998</v>
      </c>
      <c r="J711" s="282">
        <f t="shared" si="1355"/>
        <v>6.1980000000000004</v>
      </c>
      <c r="K711" s="282">
        <f t="shared" si="1355"/>
        <v>7.649</v>
      </c>
      <c r="L711" s="282">
        <f t="shared" si="1355"/>
        <v>7.8250000000000002</v>
      </c>
      <c r="M711" s="282">
        <f t="shared" si="1355"/>
        <v>6.9260000000000002</v>
      </c>
      <c r="N711" s="282">
        <f t="shared" si="1355"/>
        <v>7.133</v>
      </c>
      <c r="O711" s="282">
        <f t="shared" si="1355"/>
        <v>8.1489999999999991</v>
      </c>
      <c r="P711" s="282">
        <f t="shared" si="1355"/>
        <v>14.405999999999999</v>
      </c>
      <c r="Q711" s="282">
        <f t="shared" si="1355"/>
        <v>16.795000000000002</v>
      </c>
      <c r="R711" s="282">
        <f t="shared" si="1355"/>
        <v>19.404</v>
      </c>
      <c r="S711" s="282">
        <f t="shared" si="1355"/>
        <v>17.827999999999999</v>
      </c>
      <c r="T711" s="282">
        <f t="shared" si="1355"/>
        <v>19.861000000000001</v>
      </c>
      <c r="U711" s="282">
        <f t="shared" si="1355"/>
        <v>19.802</v>
      </c>
      <c r="V711" s="282">
        <f t="shared" si="1355"/>
        <v>22.930749167971165</v>
      </c>
      <c r="W711" s="282">
        <f t="shared" si="1355"/>
        <v>21.200557134798572</v>
      </c>
      <c r="X711" s="282">
        <f t="shared" si="1355"/>
        <v>24.042693697230259</v>
      </c>
      <c r="Y711" s="283"/>
      <c r="Z711" s="282">
        <f t="shared" ref="Z711:AH711" si="1356">Z228+Z316+Z404+Z540+Z628</f>
        <v>62.988999999999997</v>
      </c>
      <c r="AA711" s="282">
        <f t="shared" si="1356"/>
        <v>39.084000000000003</v>
      </c>
      <c r="AB711" s="282">
        <f t="shared" si="1356"/>
        <v>30.512</v>
      </c>
      <c r="AC711" s="282">
        <f t="shared" si="1356"/>
        <v>28.588999999999999</v>
      </c>
      <c r="AD711" s="282">
        <f t="shared" si="1356"/>
        <v>36.613999999999997</v>
      </c>
      <c r="AE711" s="282">
        <f t="shared" si="1356"/>
        <v>73.888000000000005</v>
      </c>
      <c r="AF711" s="282">
        <f t="shared" si="1356"/>
        <v>87.975999999999999</v>
      </c>
      <c r="AG711" s="282">
        <f t="shared" si="1356"/>
        <v>92.676000000000002</v>
      </c>
      <c r="AH711" s="282">
        <f t="shared" si="1356"/>
        <v>96.77600000000001</v>
      </c>
    </row>
    <row r="712" spans="1:34">
      <c r="C712" s="320" t="s">
        <v>466</v>
      </c>
      <c r="E712" s="382">
        <f>SUM(E708:E711)</f>
        <v>62.554000000000002</v>
      </c>
      <c r="F712" s="382">
        <f t="shared" ref="F712:T712" si="1357">SUM(F708:F711)</f>
        <v>57.488</v>
      </c>
      <c r="G712" s="382">
        <f t="shared" si="1357"/>
        <v>44.768000000000001</v>
      </c>
      <c r="H712" s="382">
        <f t="shared" si="1357"/>
        <v>48.323</v>
      </c>
      <c r="I712" s="382">
        <f t="shared" si="1357"/>
        <v>52.505000000000003</v>
      </c>
      <c r="J712" s="382">
        <f t="shared" si="1357"/>
        <v>49.243999999999993</v>
      </c>
      <c r="K712" s="382">
        <f t="shared" si="1357"/>
        <v>55.430000000000007</v>
      </c>
      <c r="L712" s="382">
        <f t="shared" si="1357"/>
        <v>57.627000000000002</v>
      </c>
      <c r="M712" s="382">
        <f t="shared" si="1357"/>
        <v>45.030999999999999</v>
      </c>
      <c r="N712" s="382">
        <f t="shared" si="1357"/>
        <v>49.134</v>
      </c>
      <c r="O712" s="382">
        <f t="shared" si="1357"/>
        <v>56.926000000000002</v>
      </c>
      <c r="P712" s="382">
        <f t="shared" si="1357"/>
        <v>57.544000000000004</v>
      </c>
      <c r="Q712" s="382">
        <f t="shared" si="1357"/>
        <v>65.588999999999999</v>
      </c>
      <c r="R712" s="382">
        <f t="shared" si="1357"/>
        <v>72.757000000000005</v>
      </c>
      <c r="S712" s="382">
        <f t="shared" si="1357"/>
        <v>62.77300000000001</v>
      </c>
      <c r="T712" s="382">
        <f t="shared" si="1357"/>
        <v>66.442000000000007</v>
      </c>
      <c r="U712" s="382">
        <f t="shared" ref="U712:X712" si="1358">SUM(U708:U711)</f>
        <v>73.179000000000002</v>
      </c>
      <c r="V712" s="382">
        <f t="shared" si="1358"/>
        <v>78.671528910968561</v>
      </c>
      <c r="W712" s="382">
        <f t="shared" si="1358"/>
        <v>69.641938504946111</v>
      </c>
      <c r="X712" s="382">
        <f t="shared" si="1358"/>
        <v>74.313532584085337</v>
      </c>
      <c r="Y712" s="283"/>
      <c r="Z712" s="382">
        <f>SUM(Z708:Z711)</f>
        <v>255.74299999999999</v>
      </c>
      <c r="AA712" s="382">
        <f t="shared" ref="AA712:AG712" si="1359">SUM(AA708:AA711)</f>
        <v>228.88100000000003</v>
      </c>
      <c r="AB712" s="382">
        <f t="shared" si="1359"/>
        <v>213.13299999999998</v>
      </c>
      <c r="AC712" s="382">
        <f t="shared" si="1359"/>
        <v>214.80600000000001</v>
      </c>
      <c r="AD712" s="382">
        <f t="shared" si="1359"/>
        <v>208.63499999999999</v>
      </c>
      <c r="AE712" s="382">
        <f t="shared" si="1359"/>
        <v>267.56100000000004</v>
      </c>
      <c r="AF712" s="382">
        <f t="shared" si="1359"/>
        <v>295.80599999999998</v>
      </c>
      <c r="AG712" s="382">
        <f t="shared" si="1359"/>
        <v>308.70599999999996</v>
      </c>
      <c r="AH712" s="382">
        <f t="shared" ref="AH712" si="1360">SUM(AH708:AH711)</f>
        <v>319.50600000000003</v>
      </c>
    </row>
    <row r="713" spans="1:34">
      <c r="E713" s="282"/>
      <c r="F713" s="282"/>
      <c r="G713" s="282"/>
      <c r="H713" s="282"/>
      <c r="I713" s="282"/>
      <c r="J713" s="282"/>
      <c r="K713" s="282"/>
      <c r="L713" s="282"/>
      <c r="M713" s="282"/>
      <c r="N713" s="282"/>
      <c r="O713" s="282"/>
      <c r="P713" s="282"/>
      <c r="Q713" s="422"/>
      <c r="R713" s="422"/>
      <c r="S713" s="422"/>
      <c r="T713" s="422"/>
      <c r="U713" s="422"/>
      <c r="V713" s="422"/>
      <c r="W713" s="422"/>
      <c r="X713" s="422"/>
      <c r="Y713" s="283"/>
      <c r="Z713" s="282"/>
      <c r="AA713" s="282"/>
      <c r="AB713" s="282"/>
      <c r="AC713" s="282"/>
      <c r="AD713" s="282"/>
      <c r="AE713" s="282"/>
      <c r="AF713" s="282"/>
      <c r="AG713" s="282"/>
      <c r="AH713" s="282"/>
    </row>
    <row r="714" spans="1:34" s="315" customFormat="1">
      <c r="A714" s="283"/>
      <c r="B714" s="472"/>
      <c r="C714" s="472" t="s">
        <v>433</v>
      </c>
      <c r="D714" s="494"/>
      <c r="E714" s="461">
        <f>E699-E712</f>
        <v>25.105999999999995</v>
      </c>
      <c r="F714" s="461">
        <f t="shared" ref="F714:T714" si="1361">F699-F712</f>
        <v>31.650999999999996</v>
      </c>
      <c r="G714" s="461">
        <f t="shared" si="1361"/>
        <v>56.305000000000007</v>
      </c>
      <c r="H714" s="461">
        <f t="shared" si="1361"/>
        <v>68.031999999999982</v>
      </c>
      <c r="I714" s="461">
        <f t="shared" si="1361"/>
        <v>59.901000000000003</v>
      </c>
      <c r="J714" s="461">
        <f t="shared" si="1361"/>
        <v>60.512999999999984</v>
      </c>
      <c r="K714" s="461">
        <f t="shared" si="1361"/>
        <v>60.818999999999974</v>
      </c>
      <c r="L714" s="461">
        <f t="shared" si="1361"/>
        <v>67.029000000000025</v>
      </c>
      <c r="M714" s="461">
        <f t="shared" si="1361"/>
        <v>64.234999999999985</v>
      </c>
      <c r="N714" s="461">
        <f t="shared" si="1361"/>
        <v>51.730999999999995</v>
      </c>
      <c r="O714" s="461">
        <f t="shared" si="1361"/>
        <v>46.826999999999998</v>
      </c>
      <c r="P714" s="461">
        <f t="shared" si="1361"/>
        <v>61.01999999999996</v>
      </c>
      <c r="Q714" s="461">
        <f t="shared" si="1361"/>
        <v>45.603000000000023</v>
      </c>
      <c r="R714" s="461">
        <f t="shared" si="1361"/>
        <v>58.649000000000001</v>
      </c>
      <c r="S714" s="461">
        <f t="shared" si="1361"/>
        <v>44.426000000000002</v>
      </c>
      <c r="T714" s="461">
        <f t="shared" si="1361"/>
        <v>48.60899999999998</v>
      </c>
      <c r="U714" s="461">
        <f t="shared" ref="U714:X714" si="1362">U699-U712</f>
        <v>49.472999999999999</v>
      </c>
      <c r="V714" s="461">
        <f t="shared" si="1362"/>
        <v>36.099105704700079</v>
      </c>
      <c r="W714" s="461">
        <f t="shared" si="1362"/>
        <v>38.949345808592795</v>
      </c>
      <c r="X714" s="461">
        <f t="shared" si="1362"/>
        <v>41.57254848670712</v>
      </c>
      <c r="Y714" s="283"/>
      <c r="Z714" s="461">
        <f t="shared" ref="Z714:AE714" si="1363">Z699-Z712</f>
        <v>164.63500000000005</v>
      </c>
      <c r="AA714" s="461">
        <f t="shared" si="1363"/>
        <v>128.23899999999992</v>
      </c>
      <c r="AB714" s="461">
        <f t="shared" si="1363"/>
        <v>181.09400000000005</v>
      </c>
      <c r="AC714" s="461">
        <f t="shared" si="1363"/>
        <v>248.26200000000003</v>
      </c>
      <c r="AD714" s="461">
        <f t="shared" si="1363"/>
        <v>223.81299999999987</v>
      </c>
      <c r="AE714" s="461">
        <f t="shared" si="1363"/>
        <v>197.28700000000003</v>
      </c>
      <c r="AF714" s="461">
        <f>AF699-AF712</f>
        <v>166.09400000000005</v>
      </c>
      <c r="AG714" s="461">
        <f>AG699-AG712</f>
        <v>175.69400000000002</v>
      </c>
      <c r="AH714" s="461">
        <f>AH699-AH712</f>
        <v>198.89399999999995</v>
      </c>
    </row>
    <row r="715" spans="1:34" s="315" customFormat="1">
      <c r="A715" s="283" t="s">
        <v>137</v>
      </c>
      <c r="B715" s="473"/>
      <c r="C715" s="473" t="s">
        <v>434</v>
      </c>
      <c r="D715" s="495"/>
      <c r="E715" s="469">
        <f>E705-E712</f>
        <v>57.340999999999994</v>
      </c>
      <c r="F715" s="469">
        <f t="shared" ref="F715:T715" si="1364">F705-F712</f>
        <v>73.596000000000004</v>
      </c>
      <c r="G715" s="469">
        <f t="shared" si="1364"/>
        <v>103.65</v>
      </c>
      <c r="H715" s="469">
        <f t="shared" si="1364"/>
        <v>122.16499999999999</v>
      </c>
      <c r="I715" s="469">
        <f t="shared" si="1364"/>
        <v>99.208000000000027</v>
      </c>
      <c r="J715" s="469">
        <f t="shared" si="1364"/>
        <v>106.46399999999997</v>
      </c>
      <c r="K715" s="469">
        <f t="shared" si="1364"/>
        <v>98.919999999999959</v>
      </c>
      <c r="L715" s="469">
        <f t="shared" si="1364"/>
        <v>101.46700000000001</v>
      </c>
      <c r="M715" s="469">
        <f t="shared" si="1364"/>
        <v>91.293999999999983</v>
      </c>
      <c r="N715" s="469">
        <f t="shared" si="1364"/>
        <v>70.36699999999999</v>
      </c>
      <c r="O715" s="469">
        <f t="shared" si="1364"/>
        <v>79.481000000000009</v>
      </c>
      <c r="P715" s="469">
        <f t="shared" si="1364"/>
        <v>99.349999999999966</v>
      </c>
      <c r="Q715" s="469">
        <f t="shared" si="1364"/>
        <v>74.615000000000009</v>
      </c>
      <c r="R715" s="469">
        <f t="shared" si="1364"/>
        <v>91.841000000000008</v>
      </c>
      <c r="S715" s="469">
        <f t="shared" si="1364"/>
        <v>81.305999999999997</v>
      </c>
      <c r="T715" s="469">
        <f t="shared" si="1364"/>
        <v>88.661999999999978</v>
      </c>
      <c r="U715" s="469">
        <f t="shared" ref="U715:X715" si="1365">U705-U712</f>
        <v>80.038000000000011</v>
      </c>
      <c r="V715" s="469">
        <f t="shared" si="1365"/>
        <v>78.891138995029536</v>
      </c>
      <c r="W715" s="469">
        <f t="shared" si="1365"/>
        <v>84.45130434067066</v>
      </c>
      <c r="X715" s="469">
        <f t="shared" si="1365"/>
        <v>79.013556664299799</v>
      </c>
      <c r="Y715" s="283"/>
      <c r="Z715" s="469">
        <f t="shared" ref="Z715:AE715" si="1366">Z705-Z712</f>
        <v>381.85399999999998</v>
      </c>
      <c r="AA715" s="469">
        <f t="shared" si="1366"/>
        <v>281.77699999999993</v>
      </c>
      <c r="AB715" s="469">
        <f t="shared" si="1366"/>
        <v>356.75200000000001</v>
      </c>
      <c r="AC715" s="469">
        <f t="shared" si="1366"/>
        <v>406.05899999999997</v>
      </c>
      <c r="AD715" s="469">
        <f t="shared" si="1366"/>
        <v>340.49199999999985</v>
      </c>
      <c r="AE715" s="469">
        <f t="shared" si="1366"/>
        <v>336.42400000000009</v>
      </c>
      <c r="AF715" s="469">
        <f>AF705-AF712</f>
        <v>322.39400000000006</v>
      </c>
      <c r="AG715" s="469">
        <f>AG705-AG712</f>
        <v>331.99400000000009</v>
      </c>
      <c r="AH715" s="469">
        <f>AH705-AH712</f>
        <v>355.19400000000002</v>
      </c>
    </row>
    <row r="716" spans="1:34">
      <c r="AD716" s="305" t="s">
        <v>447</v>
      </c>
    </row>
  </sheetData>
  <pageMargins left="0.7" right="0.7" top="0.75" bottom="0.75" header="0.3" footer="0.3"/>
  <pageSetup orientation="portrait" horizontalDpi="300" verticalDpi="300" r:id="rId1"/>
  <ignoredErrors>
    <ignoredError sqref="AG164 AD323:AD328 Q73:Q74 Z73:AE73 AG74 Z89:AE89 Z74:AE74 Z16:Z17 AG16:AG18 R202:T202 R201:S201 AG73 AG163 V16:X16 V301:X301 V426:X426" 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D574-B3A6-4253-B35D-AB222FA41759}">
  <sheetPr codeName="Sheet9">
    <pageSetUpPr fitToPage="1"/>
  </sheetPr>
  <dimension ref="A1:AI245"/>
  <sheetViews>
    <sheetView showGridLines="0" zoomScaleNormal="100" workbookViewId="0"/>
  </sheetViews>
  <sheetFormatPr defaultColWidth="9.19921875" defaultRowHeight="10.5" outlineLevelRow="1"/>
  <cols>
    <col min="1" max="2" width="1.73046875" style="281" customWidth="1"/>
    <col min="3" max="3" width="17" style="281" bestFit="1" customWidth="1"/>
    <col min="4" max="7" width="9.19921875" style="283" customWidth="1"/>
    <col min="8" max="21" width="9.19921875" style="281" customWidth="1"/>
    <col min="22" max="23" width="9.19921875" style="281"/>
    <col min="24" max="24" width="1.73046875" style="281" customWidth="1"/>
    <col min="25" max="31" width="9.19921875" style="281"/>
    <col min="32" max="35" width="0" style="281" hidden="1" customWidth="1"/>
    <col min="36" max="16384" width="9.19921875" style="281"/>
  </cols>
  <sheetData>
    <row r="1" spans="1:21" s="327" customFormat="1">
      <c r="A1" s="194" t="str">
        <f ca="1">+'One Pager - 1'!$D$2</f>
        <v>Hecla Mining Co</v>
      </c>
      <c r="D1" s="597"/>
      <c r="E1" s="336" t="s">
        <v>282</v>
      </c>
      <c r="F1" s="597"/>
      <c r="G1" s="597"/>
      <c r="H1" s="336" t="s">
        <v>283</v>
      </c>
      <c r="J1" s="336"/>
      <c r="K1" s="336"/>
      <c r="L1" s="336" t="s">
        <v>305</v>
      </c>
      <c r="M1" s="336"/>
    </row>
    <row r="2" spans="1:21">
      <c r="A2" s="306" t="str">
        <f>+Financials!$A$2</f>
        <v>(All Values in US$ millions)</v>
      </c>
      <c r="E2" s="336" t="s">
        <v>641</v>
      </c>
      <c r="H2" s="336" t="s">
        <v>284</v>
      </c>
      <c r="L2" s="336" t="s">
        <v>304</v>
      </c>
      <c r="P2" s="336" t="s">
        <v>309</v>
      </c>
    </row>
    <row r="3" spans="1:21">
      <c r="D3" s="283" t="s">
        <v>285</v>
      </c>
      <c r="E3" s="598" cm="1">
        <f t="array" aca="1" ref="E3" ca="1">IF(ISERROR(_xll.BDP("DISH US EQUITY","px_last")),0,1)</f>
        <v>0</v>
      </c>
      <c r="G3" s="281" t="s">
        <v>286</v>
      </c>
      <c r="H3" s="374" t="s">
        <v>617</v>
      </c>
      <c r="J3" s="281" t="s">
        <v>287</v>
      </c>
      <c r="K3" s="375">
        <v>0.05</v>
      </c>
    </row>
    <row r="7" spans="1:21" s="283" customFormat="1">
      <c r="B7" s="424" t="s">
        <v>137</v>
      </c>
      <c r="C7" s="287" t="s">
        <v>476</v>
      </c>
      <c r="D7" s="286"/>
      <c r="E7" s="286"/>
      <c r="F7" s="286"/>
      <c r="G7" s="286"/>
      <c r="H7" s="286"/>
      <c r="I7" s="286"/>
      <c r="J7" s="286"/>
      <c r="K7" s="286"/>
      <c r="L7" s="286"/>
      <c r="M7" s="286"/>
      <c r="N7" s="286"/>
      <c r="O7" s="286"/>
      <c r="P7" s="286"/>
      <c r="Q7" s="286"/>
      <c r="R7" s="286"/>
      <c r="S7" s="286"/>
      <c r="T7" s="286"/>
      <c r="U7" s="286"/>
    </row>
    <row r="8" spans="1:21">
      <c r="B8" s="293"/>
    </row>
    <row r="9" spans="1:21">
      <c r="B9" s="342" t="s">
        <v>137</v>
      </c>
      <c r="C9" s="342" t="s">
        <v>280</v>
      </c>
      <c r="D9" s="845">
        <v>2022</v>
      </c>
      <c r="E9" s="847"/>
      <c r="F9" s="847"/>
      <c r="G9" s="846"/>
      <c r="H9" s="845" t="s">
        <v>477</v>
      </c>
      <c r="I9" s="846"/>
      <c r="J9" s="845">
        <v>2023</v>
      </c>
      <c r="K9" s="847"/>
      <c r="L9" s="847"/>
      <c r="M9" s="846"/>
      <c r="N9" s="845" t="s">
        <v>477</v>
      </c>
      <c r="O9" s="846"/>
      <c r="P9" s="845">
        <v>2024</v>
      </c>
      <c r="Q9" s="847"/>
      <c r="R9" s="847"/>
      <c r="S9" s="846"/>
      <c r="T9" s="845" t="s">
        <v>477</v>
      </c>
      <c r="U9" s="846"/>
    </row>
    <row r="10" spans="1:21">
      <c r="B10" s="290"/>
      <c r="C10" s="290"/>
      <c r="D10" s="599" t="s">
        <v>478</v>
      </c>
      <c r="E10" s="599" t="s">
        <v>479</v>
      </c>
      <c r="F10" s="599" t="s">
        <v>480</v>
      </c>
      <c r="G10" s="599" t="s">
        <v>291</v>
      </c>
      <c r="H10" s="337" t="s">
        <v>292</v>
      </c>
      <c r="I10" s="338" t="s">
        <v>293</v>
      </c>
      <c r="J10" s="337" t="s">
        <v>478</v>
      </c>
      <c r="K10" s="337" t="s">
        <v>479</v>
      </c>
      <c r="L10" s="337" t="s">
        <v>480</v>
      </c>
      <c r="M10" s="337" t="s">
        <v>291</v>
      </c>
      <c r="N10" s="337" t="s">
        <v>292</v>
      </c>
      <c r="O10" s="338" t="s">
        <v>293</v>
      </c>
      <c r="P10" s="337" t="s">
        <v>478</v>
      </c>
      <c r="Q10" s="337" t="s">
        <v>479</v>
      </c>
      <c r="R10" s="337" t="s">
        <v>480</v>
      </c>
      <c r="S10" s="337" t="s">
        <v>291</v>
      </c>
      <c r="T10" s="337" t="s">
        <v>292</v>
      </c>
      <c r="U10" s="338" t="s">
        <v>293</v>
      </c>
    </row>
    <row r="12" spans="1:21">
      <c r="C12" s="402" t="s">
        <v>497</v>
      </c>
      <c r="D12" s="283">
        <f>SUM(D13:D16)</f>
        <v>12.899999999999999</v>
      </c>
      <c r="E12" s="283">
        <f>SUM(E13:E16)</f>
        <v>13.5</v>
      </c>
      <c r="F12" s="283">
        <f>AVERAGE(D12:E12)</f>
        <v>13.2</v>
      </c>
      <c r="G12" s="317">
        <f>Segment!$AF$431/1000</f>
        <v>13.207068</v>
      </c>
      <c r="H12" s="282">
        <f>G12-F12</f>
        <v>7.0680000000002963E-3</v>
      </c>
      <c r="I12" s="285">
        <f t="shared" ref="I12:I14" si="0">H12/F12</f>
        <v>5.3545454545456789E-4</v>
      </c>
      <c r="J12" s="305">
        <v>13.5</v>
      </c>
      <c r="K12" s="305">
        <v>14.5</v>
      </c>
      <c r="L12" s="283">
        <f>AVERAGE(J12:K12)</f>
        <v>14</v>
      </c>
      <c r="M12" s="317">
        <f>Segment!$AG$127/1000</f>
        <v>14</v>
      </c>
      <c r="N12" s="282">
        <f>M12-L12</f>
        <v>0</v>
      </c>
      <c r="O12" s="285">
        <f>N12/L12</f>
        <v>0</v>
      </c>
      <c r="P12" s="305">
        <v>14.5</v>
      </c>
      <c r="Q12" s="305">
        <v>15.1</v>
      </c>
      <c r="R12" s="283">
        <f>AVERAGE(P12:Q12)</f>
        <v>14.8</v>
      </c>
      <c r="S12" s="317">
        <f>Segment!AH127/1000</f>
        <v>14.8</v>
      </c>
      <c r="T12" s="282">
        <f>S12-R12</f>
        <v>0</v>
      </c>
      <c r="U12" s="285">
        <f>T12/R12</f>
        <v>0</v>
      </c>
    </row>
    <row r="13" spans="1:21">
      <c r="C13" s="393" t="s">
        <v>481</v>
      </c>
      <c r="D13" s="305">
        <v>8.6</v>
      </c>
      <c r="E13" s="305">
        <v>8.9</v>
      </c>
      <c r="F13" s="283">
        <f>AVERAGE(D13:E13)</f>
        <v>8.75</v>
      </c>
      <c r="G13" s="317">
        <f>Segment!AF174/1000</f>
        <v>8.75</v>
      </c>
      <c r="H13" s="282">
        <f>G13-F13</f>
        <v>0</v>
      </c>
      <c r="I13" s="285">
        <f t="shared" si="0"/>
        <v>0</v>
      </c>
      <c r="J13" s="305"/>
      <c r="K13" s="305"/>
      <c r="P13" s="305"/>
      <c r="Q13" s="305"/>
    </row>
    <row r="14" spans="1:21">
      <c r="C14" s="393" t="s">
        <v>482</v>
      </c>
      <c r="D14" s="305">
        <v>4.3</v>
      </c>
      <c r="E14" s="305">
        <v>4.5999999999999996</v>
      </c>
      <c r="F14" s="283">
        <f>AVERAGE(D14:E14)</f>
        <v>4.4499999999999993</v>
      </c>
      <c r="G14" s="317">
        <f>Segment!$AF$262/1000</f>
        <v>4.45</v>
      </c>
      <c r="H14" s="282">
        <f>G14-F14</f>
        <v>0</v>
      </c>
      <c r="I14" s="285">
        <f t="shared" si="0"/>
        <v>0</v>
      </c>
      <c r="J14" s="305"/>
      <c r="K14" s="305"/>
      <c r="P14" s="305"/>
      <c r="Q14" s="305"/>
    </row>
    <row r="15" spans="1:21">
      <c r="C15" s="393" t="s">
        <v>484</v>
      </c>
      <c r="D15" s="305">
        <v>0</v>
      </c>
      <c r="E15" s="305">
        <v>0</v>
      </c>
      <c r="F15" s="283">
        <f>AVERAGE(D15:E15)</f>
        <v>0</v>
      </c>
      <c r="G15" s="283">
        <v>0</v>
      </c>
      <c r="H15" s="282">
        <f>G15-F15</f>
        <v>0</v>
      </c>
      <c r="I15" s="285"/>
      <c r="J15" s="305"/>
      <c r="K15" s="305"/>
      <c r="P15" s="305"/>
      <c r="Q15" s="305"/>
    </row>
    <row r="16" spans="1:21">
      <c r="C16" s="393" t="s">
        <v>485</v>
      </c>
      <c r="D16" s="305">
        <v>0</v>
      </c>
      <c r="E16" s="305">
        <v>0</v>
      </c>
      <c r="F16" s="283">
        <f>AVERAGE(D16:E16)</f>
        <v>0</v>
      </c>
      <c r="G16" s="283">
        <v>0</v>
      </c>
      <c r="H16" s="282">
        <f>G16-F16</f>
        <v>0</v>
      </c>
      <c r="I16" s="285"/>
      <c r="J16" s="305"/>
      <c r="K16" s="305"/>
      <c r="P16" s="305"/>
      <c r="Q16" s="305"/>
    </row>
    <row r="17" spans="3:27">
      <c r="J17" s="305"/>
      <c r="K17" s="305"/>
      <c r="P17" s="305"/>
      <c r="Q17" s="305"/>
    </row>
    <row r="18" spans="3:27">
      <c r="C18" s="402" t="s">
        <v>498</v>
      </c>
      <c r="D18" s="283">
        <f>SUM(D19:D22)</f>
        <v>165</v>
      </c>
      <c r="E18" s="283">
        <f>SUM(E19:E22)</f>
        <v>175</v>
      </c>
      <c r="F18" s="283">
        <f>AVERAGE(D18:E18)</f>
        <v>170</v>
      </c>
      <c r="G18" s="317">
        <f>Segment!AF649</f>
        <v>170</v>
      </c>
      <c r="H18" s="282">
        <f>G18-F18</f>
        <v>0</v>
      </c>
      <c r="I18" s="285">
        <f t="shared" ref="I18:I19" si="1">H18/F18</f>
        <v>0</v>
      </c>
      <c r="J18" s="305">
        <v>175</v>
      </c>
      <c r="K18" s="305">
        <v>185</v>
      </c>
      <c r="L18" s="283">
        <f>AVERAGE(J18:K18)</f>
        <v>180</v>
      </c>
      <c r="M18" s="317">
        <f>Segment!$AG$128</f>
        <v>180</v>
      </c>
      <c r="N18" s="282">
        <f>M18-L18</f>
        <v>0</v>
      </c>
      <c r="O18" s="285">
        <f>N18/L18</f>
        <v>0</v>
      </c>
      <c r="P18" s="305">
        <v>185</v>
      </c>
      <c r="Q18" s="305">
        <v>195</v>
      </c>
      <c r="R18" s="283">
        <f>AVERAGE(P18:Q18)</f>
        <v>190</v>
      </c>
      <c r="S18" s="317">
        <f>Segment!$AH$128</f>
        <v>190</v>
      </c>
      <c r="T18" s="282">
        <f>S18-R18</f>
        <v>0</v>
      </c>
      <c r="U18" s="285">
        <f>T18/R18</f>
        <v>0</v>
      </c>
    </row>
    <row r="19" spans="3:27">
      <c r="C19" s="393" t="s">
        <v>481</v>
      </c>
      <c r="D19" s="305">
        <v>40</v>
      </c>
      <c r="E19" s="305">
        <v>43</v>
      </c>
      <c r="F19" s="283">
        <f>AVERAGE(D19:E19)</f>
        <v>41.5</v>
      </c>
      <c r="G19" s="317">
        <f>Segment!AF175</f>
        <v>41.5</v>
      </c>
      <c r="H19" s="282">
        <f>G19-F19</f>
        <v>0</v>
      </c>
      <c r="I19" s="285">
        <f t="shared" si="1"/>
        <v>0</v>
      </c>
      <c r="J19" s="305"/>
      <c r="K19" s="305"/>
      <c r="P19" s="305"/>
      <c r="Q19" s="305"/>
    </row>
    <row r="20" spans="3:27">
      <c r="C20" s="393" t="s">
        <v>482</v>
      </c>
      <c r="D20" s="305">
        <v>0</v>
      </c>
      <c r="E20" s="305">
        <v>0</v>
      </c>
      <c r="F20" s="283">
        <f>AVERAGE(D20:E20)</f>
        <v>0</v>
      </c>
      <c r="G20" s="317"/>
      <c r="H20" s="282">
        <f>G20-F20</f>
        <v>0</v>
      </c>
      <c r="I20" s="285"/>
      <c r="J20" s="305"/>
      <c r="K20" s="305"/>
      <c r="P20" s="305"/>
      <c r="Q20" s="305"/>
    </row>
    <row r="21" spans="3:27">
      <c r="C21" s="393" t="s">
        <v>484</v>
      </c>
      <c r="D21" s="305">
        <v>125</v>
      </c>
      <c r="E21" s="305">
        <v>132</v>
      </c>
      <c r="F21" s="283">
        <f>AVERAGE(D21:E21)</f>
        <v>128.5</v>
      </c>
      <c r="G21" s="317">
        <f>Segment!AF487</f>
        <v>128.5</v>
      </c>
      <c r="H21" s="282">
        <f>G21-F21</f>
        <v>0</v>
      </c>
      <c r="I21" s="285">
        <f>H21/F21</f>
        <v>0</v>
      </c>
      <c r="J21" s="305"/>
      <c r="K21" s="305"/>
      <c r="P21" s="305"/>
      <c r="Q21" s="305"/>
    </row>
    <row r="22" spans="3:27">
      <c r="C22" s="393" t="s">
        <v>485</v>
      </c>
      <c r="D22" s="305">
        <v>0</v>
      </c>
      <c r="E22" s="305">
        <v>0</v>
      </c>
      <c r="F22" s="283">
        <f>AVERAGE(D22:E22)</f>
        <v>0</v>
      </c>
      <c r="G22" s="317">
        <f>Segment!AF575</f>
        <v>0</v>
      </c>
      <c r="H22" s="282">
        <f>G22-F22</f>
        <v>0</v>
      </c>
      <c r="I22" s="285"/>
      <c r="J22" s="305"/>
      <c r="K22" s="305"/>
      <c r="P22" s="305"/>
      <c r="Q22" s="305"/>
    </row>
    <row r="23" spans="3:27">
      <c r="C23" s="425"/>
      <c r="J23" s="305"/>
      <c r="K23" s="305"/>
      <c r="P23" s="305"/>
      <c r="Q23" s="305"/>
    </row>
    <row r="24" spans="3:27">
      <c r="C24" s="307" t="s">
        <v>487</v>
      </c>
    </row>
    <row r="25" spans="3:27" ht="2.2000000000000002" customHeight="1">
      <c r="C25" s="307"/>
    </row>
    <row r="26" spans="3:27">
      <c r="C26" s="281" t="s">
        <v>488</v>
      </c>
      <c r="F26" s="305">
        <v>230</v>
      </c>
      <c r="G26" s="317">
        <f>SUM(Segment!AF199,Segment!AF200)</f>
        <v>230</v>
      </c>
      <c r="H26" s="282">
        <f>G26-F26</f>
        <v>0</v>
      </c>
      <c r="I26" s="285">
        <f t="shared" ref="I26:I28" si="2">H26/F26</f>
        <v>0</v>
      </c>
      <c r="K26" s="426"/>
    </row>
    <row r="27" spans="3:27">
      <c r="C27" s="281" t="s">
        <v>489</v>
      </c>
      <c r="F27" s="305">
        <v>115</v>
      </c>
      <c r="G27" s="317">
        <f>Segment!AF288+Segment!AF287</f>
        <v>115</v>
      </c>
      <c r="H27" s="282">
        <f t="shared" ref="H27:H32" si="3">G27-F27</f>
        <v>0</v>
      </c>
      <c r="I27" s="285">
        <f t="shared" si="2"/>
        <v>0</v>
      </c>
      <c r="K27" s="426"/>
    </row>
    <row r="28" spans="3:27">
      <c r="C28" s="320" t="s">
        <v>483</v>
      </c>
      <c r="F28" s="382">
        <f>SUM(F26:F27)</f>
        <v>345</v>
      </c>
      <c r="G28" s="382">
        <f>SUM(G26:G27)</f>
        <v>345</v>
      </c>
      <c r="H28" s="282">
        <f t="shared" si="3"/>
        <v>0</v>
      </c>
      <c r="I28" s="285">
        <f t="shared" si="2"/>
        <v>0</v>
      </c>
      <c r="K28" s="426"/>
      <c r="M28" s="579"/>
    </row>
    <row r="29" spans="3:27">
      <c r="C29" s="320"/>
      <c r="F29" s="308"/>
      <c r="H29" s="282"/>
      <c r="I29" s="282"/>
      <c r="J29" s="282"/>
      <c r="K29" s="426"/>
      <c r="M29" s="579"/>
    </row>
    <row r="30" spans="3:27">
      <c r="C30" s="281" t="s">
        <v>490</v>
      </c>
      <c r="F30" s="305">
        <v>210</v>
      </c>
      <c r="G30" s="317">
        <f>Segment!AF512+Segment!AF511</f>
        <v>210</v>
      </c>
      <c r="H30" s="282">
        <f t="shared" si="3"/>
        <v>0</v>
      </c>
      <c r="I30" s="285">
        <f>H30/F30</f>
        <v>0</v>
      </c>
      <c r="K30" s="426"/>
      <c r="M30" s="579"/>
    </row>
    <row r="31" spans="3:27">
      <c r="C31" s="281" t="s">
        <v>491</v>
      </c>
      <c r="F31" s="305">
        <v>0</v>
      </c>
      <c r="G31" s="317">
        <f>Segment!AF599</f>
        <v>0</v>
      </c>
      <c r="H31" s="282">
        <f t="shared" si="3"/>
        <v>0</v>
      </c>
      <c r="I31" s="285"/>
      <c r="AA31" s="373"/>
    </row>
    <row r="32" spans="3:27">
      <c r="C32" s="320" t="s">
        <v>486</v>
      </c>
      <c r="F32" s="382">
        <f>SUM(F30:F31)</f>
        <v>210</v>
      </c>
      <c r="G32" s="382">
        <f>SUM(G30:G31)</f>
        <v>210</v>
      </c>
      <c r="H32" s="282">
        <f t="shared" si="3"/>
        <v>0</v>
      </c>
      <c r="I32" s="285">
        <f>H32/F32</f>
        <v>0</v>
      </c>
    </row>
    <row r="34" spans="3:9">
      <c r="C34" s="307" t="s">
        <v>492</v>
      </c>
      <c r="G34" s="399"/>
    </row>
    <row r="35" spans="3:9" ht="2.2000000000000002" customHeight="1">
      <c r="C35" s="307"/>
      <c r="G35" s="314"/>
    </row>
    <row r="36" spans="3:9">
      <c r="C36" s="281" t="s">
        <v>488</v>
      </c>
      <c r="D36" s="398">
        <v>0.75</v>
      </c>
      <c r="E36" s="398">
        <v>2.5</v>
      </c>
      <c r="F36" s="400">
        <f t="shared" ref="F36:F41" si="4">AVERAGE(D36:E36)</f>
        <v>1.625</v>
      </c>
      <c r="G36" s="806">
        <f>Segment!AF237</f>
        <v>0.97245714285714158</v>
      </c>
      <c r="H36" s="282">
        <f t="shared" ref="H36:H41" si="5">G36-F36</f>
        <v>-0.65254285714285842</v>
      </c>
      <c r="I36" s="285">
        <f t="shared" ref="I36:I41" si="6">H36/F36</f>
        <v>-0.40156483516483593</v>
      </c>
    </row>
    <row r="37" spans="3:9">
      <c r="C37" s="281" t="s">
        <v>489</v>
      </c>
      <c r="D37" s="398">
        <v>0.75</v>
      </c>
      <c r="E37" s="398">
        <v>2</v>
      </c>
      <c r="F37" s="400">
        <f t="shared" si="4"/>
        <v>1.375</v>
      </c>
      <c r="G37" s="806">
        <f>Segment!AF325</f>
        <v>0.80112359550561862</v>
      </c>
      <c r="H37" s="282">
        <f t="shared" si="5"/>
        <v>-0.57387640449438138</v>
      </c>
      <c r="I37" s="285">
        <f t="shared" si="6"/>
        <v>-0.41736465781409554</v>
      </c>
    </row>
    <row r="38" spans="3:9">
      <c r="C38" s="320" t="s">
        <v>483</v>
      </c>
      <c r="D38" s="398">
        <v>0.75</v>
      </c>
      <c r="E38" s="398">
        <v>2.5</v>
      </c>
      <c r="F38" s="400">
        <f t="shared" si="4"/>
        <v>1.625</v>
      </c>
      <c r="G38" s="806">
        <f>Segment!AF463</f>
        <v>0.91469696969697267</v>
      </c>
      <c r="H38" s="282">
        <f t="shared" si="5"/>
        <v>-0.71030303030302733</v>
      </c>
      <c r="I38" s="285">
        <f t="shared" si="6"/>
        <v>-0.43710955710955529</v>
      </c>
    </row>
    <row r="39" spans="3:9">
      <c r="C39" s="281" t="s">
        <v>490</v>
      </c>
      <c r="D39" s="398">
        <v>1175</v>
      </c>
      <c r="E39" s="398">
        <v>1325</v>
      </c>
      <c r="F39" s="400">
        <f t="shared" si="4"/>
        <v>1250</v>
      </c>
      <c r="G39" s="806">
        <f>Segment!AF549</f>
        <v>1198.5992217898834</v>
      </c>
      <c r="H39" s="282">
        <f t="shared" si="5"/>
        <v>-51.400778210116641</v>
      </c>
      <c r="I39" s="285">
        <f t="shared" si="6"/>
        <v>-4.1120622568093311E-2</v>
      </c>
    </row>
    <row r="40" spans="3:9">
      <c r="C40" s="281" t="s">
        <v>491</v>
      </c>
      <c r="D40" s="398">
        <v>0</v>
      </c>
      <c r="E40" s="398">
        <v>0</v>
      </c>
      <c r="F40" s="400">
        <f t="shared" si="4"/>
        <v>0</v>
      </c>
      <c r="G40" s="806">
        <f>Segment!AF637</f>
        <v>0</v>
      </c>
      <c r="H40" s="282">
        <f t="shared" si="5"/>
        <v>0</v>
      </c>
      <c r="I40" s="285"/>
    </row>
    <row r="41" spans="3:9">
      <c r="C41" s="320" t="s">
        <v>486</v>
      </c>
      <c r="D41" s="398">
        <v>1175</v>
      </c>
      <c r="E41" s="398">
        <v>1325</v>
      </c>
      <c r="F41" s="400">
        <f t="shared" si="4"/>
        <v>1250</v>
      </c>
      <c r="G41" s="806">
        <f>Segment!AF681</f>
        <v>1198.5992217898834</v>
      </c>
      <c r="H41" s="282">
        <f t="shared" si="5"/>
        <v>-51.400778210116641</v>
      </c>
      <c r="I41" s="285">
        <f t="shared" si="6"/>
        <v>-4.1120622568093311E-2</v>
      </c>
    </row>
    <row r="42" spans="3:9">
      <c r="D42" s="400"/>
      <c r="E42" s="400"/>
      <c r="F42" s="400"/>
      <c r="G42" s="400"/>
    </row>
    <row r="43" spans="3:9">
      <c r="C43" s="307" t="s">
        <v>493</v>
      </c>
      <c r="D43" s="400"/>
      <c r="E43" s="400"/>
      <c r="F43" s="400"/>
      <c r="G43" s="400"/>
    </row>
    <row r="44" spans="3:9" ht="2.2000000000000002" customHeight="1">
      <c r="C44" s="307"/>
      <c r="D44" s="400"/>
      <c r="E44" s="400"/>
      <c r="F44" s="400"/>
      <c r="G44" s="400"/>
    </row>
    <row r="45" spans="3:9">
      <c r="C45" s="281" t="s">
        <v>488</v>
      </c>
      <c r="D45" s="398">
        <v>6.5</v>
      </c>
      <c r="E45" s="398">
        <v>8.5</v>
      </c>
      <c r="F45" s="400">
        <f t="shared" ref="F45:F50" si="7">AVERAGE(D45:E45)</f>
        <v>7.5</v>
      </c>
      <c r="G45" s="806">
        <f>Segment!$AF$241</f>
        <v>6.5153142857142861</v>
      </c>
      <c r="H45" s="282">
        <f t="shared" ref="H45:H50" si="8">G45-F45</f>
        <v>-0.98468571428571394</v>
      </c>
      <c r="I45" s="285">
        <f t="shared" ref="I45:I50" si="9">H45/F45</f>
        <v>-0.13129142857142853</v>
      </c>
    </row>
    <row r="46" spans="3:9">
      <c r="C46" s="281" t="s">
        <v>489</v>
      </c>
      <c r="D46" s="398">
        <v>7.25</v>
      </c>
      <c r="E46" s="398">
        <v>9.25</v>
      </c>
      <c r="F46" s="400">
        <f t="shared" si="7"/>
        <v>8.25</v>
      </c>
      <c r="G46" s="806">
        <f>Segment!$AF$329</f>
        <v>7.5202247191011224</v>
      </c>
      <c r="H46" s="282">
        <f t="shared" si="8"/>
        <v>-0.72977528089887755</v>
      </c>
      <c r="I46" s="285">
        <f t="shared" si="9"/>
        <v>-8.8457609805924556E-2</v>
      </c>
    </row>
    <row r="47" spans="3:9">
      <c r="C47" s="320" t="s">
        <v>483</v>
      </c>
      <c r="D47" s="398">
        <v>9.75</v>
      </c>
      <c r="E47" s="398">
        <v>11.75</v>
      </c>
      <c r="F47" s="400">
        <f t="shared" si="7"/>
        <v>10.75</v>
      </c>
      <c r="G47" s="806">
        <f>Segment!$AF$467</f>
        <v>9.9601515151515123</v>
      </c>
      <c r="H47" s="282">
        <f t="shared" si="8"/>
        <v>-0.78984848484848769</v>
      </c>
      <c r="I47" s="285">
        <f t="shared" si="9"/>
        <v>-7.3474277660324439E-2</v>
      </c>
    </row>
    <row r="48" spans="3:9">
      <c r="C48" s="281" t="s">
        <v>490</v>
      </c>
      <c r="D48" s="398">
        <v>1450</v>
      </c>
      <c r="E48" s="398">
        <v>1600</v>
      </c>
      <c r="F48" s="400">
        <f t="shared" si="7"/>
        <v>1525</v>
      </c>
      <c r="G48" s="806">
        <f>Segment!$AF$553</f>
        <v>1485.7587548638132</v>
      </c>
      <c r="H48" s="282">
        <f t="shared" si="8"/>
        <v>-39.241245136186762</v>
      </c>
      <c r="I48" s="285">
        <f t="shared" si="9"/>
        <v>-2.5731964023729025E-2</v>
      </c>
    </row>
    <row r="49" spans="3:9">
      <c r="C49" s="281" t="s">
        <v>491</v>
      </c>
      <c r="D49" s="398">
        <v>0</v>
      </c>
      <c r="E49" s="398">
        <v>0</v>
      </c>
      <c r="F49" s="400">
        <f t="shared" si="7"/>
        <v>0</v>
      </c>
      <c r="G49" s="806">
        <f>Segment!$AF$641</f>
        <v>0</v>
      </c>
      <c r="H49" s="282">
        <f t="shared" si="8"/>
        <v>0</v>
      </c>
      <c r="I49" s="285"/>
    </row>
    <row r="50" spans="3:9">
      <c r="C50" s="320" t="s">
        <v>486</v>
      </c>
      <c r="D50" s="398">
        <v>1450</v>
      </c>
      <c r="E50" s="398">
        <v>1600</v>
      </c>
      <c r="F50" s="400">
        <f t="shared" si="7"/>
        <v>1525</v>
      </c>
      <c r="G50" s="806">
        <f>Segment!$AF$685</f>
        <v>1485.7587548638132</v>
      </c>
      <c r="H50" s="282">
        <f t="shared" si="8"/>
        <v>-39.241245136186762</v>
      </c>
      <c r="I50" s="285">
        <f t="shared" si="9"/>
        <v>-2.5731964023729025E-2</v>
      </c>
    </row>
    <row r="51" spans="3:9">
      <c r="D51" s="400"/>
      <c r="E51" s="400"/>
      <c r="F51" s="400"/>
      <c r="G51" s="400"/>
    </row>
    <row r="52" spans="3:9">
      <c r="C52" s="281" t="s">
        <v>494</v>
      </c>
      <c r="D52" s="400"/>
      <c r="E52" s="400"/>
      <c r="F52" s="305">
        <v>135</v>
      </c>
      <c r="G52" s="317">
        <f ca="1">-Financials!AF213</f>
        <v>135.1807655143345</v>
      </c>
      <c r="H52" s="282">
        <f ca="1">G52-F52</f>
        <v>0.18076551433449595</v>
      </c>
      <c r="I52" s="285">
        <f t="shared" ref="I52:I54" ca="1" si="10">H52/F52</f>
        <v>1.3390038098851551E-3</v>
      </c>
    </row>
    <row r="53" spans="3:9">
      <c r="C53" s="281" t="s">
        <v>496</v>
      </c>
      <c r="D53" s="400"/>
      <c r="E53" s="400"/>
      <c r="F53" s="305">
        <v>37.5</v>
      </c>
      <c r="G53" s="317">
        <f ca="1">Segment!AF15+Segment!AF16</f>
        <v>37.696015826180648</v>
      </c>
      <c r="H53" s="282">
        <f ca="1">G53-F53</f>
        <v>0.19601582618064839</v>
      </c>
      <c r="I53" s="285">
        <f t="shared" ca="1" si="10"/>
        <v>5.2270886981506236E-3</v>
      </c>
    </row>
    <row r="54" spans="3:9">
      <c r="C54" s="281" t="s">
        <v>495</v>
      </c>
      <c r="D54" s="400"/>
      <c r="E54" s="400"/>
      <c r="F54" s="305">
        <v>7.5</v>
      </c>
      <c r="G54" s="317">
        <f ca="1">Segment!AF17</f>
        <v>7.5655370261088191</v>
      </c>
      <c r="H54" s="282">
        <f ca="1">G54-F54</f>
        <v>6.5537026108819063E-2</v>
      </c>
      <c r="I54" s="285">
        <f t="shared" ca="1" si="10"/>
        <v>8.7382701478425414E-3</v>
      </c>
    </row>
    <row r="219" spans="1:35" s="283" customFormat="1" hidden="1" outlineLevel="1">
      <c r="B219" s="286"/>
      <c r="C219" s="287" t="s">
        <v>288</v>
      </c>
      <c r="D219" s="286"/>
      <c r="E219" s="286"/>
      <c r="F219" s="286"/>
      <c r="G219" s="286"/>
      <c r="H219" s="286"/>
      <c r="I219" s="286"/>
      <c r="J219" s="286"/>
      <c r="K219" s="286"/>
      <c r="L219" s="286"/>
      <c r="M219" s="286"/>
      <c r="N219" s="286"/>
      <c r="O219" s="286"/>
      <c r="AF219" s="286"/>
      <c r="AG219" s="286"/>
      <c r="AH219" s="286"/>
      <c r="AI219" s="286"/>
    </row>
    <row r="220" spans="1:35" hidden="1" outlineLevel="1"/>
    <row r="221" spans="1:35" hidden="1" outlineLevel="1">
      <c r="B221" s="378" t="s">
        <v>137</v>
      </c>
      <c r="C221" s="342" t="s">
        <v>280</v>
      </c>
      <c r="D221" s="845">
        <v>2022</v>
      </c>
      <c r="E221" s="846"/>
      <c r="F221" s="850" t="s">
        <v>289</v>
      </c>
      <c r="G221" s="851"/>
      <c r="H221" s="845">
        <f>+D221+1</f>
        <v>2023</v>
      </c>
      <c r="I221" s="846"/>
      <c r="J221" s="845" t="s">
        <v>289</v>
      </c>
      <c r="K221" s="846"/>
      <c r="L221" s="845">
        <f>+H221+1</f>
        <v>2024</v>
      </c>
      <c r="M221" s="846"/>
      <c r="N221" s="845" t="s">
        <v>289</v>
      </c>
      <c r="O221" s="846"/>
      <c r="AF221" s="845">
        <f>+H221+1</f>
        <v>2024</v>
      </c>
      <c r="AG221" s="846"/>
      <c r="AH221" s="845" t="s">
        <v>289</v>
      </c>
      <c r="AI221" s="847"/>
    </row>
    <row r="222" spans="1:35" hidden="1" outlineLevel="1">
      <c r="B222" s="290"/>
      <c r="C222" s="290"/>
      <c r="D222" s="599" t="s">
        <v>290</v>
      </c>
      <c r="E222" s="599" t="s">
        <v>291</v>
      </c>
      <c r="F222" s="599" t="s">
        <v>292</v>
      </c>
      <c r="G222" s="600" t="s">
        <v>293</v>
      </c>
      <c r="H222" s="337" t="s">
        <v>290</v>
      </c>
      <c r="I222" s="337" t="s">
        <v>291</v>
      </c>
      <c r="J222" s="337" t="s">
        <v>292</v>
      </c>
      <c r="K222" s="338" t="s">
        <v>293</v>
      </c>
      <c r="L222" s="337" t="s">
        <v>290</v>
      </c>
      <c r="M222" s="337" t="s">
        <v>291</v>
      </c>
      <c r="N222" s="337" t="s">
        <v>292</v>
      </c>
      <c r="O222" s="338" t="s">
        <v>293</v>
      </c>
      <c r="AF222" s="337" t="s">
        <v>290</v>
      </c>
      <c r="AG222" s="337" t="s">
        <v>291</v>
      </c>
      <c r="AH222" s="337" t="s">
        <v>292</v>
      </c>
      <c r="AI222" s="338" t="s">
        <v>293</v>
      </c>
    </row>
    <row r="223" spans="1:35" hidden="1" outlineLevel="1"/>
    <row r="224" spans="1:35" hidden="1" outlineLevel="1">
      <c r="A224" s="339"/>
      <c r="C224" s="281" t="s">
        <v>268</v>
      </c>
      <c r="D224" s="283" cm="1">
        <f t="array" aca="1" ref="D224" ca="1">IF(BBSwitch=1,_xll.BDP($H$3&amp;" US EQUITY","BEST_SALES", "BEST_FPERIOD_OVERRIDE="&amp;$E$1),D224)</f>
        <v>784</v>
      </c>
      <c r="E224" s="317">
        <f ca="1">Segment!AF10</f>
        <v>824.43286087268825</v>
      </c>
      <c r="F224" s="282">
        <f ca="1">E224-D224</f>
        <v>40.432860872688252</v>
      </c>
      <c r="G224" s="285">
        <f ca="1">F224/D224</f>
        <v>5.1572526623326849E-2</v>
      </c>
      <c r="H224" s="283" cm="1">
        <f t="array" aca="1" ref="H224" ca="1">IF(BBSwitch=1,_xll.BDP($H$3&amp;" US EQUITY","BEST_SALES", "BEST_FPERIOD_OVERRIDE="&amp;$H$1),H224)</f>
        <v>814.57100000000003</v>
      </c>
      <c r="I224" s="317">
        <f ca="1">Segment!AG10</f>
        <v>864.99732002093822</v>
      </c>
      <c r="J224" s="282">
        <f ca="1">I224-H224</f>
        <v>50.426320020938192</v>
      </c>
      <c r="K224" s="285">
        <f ca="1">J224/H224</f>
        <v>6.1905371073777721E-2</v>
      </c>
      <c r="L224" s="283" cm="1">
        <f t="array" aca="1" ref="L224" ca="1">IF(BBSwitch=1,_xll.BDP($H$3&amp;" US EQUITY","BEST_SALES", "BEST_FPERIOD_OVERRIDE="&amp;$L$1),L224)</f>
        <v>794.4</v>
      </c>
      <c r="M224" s="317">
        <f ca="1">Segment!AH10</f>
        <v>929.45453083934945</v>
      </c>
      <c r="N224" s="282">
        <f ca="1">M224-L224</f>
        <v>135.05453083934947</v>
      </c>
      <c r="O224" s="285">
        <f ca="1">N224/L224</f>
        <v>0.17000822109686489</v>
      </c>
      <c r="AF224" s="283" cm="1">
        <f t="array" aca="1" ref="AF224" ca="1">IF(BBSwitch=1,_xll.BDP($H$3&amp;" US EQUITY","BEST_SALES", "BEST_FPERIOD_OVERRIDE="&amp;$L$1),AF224)</f>
        <v>794.4</v>
      </c>
      <c r="AG224" s="317">
        <f ca="1">Segment!AG10</f>
        <v>864.99732002093822</v>
      </c>
      <c r="AH224" s="282">
        <f ca="1">AG224-AF224</f>
        <v>70.597320020938241</v>
      </c>
      <c r="AI224" s="285">
        <f ca="1">AH224/AF224</f>
        <v>8.8868731144182075E-2</v>
      </c>
    </row>
    <row r="225" spans="1:35" hidden="1" outlineLevel="1">
      <c r="A225" s="339"/>
      <c r="C225" s="281" t="s">
        <v>79</v>
      </c>
      <c r="D225" s="283" cm="1">
        <f t="array" aca="1" ref="D225" ca="1">IF(BBSwitch=1,_xll.BDP($H$3&amp;" US EQUITY","BEST_EBITDA", "BEST_FPERIOD_OVERRIDE="&amp;$E$1),D225)</f>
        <v>308.714</v>
      </c>
      <c r="E225" s="317">
        <f ca="1">Segment!AF20</f>
        <v>320.68530010730842</v>
      </c>
      <c r="F225" s="282">
        <f ca="1">E225-D225</f>
        <v>11.971300107308423</v>
      </c>
      <c r="G225" s="285">
        <f ca="1">F225/D225</f>
        <v>3.8777963122205092E-2</v>
      </c>
      <c r="H225" s="283" cm="1">
        <f t="array" aca="1" ref="H225" ca="1">IF(BBSwitch=1,_xll.BDP($H$3&amp;" US EQUITY","BEST_EBITDA", "BEST_FPERIOD_OVERRIDE="&amp;$H$1),H225)</f>
        <v>328</v>
      </c>
      <c r="I225" s="317">
        <f ca="1">Segment!AG20</f>
        <v>337.7346574933311</v>
      </c>
      <c r="J225" s="282">
        <f ca="1">I225-H225</f>
        <v>9.734657493331099</v>
      </c>
      <c r="K225" s="285">
        <f ca="1">J225/H225</f>
        <v>2.9678833821131401E-2</v>
      </c>
      <c r="L225" s="283" cm="1">
        <f t="array" aca="1" ref="L225" ca="1">IF(BBSwitch=1,_xll.BDP($H$3&amp;" US EQUITY","BEST_EBITDA", "BEST_FPERIOD_OVERRIDE="&amp;$L$1),L225)</f>
        <v>393.33300000000003</v>
      </c>
      <c r="M225" s="317">
        <f ca="1">Segment!AH20</f>
        <v>364.69979215365561</v>
      </c>
      <c r="N225" s="282">
        <f ca="1">M225-L225</f>
        <v>-28.633207846344419</v>
      </c>
      <c r="O225" s="285">
        <f ca="1">N225/L225</f>
        <v>-7.2796352826598368E-2</v>
      </c>
      <c r="AF225" s="283" cm="1">
        <f t="array" aca="1" ref="AF225" ca="1">IF(BBSwitch=1,_xll.BDP($H$3&amp;" US EQUITY","BEST_EBITDA", "BEST_FPERIOD_OVERRIDE="&amp;$L$1),AF225)</f>
        <v>393.33300000000003</v>
      </c>
      <c r="AG225" s="317">
        <f ca="1">Segment!AG20</f>
        <v>337.7346574933311</v>
      </c>
      <c r="AH225" s="282">
        <f ca="1">AG225-AF225</f>
        <v>-55.598342506668928</v>
      </c>
      <c r="AI225" s="285">
        <f ca="1">AH225/AF225</f>
        <v>-0.14135183802698711</v>
      </c>
    </row>
    <row r="226" spans="1:35" hidden="1" outlineLevel="1">
      <c r="A226" s="339"/>
      <c r="C226" s="281" t="s">
        <v>164</v>
      </c>
      <c r="D226" s="283" cm="1">
        <f t="array" aca="1" ref="D226" ca="1">IF(BBSwitch=1,_xll.BDP($H$3&amp;" US EQUITY","BEST_EBIT", "BEST_FPERIOD_OVERRIDE="&amp;E1),D226)</f>
        <v>101.2</v>
      </c>
      <c r="E226" s="317">
        <f ca="1">Segment!AF28-Segment!AF26</f>
        <v>163.2596256907791</v>
      </c>
      <c r="F226" s="282">
        <f ca="1">E226-D226</f>
        <v>62.0596256907791</v>
      </c>
      <c r="G226" s="285">
        <f ca="1">F226/D226</f>
        <v>0.61323740801165116</v>
      </c>
      <c r="H226" s="283" cm="1">
        <f t="array" aca="1" ref="H226" ca="1">IF(BBSwitch=1,_xll.BDP($H$3&amp;" US EQUITY","BEST_EBIT", "BEST_FPERIOD_OVERRIDE="&amp;H1),H226)</f>
        <v>203.52500000000001</v>
      </c>
      <c r="I226" s="317">
        <f ca="1">Segment!AG28</f>
        <v>175.48930511756862</v>
      </c>
      <c r="J226" s="282">
        <f ca="1">I226-H226</f>
        <v>-28.035694882431386</v>
      </c>
      <c r="K226" s="285">
        <f ca="1">J226/H226</f>
        <v>-0.13775061973925259</v>
      </c>
      <c r="L226" s="283" cm="1">
        <f t="array" aca="1" ref="L226" ca="1">IF(BBSwitch=1,_xll.BDP($H$3&amp;" US EQUITY","BEST_EBIT", "BEST_FPERIOD_OVERRIDE="&amp;L1),L226)</f>
        <v>244.233</v>
      </c>
      <c r="M226" s="317">
        <f ca="1">Segment!AH28</f>
        <v>189.56430511670587</v>
      </c>
      <c r="N226" s="282">
        <f ca="1">M226-L226</f>
        <v>-54.668694883294137</v>
      </c>
      <c r="O226" s="285">
        <f ca="1">N226/L226</f>
        <v>-0.22383828099926764</v>
      </c>
      <c r="AF226" s="283" cm="1">
        <f t="array" aca="1" ref="AF226" ca="1">IF(BBSwitch=1,_xll.BDP($H$3&amp;" US EQUITY","BEST_EBIT", "BEST_FPERIOD_OVERRIDE="&amp;L1),AF226)</f>
        <v>244.233</v>
      </c>
      <c r="AG226" s="317">
        <f ca="1">Segment!AG28</f>
        <v>175.48930511756862</v>
      </c>
      <c r="AH226" s="282">
        <f ca="1">AG226-AF226</f>
        <v>-68.743694882431384</v>
      </c>
      <c r="AI226" s="285">
        <f ca="1">AH226/AF226</f>
        <v>-0.28146767587685279</v>
      </c>
    </row>
    <row r="227" spans="1:35" s="307" customFormat="1" hidden="1" outlineLevel="1">
      <c r="D227" s="314"/>
      <c r="E227" s="314"/>
      <c r="F227" s="314"/>
      <c r="G227" s="284"/>
      <c r="H227" s="284"/>
      <c r="I227" s="284"/>
      <c r="J227" s="326"/>
      <c r="K227" s="326"/>
      <c r="L227" s="284"/>
      <c r="M227" s="284"/>
      <c r="N227" s="326"/>
      <c r="O227" s="326"/>
      <c r="AF227" s="284"/>
      <c r="AG227" s="284"/>
      <c r="AH227" s="326"/>
      <c r="AI227" s="326"/>
    </row>
    <row r="228" spans="1:35" hidden="1" outlineLevel="1">
      <c r="C228" s="281" t="s">
        <v>294</v>
      </c>
      <c r="D228" s="285">
        <f ca="1">+D225/D$224</f>
        <v>0.39376785714285711</v>
      </c>
      <c r="E228" s="285">
        <f ca="1">+E225/E$224</f>
        <v>0.38897685345517752</v>
      </c>
      <c r="F228" s="282">
        <f ca="1">E228-D228</f>
        <v>-4.7910036876795958E-3</v>
      </c>
      <c r="G228" s="285">
        <f ca="1">F228/D228</f>
        <v>-1.2167076618296557E-2</v>
      </c>
      <c r="H228" s="285">
        <f ca="1">+H225/H$224</f>
        <v>0.40266594317745169</v>
      </c>
      <c r="I228" s="285">
        <f ca="1">+I225/I$224</f>
        <v>0.39044590043950178</v>
      </c>
      <c r="J228" s="282">
        <f ca="1">I228-H228</f>
        <v>-1.222004273794991E-2</v>
      </c>
      <c r="K228" s="285">
        <f ca="1">J228/H228</f>
        <v>-3.0347842783824987E-2</v>
      </c>
      <c r="L228" s="285">
        <f ca="1">+L225/L$224</f>
        <v>0.49513217522658615</v>
      </c>
      <c r="M228" s="285">
        <f ca="1">+M225/M$224</f>
        <v>0.39238045547457956</v>
      </c>
      <c r="N228" s="282">
        <f ca="1">M228-L228</f>
        <v>-0.10275171975200659</v>
      </c>
      <c r="O228" s="285">
        <f ca="1">N228/L228</f>
        <v>-0.20752381867525488</v>
      </c>
      <c r="AF228" s="285">
        <f ca="1">+AF225/AF$224</f>
        <v>0.49513217522658615</v>
      </c>
      <c r="AG228" s="285">
        <f ca="1">+AG225/AG$224</f>
        <v>0.39044590043950178</v>
      </c>
      <c r="AH228" s="282">
        <f ca="1">AG228-AF228</f>
        <v>-0.10468627478708437</v>
      </c>
      <c r="AI228" s="285">
        <f ca="1">AH228/AF228</f>
        <v>-0.21143096737588712</v>
      </c>
    </row>
    <row r="229" spans="1:35" hidden="1" outlineLevel="1">
      <c r="C229" s="281" t="s">
        <v>303</v>
      </c>
      <c r="D229" s="285">
        <f ca="1">+D226/D$224</f>
        <v>0.12908163265306122</v>
      </c>
      <c r="E229" s="285">
        <f ca="1">+E226/E$224</f>
        <v>0.19802658705035558</v>
      </c>
      <c r="F229" s="282">
        <f ca="1">E229-D229</f>
        <v>6.8944954397294367E-2</v>
      </c>
      <c r="G229" s="285">
        <f ca="1">F229/D229</f>
        <v>0.53411901430315001</v>
      </c>
      <c r="H229" s="285">
        <f ca="1">+H226/H$224</f>
        <v>0.24985544538167945</v>
      </c>
      <c r="I229" s="285">
        <f ca="1">+I226/I$224</f>
        <v>0.20287843795090685</v>
      </c>
      <c r="J229" s="282">
        <f ca="1">I229-H229</f>
        <v>-4.6977007430772599E-2</v>
      </c>
      <c r="K229" s="285">
        <f ca="1">J229/H229</f>
        <v>-0.18801674447803399</v>
      </c>
      <c r="L229" s="285">
        <f ca="1">+L226/L$224</f>
        <v>0.30744335347432028</v>
      </c>
      <c r="M229" s="285">
        <f ca="1">+M226/M$224</f>
        <v>0.20395220941633227</v>
      </c>
      <c r="N229" s="282">
        <f ca="1">M229-L229</f>
        <v>-0.10349114405798801</v>
      </c>
      <c r="O229" s="285">
        <f ca="1">N229/L229</f>
        <v>-0.33661857668564715</v>
      </c>
      <c r="AF229" s="285">
        <f ca="1">+AF226/AF$224</f>
        <v>0.30744335347432028</v>
      </c>
      <c r="AG229" s="285">
        <f ca="1">+AG226/AG$224</f>
        <v>0.20287843795090685</v>
      </c>
      <c r="AH229" s="282">
        <f ca="1">AG229-AF229</f>
        <v>-0.10456491552341343</v>
      </c>
      <c r="AI229" s="285">
        <f ca="1">AH229/AF229</f>
        <v>-0.34011115980149947</v>
      </c>
    </row>
    <row r="230" spans="1:35" hidden="1" outlineLevel="1"/>
    <row r="231" spans="1:35" hidden="1" outlineLevel="1">
      <c r="B231" s="378" t="s">
        <v>137</v>
      </c>
      <c r="C231" s="342" t="s">
        <v>280</v>
      </c>
      <c r="D231" s="848">
        <v>2022</v>
      </c>
      <c r="E231" s="849"/>
      <c r="F231" s="850" t="s">
        <v>289</v>
      </c>
      <c r="G231" s="851"/>
      <c r="H231" s="852">
        <v>2022</v>
      </c>
      <c r="I231" s="853"/>
      <c r="J231" s="845" t="s">
        <v>289</v>
      </c>
      <c r="K231" s="846"/>
      <c r="L231" s="854">
        <v>2021</v>
      </c>
      <c r="M231" s="855"/>
      <c r="N231" s="845" t="s">
        <v>289</v>
      </c>
      <c r="O231" s="847"/>
      <c r="P231" s="856">
        <v>2021</v>
      </c>
      <c r="Q231" s="857"/>
      <c r="R231" s="845" t="s">
        <v>289</v>
      </c>
      <c r="S231" s="847"/>
    </row>
    <row r="232" spans="1:35" hidden="1" outlineLevel="1">
      <c r="B232" s="290"/>
      <c r="C232" s="290"/>
      <c r="D232" s="599" t="s">
        <v>290</v>
      </c>
      <c r="E232" s="599" t="s">
        <v>291</v>
      </c>
      <c r="F232" s="599" t="s">
        <v>292</v>
      </c>
      <c r="G232" s="600" t="s">
        <v>293</v>
      </c>
      <c r="H232" s="337" t="s">
        <v>290</v>
      </c>
      <c r="I232" s="337" t="s">
        <v>291</v>
      </c>
      <c r="J232" s="337" t="s">
        <v>292</v>
      </c>
      <c r="K232" s="338" t="s">
        <v>293</v>
      </c>
      <c r="L232" s="337" t="s">
        <v>290</v>
      </c>
      <c r="M232" s="337" t="s">
        <v>291</v>
      </c>
      <c r="N232" s="337" t="s">
        <v>292</v>
      </c>
      <c r="O232" s="338" t="s">
        <v>293</v>
      </c>
      <c r="P232" s="337" t="s">
        <v>290</v>
      </c>
      <c r="Q232" s="337" t="s">
        <v>291</v>
      </c>
      <c r="R232" s="337" t="s">
        <v>292</v>
      </c>
      <c r="S232" s="338" t="s">
        <v>293</v>
      </c>
    </row>
    <row r="233" spans="1:35" hidden="1" outlineLevel="1"/>
    <row r="234" spans="1:35" hidden="1" outlineLevel="1">
      <c r="C234" s="281" t="str">
        <f>+C224</f>
        <v>Revenue</v>
      </c>
      <c r="D234" s="283" cm="1">
        <f t="array" aca="1" ref="D234" ca="1">IF(BBSwitch=1,_xll.BDP($H$3&amp;" US EQUITY","BEST_SALES", "BEST_FPERIOD_OVERRIDE="&amp;$E$2),D234)</f>
        <v>193.167</v>
      </c>
      <c r="E234" s="317">
        <f>Segment!U10</f>
        <v>186.499</v>
      </c>
      <c r="F234" s="282">
        <f ca="1">E234-D234</f>
        <v>-6.6680000000000064</v>
      </c>
      <c r="G234" s="285">
        <f ca="1">F234/D234</f>
        <v>-3.451935371983831E-2</v>
      </c>
      <c r="H234" s="283" cm="1">
        <f t="array" aca="1" ref="H234" ca="1">IF(BBSwitch=1,_xll.BDP($H$3&amp;" US EQUITY","BEST_SALES", "BEST_FPERIOD_OVERRIDE="&amp;$H$2),H234)</f>
        <v>197.833</v>
      </c>
      <c r="I234" s="317">
        <f ca="1">Segment!V10</f>
        <v>223.35683536261519</v>
      </c>
      <c r="J234" s="282">
        <f ca="1">I234-H234</f>
        <v>25.523835362615188</v>
      </c>
      <c r="K234" s="285">
        <f ca="1">J234/H234</f>
        <v>0.12901707684064431</v>
      </c>
      <c r="L234" s="283" cm="1">
        <f t="array" aca="1" ref="L234" ca="1">IF(BBSwitch=1,_xll.BDP($H$3&amp;" US EQUITY","BEST_SALES", "BEST_FPERIOD_OVERRIDE="&amp;$L$2),L234)</f>
        <v>194.333</v>
      </c>
      <c r="M234" s="317">
        <f ca="1">Segment!W10</f>
        <v>192.83120312647674</v>
      </c>
      <c r="N234" s="282">
        <f ca="1">M234-L234</f>
        <v>-1.5017968735232614</v>
      </c>
      <c r="O234" s="285">
        <f ca="1">N234/L234</f>
        <v>-7.7279560009018613E-3</v>
      </c>
      <c r="P234" s="283" cm="1">
        <f t="array" aca="1" ref="P234" ca="1">IF(BBSwitch=1,_xll.BDP($H$3&amp;" US EQUITY","BEST_SALES", "BEST_FPERIOD_OVERRIDE="&amp;$P$2),P234)</f>
        <v>173.333</v>
      </c>
      <c r="Q234" s="317">
        <f ca="1">Segment!X10</f>
        <v>221.74582238359636</v>
      </c>
      <c r="R234" s="282">
        <f ca="1">Q234-P234</f>
        <v>48.412822383596364</v>
      </c>
      <c r="S234" s="285">
        <f ca="1">R234/P234</f>
        <v>0.27930528164628987</v>
      </c>
      <c r="T234" s="283"/>
    </row>
    <row r="235" spans="1:35" hidden="1" outlineLevel="1">
      <c r="C235" s="281" t="str">
        <f>+C225</f>
        <v>EBITDA</v>
      </c>
      <c r="D235" s="283" cm="1">
        <f t="array" aca="1" ref="D235" ca="1">IF(BBSwitch=1,_xll.BDP($H$3&amp;" US EQUITY","BEST_EBITDA", "BEST_FPERIOD_OVERRIDE="&amp;E$2),D235)</f>
        <v>63.067</v>
      </c>
      <c r="E235" s="317">
        <f ca="1">Segment!U20</f>
        <v>58.198999999999984</v>
      </c>
      <c r="F235" s="282">
        <f ca="1">E235-D235</f>
        <v>-4.8680000000000163</v>
      </c>
      <c r="G235" s="285">
        <f ca="1">F235/D235</f>
        <v>-7.7187752707438384E-2</v>
      </c>
      <c r="H235" s="283" cm="1">
        <f t="array" aca="1" ref="H235" ca="1">IF(BBSwitch=1,_xll.BDP($H$3&amp;" US EQUITY","BEST_EBITDA", "BEST_FPERIOD_OVERRIDE="&amp;H$2),H235)</f>
        <v>65.7</v>
      </c>
      <c r="I235" s="317">
        <f ca="1">Segment!V20</f>
        <v>95.270746234641166</v>
      </c>
      <c r="J235" s="282">
        <f ca="1">I235-H235</f>
        <v>29.570746234641163</v>
      </c>
      <c r="K235" s="285">
        <f ca="1">J235/H235</f>
        <v>0.45008746171447733</v>
      </c>
      <c r="L235" s="283" cm="1">
        <f t="array" aca="1" ref="L235" ca="1">IF(BBSwitch=1,_xll.BDP($H$3&amp;" US EQUITY","BEST_EBITDA", "BEST_FPERIOD_OVERRIDE="&amp;L$2),L235)</f>
        <v>66.067000000000007</v>
      </c>
      <c r="M235" s="317">
        <f ca="1">Segment!W20</f>
        <v>67.803457161015018</v>
      </c>
      <c r="N235" s="282">
        <f ca="1">M235-L235</f>
        <v>1.7364571610150108</v>
      </c>
      <c r="O235" s="285">
        <f ca="1">N235/L235</f>
        <v>2.6283275478151128E-2</v>
      </c>
      <c r="P235" s="283" cm="1">
        <f t="array" aca="1" ref="P235" ca="1">IF(BBSwitch=1,_xll.BDP($H$3&amp;" US EQUITY","BEST_EBITDA", "BEST_FPERIOD_OVERRIDE="&amp;P$2),P235)</f>
        <v>64.2</v>
      </c>
      <c r="Q235" s="317">
        <f ca="1">Segment!X20</f>
        <v>99.41209671165231</v>
      </c>
      <c r="R235" s="282">
        <f ca="1">Q235-P235</f>
        <v>35.212096711652308</v>
      </c>
      <c r="S235" s="285">
        <f ca="1">R235/P235</f>
        <v>0.54847502666125092</v>
      </c>
      <c r="T235" s="283"/>
    </row>
    <row r="236" spans="1:35" hidden="1" outlineLevel="1">
      <c r="C236" s="281" t="str">
        <f>+C226</f>
        <v>EBIT</v>
      </c>
      <c r="D236" s="283" cm="1">
        <f t="array" aca="1" ref="D236" ca="1">IF(BBSwitch=1,_xll.BDP($H$3&amp;" US EQUITY","BEST_EBIT", "BEST_FPERIOD_OVERRIDE="&amp;E$2),D236)</f>
        <v>26.925000000000001</v>
      </c>
      <c r="E236" s="317">
        <f ca="1">Segment!U28</f>
        <v>19.78599999999998</v>
      </c>
      <c r="F236" s="282">
        <f ca="1">E236-D236</f>
        <v>-7.1390000000000207</v>
      </c>
      <c r="G236" s="285">
        <f ca="1">F236/D236</f>
        <v>-0.26514391829155137</v>
      </c>
      <c r="H236" s="283" cm="1">
        <f t="array" aca="1" ref="H236" ca="1">IF(BBSwitch=1,_xll.BDP($H$3&amp;" US EQUITY","BEST_EBIT", "BEST_FPERIOD_OVERRIDE="&amp;H$2),H236)</f>
        <v>32.475000000000001</v>
      </c>
      <c r="I236" s="317">
        <f ca="1">Segment!V28</f>
        <v>50.624624008835816</v>
      </c>
      <c r="J236" s="282">
        <f ca="1">I236-H236</f>
        <v>18.149624008835815</v>
      </c>
      <c r="K236" s="285">
        <f ca="1">J236/H236</f>
        <v>0.55887987710040998</v>
      </c>
      <c r="L236" s="283" cm="1">
        <f t="array" aca="1" ref="L236" ca="1">IF(BBSwitch=1,_xll.BDP($H$3&amp;" US EQUITY","BEST_EBIT", "BEST_FPERIOD_OVERRIDE="&amp;L$2),L236)</f>
        <v>29.900000000000002</v>
      </c>
      <c r="M236" s="317">
        <f ca="1">Segment!W28</f>
        <v>26.894962180413344</v>
      </c>
      <c r="N236" s="282">
        <f ca="1">M236-L236</f>
        <v>-3.0050378195866578</v>
      </c>
      <c r="O236" s="285">
        <f ca="1">N236/L236</f>
        <v>-0.10050293710992166</v>
      </c>
      <c r="P236" s="283" cm="1">
        <f t="array" aca="1" ref="P236" ca="1">IF(BBSwitch=1,_xll.BDP($H$3&amp;" US EQUITY","BEST_EBIT", "BEST_FPERIOD_OVERRIDE="&amp;P$2),P236)</f>
        <v>29.75</v>
      </c>
      <c r="Q236" s="317">
        <f ca="1">Segment!X28</f>
        <v>66.155039501530013</v>
      </c>
      <c r="R236" s="282">
        <f ca="1">Q236-P236</f>
        <v>36.405039501530013</v>
      </c>
      <c r="S236" s="285">
        <f ca="1">R236/P236</f>
        <v>1.2236988067741181</v>
      </c>
      <c r="T236" s="283"/>
    </row>
    <row r="237" spans="1:35" hidden="1" outlineLevel="1">
      <c r="C237" s="281" t="s">
        <v>794</v>
      </c>
      <c r="D237" s="283" cm="1">
        <f t="array" aca="1" ref="D237" ca="1">IF(BBSwitch=1,_xll.BDP($H$3&amp;" US EQUITY","BEST_PTP", "BEST_FPERIOD_OVERRIDE="&amp;E$2),D237)</f>
        <v>20.3</v>
      </c>
      <c r="E237" s="317">
        <f ca="1">Segment!U33</f>
        <v>10.950999999999979</v>
      </c>
      <c r="F237" s="282">
        <f ca="1">E237-D237</f>
        <v>-9.3490000000000215</v>
      </c>
      <c r="G237" s="285">
        <f ca="1">F237/D237</f>
        <v>-0.46054187192118329</v>
      </c>
      <c r="H237" s="283" cm="1">
        <f t="array" aca="1" ref="H237" ca="1">IF(BBSwitch=1,_xll.BDP($H$3&amp;" US EQUITY","BEST_PTP", "BEST_FPERIOD_OVERRIDE="&amp;H$2),H237)</f>
        <v>29.067</v>
      </c>
      <c r="I237" s="317">
        <f ca="1">Segment!V33</f>
        <v>43.26794712137184</v>
      </c>
      <c r="J237" s="282">
        <f ca="1">I237-H237</f>
        <v>14.20094712137184</v>
      </c>
      <c r="K237" s="285">
        <f ca="1">J237/H237</f>
        <v>0.4885590918007307</v>
      </c>
      <c r="L237" s="283" cm="1">
        <f t="array" aca="1" ref="L237" ca="1">IF(BBSwitch=1,_xll.BDP($H$3&amp;" US EQUITY","BEST_PTP", "BEST_FPERIOD_OVERRIDE="&amp;L$2),L237)</f>
        <v>24.6</v>
      </c>
      <c r="M237" s="317">
        <f ca="1">Segment!W33</f>
        <v>19.281148427641924</v>
      </c>
      <c r="N237" s="282">
        <f ca="1">M237-L237</f>
        <v>-5.3188515723580778</v>
      </c>
      <c r="O237" s="285">
        <f ca="1">N237/L237</f>
        <v>-0.21621347855114137</v>
      </c>
      <c r="P237" s="283" cm="1">
        <f t="array" aca="1" ref="P237" ca="1">IF(BBSwitch=1,_xll.BDP($H$3&amp;" US EQUITY","BEST_PTP", "BEST_FPERIOD_OVERRIDE="&amp;P$2),P237)</f>
        <v>17.600000000000001</v>
      </c>
      <c r="Q237" s="317">
        <f ca="1">Segment!X33</f>
        <v>58.784792024464814</v>
      </c>
      <c r="R237" s="282">
        <f ca="1">Q237-P237</f>
        <v>41.184792024464812</v>
      </c>
      <c r="S237" s="285">
        <f ca="1">R237/P237</f>
        <v>2.3400450013900458</v>
      </c>
      <c r="T237" s="283"/>
    </row>
    <row r="238" spans="1:35" hidden="1" outlineLevel="1">
      <c r="C238" s="281" t="s">
        <v>265</v>
      </c>
      <c r="D238" s="283" cm="1">
        <f t="array" aca="1" ref="D238" ca="1">IF(BBSwitch=1,_xll.BDP($H$3&amp;" US EQUITY","BEST_NET_INCOME", "BEST_FPERIOD_OVERRIDE="&amp;E$2),D238)</f>
        <v>13.58</v>
      </c>
      <c r="E238" s="317">
        <f ca="1">Segment!U37</f>
        <v>5.319999999999979</v>
      </c>
      <c r="F238" s="282">
        <f ca="1">E238-D238</f>
        <v>-8.2600000000000211</v>
      </c>
      <c r="G238" s="285">
        <f ca="1">F238/D238</f>
        <v>-0.60824742268041387</v>
      </c>
      <c r="H238" s="283" cm="1">
        <f t="array" aca="1" ref="H238" ca="1">IF(BBSwitch=1,_xll.BDP($H$3&amp;" US EQUITY","BEST_NET_INCOME", "BEST_FPERIOD_OVERRIDE="&amp;H$2),H238)</f>
        <v>18.605</v>
      </c>
      <c r="I238" s="317">
        <f ca="1">Segment!V37</f>
        <v>34.181678225883758</v>
      </c>
      <c r="J238" s="282">
        <f ca="1">I238-H238</f>
        <v>15.576678225883757</v>
      </c>
      <c r="K238" s="285">
        <f ca="1">J238/H238</f>
        <v>0.83723075656456636</v>
      </c>
      <c r="L238" s="283" cm="1">
        <f t="array" aca="1" ref="L238" ca="1">IF(BBSwitch=1,_xll.BDP($H$3&amp;" US EQUITY","BEST_NET_INCOME", "BEST_FPERIOD_OVERRIDE="&amp;L$2),L238)</f>
        <v>14.755000000000001</v>
      </c>
      <c r="M238" s="317">
        <f ca="1">Segment!W37</f>
        <v>15.23210725783712</v>
      </c>
      <c r="N238" s="282">
        <f ca="1">M238-L238</f>
        <v>0.47710725783711894</v>
      </c>
      <c r="O238" s="285">
        <f ca="1">N238/L238</f>
        <v>3.2335293652125986E-2</v>
      </c>
      <c r="P238" s="283" t="str" cm="1">
        <f t="array" aca="1" ref="P238" ca="1">IF(BBSwitch=1,_xll.BDP($H$3&amp;" US EQUITY","BEST_NET_INCOME", "BEST_FPERIOD_OVERRIDE="&amp;P$2),P238)</f>
        <v>#N/A N/A</v>
      </c>
      <c r="Q238" s="317">
        <f ca="1">Segment!X37</f>
        <v>46.439985699327202</v>
      </c>
      <c r="R238" s="282" t="e">
        <f ca="1">Q238-P238</f>
        <v>#VALUE!</v>
      </c>
      <c r="S238" s="285" t="e">
        <f ca="1">R238/P238</f>
        <v>#VALUE!</v>
      </c>
      <c r="T238" s="283"/>
    </row>
    <row r="239" spans="1:35" hidden="1" outlineLevel="1">
      <c r="G239" s="285"/>
    </row>
    <row r="240" spans="1:35" hidden="1" outlineLevel="1">
      <c r="C240" s="281" t="str">
        <f>+C228</f>
        <v>EBITDA Margin</v>
      </c>
      <c r="D240" s="285">
        <f t="shared" ref="D240:E243" ca="1" si="11">+D235/D$234</f>
        <v>0.32648951425450518</v>
      </c>
      <c r="E240" s="285">
        <f t="shared" ca="1" si="11"/>
        <v>0.31206065448072101</v>
      </c>
      <c r="F240" s="282">
        <f ca="1">E240-D240</f>
        <v>-1.4428859773784164E-2</v>
      </c>
      <c r="G240" s="285">
        <f ca="1">F240/D240</f>
        <v>-4.419394542189363E-2</v>
      </c>
      <c r="H240" s="285">
        <f t="shared" ref="H240:I243" ca="1" si="12">+H235/H$234</f>
        <v>0.33209828491707655</v>
      </c>
      <c r="I240" s="285">
        <f t="shared" ca="1" si="12"/>
        <v>0.42654054477433423</v>
      </c>
      <c r="J240" s="282">
        <f ca="1">I240-H240</f>
        <v>9.4442259857257682E-2</v>
      </c>
      <c r="K240" s="285">
        <f ca="1">J240/H240</f>
        <v>0.28438045044658838</v>
      </c>
      <c r="L240" s="285">
        <f t="shared" ref="L240:M243" ca="1" si="13">+L235/L$234</f>
        <v>0.33996799308403619</v>
      </c>
      <c r="M240" s="285">
        <f t="shared" ca="1" si="13"/>
        <v>0.35162077538116676</v>
      </c>
      <c r="N240" s="282">
        <f ca="1">M240-L240</f>
        <v>1.1652782297130571E-2</v>
      </c>
      <c r="O240" s="285">
        <f ca="1">N240/L240</f>
        <v>3.4276115793789259E-2</v>
      </c>
      <c r="P240" s="285">
        <f t="shared" ref="P240:Q243" ca="1" si="14">+P235/P$234</f>
        <v>0.37038532766409166</v>
      </c>
      <c r="Q240" s="285">
        <f t="shared" ca="1" si="14"/>
        <v>0.44831553371806077</v>
      </c>
      <c r="R240" s="282">
        <f ca="1">Q240-P240</f>
        <v>7.7930206053969109E-2</v>
      </c>
      <c r="S240" s="285">
        <f ca="1">R240/P240</f>
        <v>0.21040305928275121</v>
      </c>
    </row>
    <row r="241" spans="3:19" hidden="1" outlineLevel="1">
      <c r="C241" s="281" t="str">
        <f>+C229</f>
        <v>EBIT. Margin</v>
      </c>
      <c r="D241" s="285">
        <f t="shared" ca="1" si="11"/>
        <v>0.13938716240351612</v>
      </c>
      <c r="E241" s="285">
        <f t="shared" ca="1" si="11"/>
        <v>0.10609172167142977</v>
      </c>
      <c r="F241" s="282">
        <f ca="1">E241-D241</f>
        <v>-3.3295440732086345E-2</v>
      </c>
      <c r="G241" s="285">
        <f ca="1">F241/D241</f>
        <v>-0.23887020983825158</v>
      </c>
      <c r="H241" s="285">
        <f t="shared" ca="1" si="12"/>
        <v>0.16415360430261888</v>
      </c>
      <c r="I241" s="285">
        <f t="shared" ca="1" si="12"/>
        <v>0.22665356950750037</v>
      </c>
      <c r="J241" s="282">
        <f ca="1">I241-H241</f>
        <v>6.2499965204881491E-2</v>
      </c>
      <c r="K241" s="285">
        <f ca="1">J241/H241</f>
        <v>0.38074074261362029</v>
      </c>
      <c r="L241" s="285">
        <f t="shared" ca="1" si="13"/>
        <v>0.1538596121091117</v>
      </c>
      <c r="M241" s="285">
        <f t="shared" ca="1" si="13"/>
        <v>0.13947411904479542</v>
      </c>
      <c r="N241" s="282">
        <f ca="1">M241-L241</f>
        <v>-1.4385493064316274E-2</v>
      </c>
      <c r="O241" s="285">
        <f ca="1">N241/L241</f>
        <v>-9.3497525875176388E-2</v>
      </c>
      <c r="P241" s="285">
        <f t="shared" ca="1" si="14"/>
        <v>0.17163494545181818</v>
      </c>
      <c r="Q241" s="285">
        <f t="shared" ca="1" si="14"/>
        <v>0.29833725294309682</v>
      </c>
      <c r="R241" s="282">
        <f ca="1">Q241-P241</f>
        <v>0.12670230749127864</v>
      </c>
      <c r="S241" s="285">
        <f ca="1">R241/P241</f>
        <v>0.73820810300456474</v>
      </c>
    </row>
    <row r="242" spans="3:19" hidden="1" outlineLevel="1">
      <c r="C242" s="281" t="s">
        <v>795</v>
      </c>
      <c r="D242" s="285">
        <f t="shared" ca="1" si="11"/>
        <v>0.10509041399410873</v>
      </c>
      <c r="E242" s="285">
        <f t="shared" ca="1" si="11"/>
        <v>5.8718813505702336E-2</v>
      </c>
      <c r="F242" s="282">
        <f ca="1">E242-D242</f>
        <v>-4.6371600488406398E-2</v>
      </c>
      <c r="G242" s="285">
        <f ca="1">F242/D242</f>
        <v>-0.44125433258837427</v>
      </c>
      <c r="H242" s="285">
        <f t="shared" ca="1" si="12"/>
        <v>0.1469269535416235</v>
      </c>
      <c r="I242" s="285">
        <f t="shared" ca="1" si="12"/>
        <v>0.19371669128069094</v>
      </c>
      <c r="J242" s="282">
        <f ca="1">I242-H242</f>
        <v>4.6789737739067444E-2</v>
      </c>
      <c r="K242" s="285">
        <f ca="1">J242/H242</f>
        <v>0.31845578099332333</v>
      </c>
      <c r="L242" s="285">
        <f t="shared" ca="1" si="13"/>
        <v>0.12658683805632601</v>
      </c>
      <c r="M242" s="285">
        <f t="shared" ca="1" si="13"/>
        <v>9.9989774035665502E-2</v>
      </c>
      <c r="N242" s="282">
        <f ca="1">M242-L242</f>
        <v>-2.6597064020660505E-2</v>
      </c>
      <c r="O242" s="285">
        <f ca="1">N242/L242</f>
        <v>-0.2101092374929682</v>
      </c>
      <c r="P242" s="285">
        <f t="shared" ca="1" si="14"/>
        <v>0.10153865680510925</v>
      </c>
      <c r="Q242" s="285">
        <f t="shared" ca="1" si="14"/>
        <v>0.26509988505115312</v>
      </c>
      <c r="R242" s="282">
        <f ca="1">Q242-P242</f>
        <v>0.16356122824604385</v>
      </c>
      <c r="S242" s="285">
        <f ca="1">R242/P242</f>
        <v>1.6108271804301999</v>
      </c>
    </row>
    <row r="243" spans="3:19" hidden="1" outlineLevel="1">
      <c r="C243" s="281" t="s">
        <v>796</v>
      </c>
      <c r="D243" s="285">
        <f t="shared" ca="1" si="11"/>
        <v>7.0301863154679622E-2</v>
      </c>
      <c r="E243" s="285">
        <f t="shared" ca="1" si="11"/>
        <v>2.8525622121298125E-2</v>
      </c>
      <c r="F243" s="282">
        <f ca="1">E243-D243</f>
        <v>-4.1776241033381498E-2</v>
      </c>
      <c r="G243" s="285">
        <f ca="1">F243/D243</f>
        <v>-0.5942408800953759</v>
      </c>
      <c r="H243" s="285">
        <f t="shared" ca="1" si="12"/>
        <v>9.4043966375680507E-2</v>
      </c>
      <c r="I243" s="285">
        <f t="shared" ca="1" si="12"/>
        <v>0.15303618611174585</v>
      </c>
      <c r="J243" s="282">
        <f ca="1">I243-H243</f>
        <v>5.8992219736065346E-2</v>
      </c>
      <c r="K243" s="285">
        <f ca="1">J243/H243</f>
        <v>0.62728340806476834</v>
      </c>
      <c r="L243" s="285">
        <f t="shared" ca="1" si="13"/>
        <v>7.5926373801670333E-2</v>
      </c>
      <c r="M243" s="285">
        <f t="shared" ca="1" si="13"/>
        <v>7.8991921488175743E-2</v>
      </c>
      <c r="N243" s="282">
        <f ca="1">M243-L243</f>
        <v>3.0655476865054099E-3</v>
      </c>
      <c r="O243" s="285">
        <f ca="1">N243/L243</f>
        <v>4.0375267947248786E-2</v>
      </c>
      <c r="P243" s="285" t="e">
        <f t="shared" ca="1" si="14"/>
        <v>#VALUE!</v>
      </c>
      <c r="Q243" s="285">
        <f t="shared" ca="1" si="14"/>
        <v>0.20942890919041096</v>
      </c>
      <c r="R243" s="282" t="e">
        <f ca="1">Q243-P243</f>
        <v>#VALUE!</v>
      </c>
      <c r="S243" s="285" t="e">
        <f ca="1">R243/P243</f>
        <v>#VALUE!</v>
      </c>
    </row>
    <row r="244" spans="3:19" hidden="1" outlineLevel="1">
      <c r="D244" s="281"/>
      <c r="E244" s="281"/>
      <c r="F244" s="281"/>
      <c r="G244" s="281"/>
    </row>
    <row r="245" spans="3:19" collapsed="1"/>
  </sheetData>
  <mergeCells count="22">
    <mergeCell ref="R231:S231"/>
    <mergeCell ref="L221:M221"/>
    <mergeCell ref="N221:O221"/>
    <mergeCell ref="J9:M9"/>
    <mergeCell ref="N9:O9"/>
    <mergeCell ref="P9:S9"/>
    <mergeCell ref="T9:U9"/>
    <mergeCell ref="D9:G9"/>
    <mergeCell ref="H9:I9"/>
    <mergeCell ref="AH221:AI221"/>
    <mergeCell ref="D231:E231"/>
    <mergeCell ref="F231:G231"/>
    <mergeCell ref="H231:I231"/>
    <mergeCell ref="J231:K231"/>
    <mergeCell ref="L231:M231"/>
    <mergeCell ref="N231:O231"/>
    <mergeCell ref="D221:E221"/>
    <mergeCell ref="F221:G221"/>
    <mergeCell ref="H221:I221"/>
    <mergeCell ref="J221:K221"/>
    <mergeCell ref="AF221:AG221"/>
    <mergeCell ref="P231:Q231"/>
  </mergeCells>
  <conditionalFormatting sqref="I12:I14">
    <cfRule type="expression" dxfId="31" priority="11">
      <formula>ABS(I12)&gt;=$K$3</formula>
    </cfRule>
    <cfRule type="expression" dxfId="30" priority="12">
      <formula>ABS(I12)&lt;$K$3</formula>
    </cfRule>
  </conditionalFormatting>
  <conditionalFormatting sqref="I15:I16">
    <cfRule type="expression" dxfId="29" priority="23">
      <formula>I15&lt;0</formula>
    </cfRule>
    <cfRule type="expression" dxfId="28" priority="24">
      <formula>I15&gt;0</formula>
    </cfRule>
  </conditionalFormatting>
  <conditionalFormatting sqref="I18:I19">
    <cfRule type="expression" dxfId="27" priority="9">
      <formula>ABS(I18)&gt;=$K$3</formula>
    </cfRule>
    <cfRule type="expression" dxfId="26" priority="10">
      <formula>ABS(I18)&lt;$K$3</formula>
    </cfRule>
  </conditionalFormatting>
  <conditionalFormatting sqref="I20 I22">
    <cfRule type="expression" dxfId="25" priority="21">
      <formula>I20&lt;0</formula>
    </cfRule>
    <cfRule type="expression" dxfId="24" priority="22">
      <formula>I20&gt;0</formula>
    </cfRule>
  </conditionalFormatting>
  <conditionalFormatting sqref="I21">
    <cfRule type="expression" dxfId="23" priority="7">
      <formula>ABS(I21)&gt;=$K$3</formula>
    </cfRule>
    <cfRule type="expression" dxfId="22" priority="8">
      <formula>ABS(I21)&lt;$K$3</formula>
    </cfRule>
  </conditionalFormatting>
  <conditionalFormatting sqref="I26:I28">
    <cfRule type="expression" dxfId="21" priority="5">
      <formula>ABS(I26)&gt;=$K$3</formula>
    </cfRule>
    <cfRule type="expression" dxfId="20" priority="6">
      <formula>ABS(I26)&lt;$K$3</formula>
    </cfRule>
  </conditionalFormatting>
  <conditionalFormatting sqref="I30">
    <cfRule type="expression" dxfId="19" priority="3">
      <formula>ABS(I30)&gt;=$K$3</formula>
    </cfRule>
    <cfRule type="expression" dxfId="18" priority="4">
      <formula>ABS(I30)&lt;$K$3</formula>
    </cfRule>
  </conditionalFormatting>
  <conditionalFormatting sqref="I31">
    <cfRule type="expression" dxfId="17" priority="25">
      <formula>I31&lt;0</formula>
    </cfRule>
    <cfRule type="expression" dxfId="16" priority="26">
      <formula>I31&gt;0</formula>
    </cfRule>
  </conditionalFormatting>
  <conditionalFormatting sqref="I32">
    <cfRule type="expression" dxfId="15" priority="1">
      <formula>ABS(I32)&gt;=$K$3</formula>
    </cfRule>
    <cfRule type="expression" dxfId="14" priority="2">
      <formula>ABS(I32)&lt;$K$3</formula>
    </cfRule>
  </conditionalFormatting>
  <conditionalFormatting sqref="I36:I41">
    <cfRule type="expression" dxfId="13" priority="17">
      <formula>I36&lt;0</formula>
    </cfRule>
    <cfRule type="expression" dxfId="12" priority="18">
      <formula>I36&gt;0</formula>
    </cfRule>
  </conditionalFormatting>
  <conditionalFormatting sqref="I45:I50">
    <cfRule type="expression" dxfId="11" priority="15">
      <formula>I45&lt;0</formula>
    </cfRule>
    <cfRule type="expression" dxfId="10" priority="16">
      <formula>I45&gt;0</formula>
    </cfRule>
  </conditionalFormatting>
  <conditionalFormatting sqref="I52:I54">
    <cfRule type="expression" dxfId="9" priority="13">
      <formula>I52&lt;0</formula>
    </cfRule>
    <cfRule type="expression" dxfId="8" priority="14">
      <formula>I52&gt;0</formula>
    </cfRule>
  </conditionalFormatting>
  <conditionalFormatting sqref="O12 U12 O18 U18 G224:G226 K224:K226 AI224:AI226 G228:G229 K228:K229 AI228:AI229 G234:G238 K234:K238 O234:O238 G240:G243 K240:K243 O240:O243">
    <cfRule type="expression" dxfId="7" priority="105">
      <formula>ABS(G12)&gt;=$K$3</formula>
    </cfRule>
    <cfRule type="expression" dxfId="6" priority="106">
      <formula>ABS(G12)&lt;$K$3</formula>
    </cfRule>
  </conditionalFormatting>
  <conditionalFormatting sqref="O224:O226 O228:O229">
    <cfRule type="expression" dxfId="5" priority="29">
      <formula>ABS(O224)&gt;=$K$3</formula>
    </cfRule>
    <cfRule type="expression" dxfId="4" priority="30">
      <formula>ABS(O224)&lt;$K$3</formula>
    </cfRule>
  </conditionalFormatting>
  <conditionalFormatting sqref="S234:S238">
    <cfRule type="expression" dxfId="3" priority="31">
      <formula>ABS(S234)&gt;=$K$3</formula>
    </cfRule>
    <cfRule type="expression" dxfId="2" priority="32">
      <formula>ABS(S234)&lt;$K$3</formula>
    </cfRule>
  </conditionalFormatting>
  <conditionalFormatting sqref="S240:S243">
    <cfRule type="expression" dxfId="1" priority="27">
      <formula>ABS(S240)&gt;=$K$3</formula>
    </cfRule>
    <cfRule type="expression" dxfId="0" priority="28">
      <formula>ABS(S240)&lt;$K$3</formula>
    </cfRule>
  </conditionalFormatting>
  <pageMargins left="0.7" right="0.7" top="0.75" bottom="0.75" header="0.3" footer="0.3"/>
  <pageSetup scale="94" orientation="landscape" r:id="rId1"/>
  <headerFooter>
    <oddFooter>&amp;CPage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SUMMARY</vt:lpstr>
      <vt:lpstr>One Pager - 1</vt:lpstr>
      <vt:lpstr>Cost Breakup</vt:lpstr>
      <vt:lpstr>Rationale - RevVal - 2</vt:lpstr>
      <vt:lpstr>SUPPORT</vt:lpstr>
      <vt:lpstr>Calculation</vt:lpstr>
      <vt:lpstr>Financials</vt:lpstr>
      <vt:lpstr>Segment</vt:lpstr>
      <vt:lpstr>Guidance</vt:lpstr>
      <vt:lpstr>Price</vt:lpstr>
      <vt:lpstr>Debt</vt:lpstr>
      <vt:lpstr>OTHER</vt:lpstr>
      <vt:lpstr>Tactical Trade</vt:lpstr>
      <vt:lpstr>Sheet10</vt:lpstr>
      <vt:lpstr>Guidance!BBSwitch</vt:lpstr>
      <vt:lpstr>BBswitch</vt:lpstr>
      <vt:lpstr>Circ</vt:lpstr>
      <vt:lpstr>Debt!Print_Area</vt:lpstr>
      <vt:lpstr>'One Pager - 1'!Print_Area</vt:lpstr>
      <vt:lpstr>'Rationale - RevVal - 2'!Print_Area</vt:lpstr>
      <vt:lpstr>'Tactical Trade'!Print_Area</vt:lpstr>
      <vt:lpstr>Debt!Print_Titles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TresVista</dc:creator>
  <cp:lastModifiedBy>Vedang Poddar</cp:lastModifiedBy>
  <cp:lastPrinted>2022-05-17T09:26:25Z</cp:lastPrinted>
  <dcterms:created xsi:type="dcterms:W3CDTF">2020-07-14T07:11:45Z</dcterms:created>
  <dcterms:modified xsi:type="dcterms:W3CDTF">2025-12-18T15:35:19Z</dcterms:modified>
</cp:coreProperties>
</file>